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8_Раскрытие от филиалов\2024\Раскрытие информации_2024 (план)\Серовская ГРЭС\Утверждено\"/>
    </mc:Choice>
  </mc:AlternateContent>
  <bookViews>
    <workbookView xWindow="0" yWindow="0" windowWidth="13950" windowHeight="9855" tabRatio="500" activeTab="5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Т-во'!$DI$37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B15" i="83" l="1"/>
  <c r="B14" i="83"/>
  <c r="B13" i="83"/>
  <c r="B12" i="83"/>
  <c r="B11" i="83"/>
  <c r="B10" i="83"/>
  <c r="B9" i="83"/>
  <c r="B8" i="83"/>
  <c r="B7" i="83"/>
  <c r="B6" i="83"/>
  <c r="B5" i="83"/>
  <c r="B4" i="83"/>
  <c r="B3" i="83"/>
  <c r="B2" i="83"/>
  <c r="B1" i="83"/>
  <c r="R24" i="61"/>
  <c r="P18" i="61"/>
  <c r="Q18" i="61" s="1"/>
  <c r="R18" i="61" s="1"/>
  <c r="S18" i="61" s="1"/>
  <c r="T18" i="61" s="1"/>
  <c r="V18" i="61" s="1"/>
  <c r="X18" i="61" s="1"/>
  <c r="O18" i="6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F23" i="59"/>
  <c r="L23" i="59" s="1"/>
  <c r="AA22" i="59"/>
  <c r="O22" i="59"/>
  <c r="L22" i="59"/>
  <c r="AA21" i="59"/>
  <c r="O21" i="59"/>
  <c r="L21" i="59"/>
  <c r="AA20" i="59"/>
  <c r="O20" i="59"/>
  <c r="L20" i="59"/>
  <c r="AA19" i="59"/>
  <c r="O19" i="59"/>
  <c r="L19" i="59"/>
  <c r="X18" i="59"/>
  <c r="T18" i="59"/>
  <c r="V18" i="59" s="1"/>
  <c r="W18" i="59" s="1"/>
  <c r="R18" i="59"/>
  <c r="S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N101" i="57"/>
  <c r="K101" i="57"/>
  <c r="J101" i="57"/>
  <c r="M101" i="57" s="1"/>
  <c r="I101" i="57"/>
  <c r="L101" i="57" s="1"/>
  <c r="M100" i="57"/>
  <c r="L100" i="57"/>
  <c r="K100" i="57"/>
  <c r="N100" i="57" s="1"/>
  <c r="J100" i="57"/>
  <c r="I100" i="57"/>
  <c r="N99" i="57"/>
  <c r="J128" i="30" s="1"/>
  <c r="K99" i="57"/>
  <c r="J99" i="57"/>
  <c r="M99" i="57" s="1"/>
  <c r="I99" i="57"/>
  <c r="L99" i="57" s="1"/>
  <c r="K98" i="57"/>
  <c r="N98" i="57" s="1"/>
  <c r="J98" i="57"/>
  <c r="M98" i="57" s="1"/>
  <c r="I98" i="57"/>
  <c r="L98" i="57" s="1"/>
  <c r="E127" i="30" s="1"/>
  <c r="N97" i="57"/>
  <c r="K97" i="57"/>
  <c r="J97" i="57"/>
  <c r="M97" i="57" s="1"/>
  <c r="I97" i="57"/>
  <c r="L97" i="57" s="1"/>
  <c r="M96" i="57"/>
  <c r="L96" i="57"/>
  <c r="K96" i="57"/>
  <c r="N96" i="57" s="1"/>
  <c r="J96" i="57"/>
  <c r="I96" i="57"/>
  <c r="N95" i="57"/>
  <c r="K95" i="57"/>
  <c r="J95" i="57"/>
  <c r="M95" i="57" s="1"/>
  <c r="I95" i="57"/>
  <c r="L95" i="57" s="1"/>
  <c r="K94" i="57"/>
  <c r="N94" i="57" s="1"/>
  <c r="J94" i="57"/>
  <c r="M94" i="57" s="1"/>
  <c r="I94" i="57"/>
  <c r="L94" i="57" s="1"/>
  <c r="N93" i="57"/>
  <c r="K93" i="57"/>
  <c r="J93" i="57"/>
  <c r="M93" i="57" s="1"/>
  <c r="I93" i="57"/>
  <c r="L93" i="57" s="1"/>
  <c r="M92" i="57"/>
  <c r="L92" i="57"/>
  <c r="K92" i="57"/>
  <c r="N92" i="57" s="1"/>
  <c r="J92" i="57"/>
  <c r="I92" i="57"/>
  <c r="K91" i="57"/>
  <c r="N91" i="57" s="1"/>
  <c r="J114" i="30" s="1"/>
  <c r="J91" i="57"/>
  <c r="M91" i="57" s="1"/>
  <c r="I91" i="57"/>
  <c r="L91" i="57" s="1"/>
  <c r="M90" i="57"/>
  <c r="L90" i="57"/>
  <c r="K90" i="57"/>
  <c r="N90" i="57" s="1"/>
  <c r="J113" i="30" s="1"/>
  <c r="J90" i="57"/>
  <c r="I90" i="57"/>
  <c r="N89" i="57"/>
  <c r="K89" i="57"/>
  <c r="J89" i="57"/>
  <c r="M89" i="57" s="1"/>
  <c r="I89" i="57"/>
  <c r="L89" i="57" s="1"/>
  <c r="M88" i="57"/>
  <c r="L88" i="57"/>
  <c r="K88" i="57"/>
  <c r="N88" i="57" s="1"/>
  <c r="J88" i="57"/>
  <c r="I88" i="57"/>
  <c r="N87" i="57"/>
  <c r="K87" i="57"/>
  <c r="J87" i="57"/>
  <c r="M87" i="57" s="1"/>
  <c r="I87" i="57"/>
  <c r="L87" i="57" s="1"/>
  <c r="M86" i="57"/>
  <c r="K86" i="57"/>
  <c r="N86" i="57" s="1"/>
  <c r="J86" i="57"/>
  <c r="I86" i="57"/>
  <c r="L86" i="57" s="1"/>
  <c r="N85" i="57"/>
  <c r="K85" i="57"/>
  <c r="J85" i="57"/>
  <c r="M85" i="57" s="1"/>
  <c r="I85" i="57"/>
  <c r="L85" i="57" s="1"/>
  <c r="E108" i="30" s="1"/>
  <c r="M84" i="57"/>
  <c r="L84" i="57"/>
  <c r="K84" i="57"/>
  <c r="N84" i="57" s="1"/>
  <c r="J84" i="57"/>
  <c r="I84" i="57"/>
  <c r="K83" i="57"/>
  <c r="N83" i="57" s="1"/>
  <c r="J106" i="30" s="1"/>
  <c r="J83" i="57"/>
  <c r="M83" i="57" s="1"/>
  <c r="I83" i="57"/>
  <c r="L83" i="57" s="1"/>
  <c r="M82" i="57"/>
  <c r="L82" i="57"/>
  <c r="K82" i="57"/>
  <c r="N82" i="57" s="1"/>
  <c r="J82" i="57"/>
  <c r="I82" i="57"/>
  <c r="N81" i="57"/>
  <c r="K81" i="57"/>
  <c r="J81" i="57"/>
  <c r="M81" i="57" s="1"/>
  <c r="I81" i="57"/>
  <c r="L81" i="57" s="1"/>
  <c r="M80" i="57"/>
  <c r="L80" i="57"/>
  <c r="K80" i="57"/>
  <c r="N80" i="57" s="1"/>
  <c r="J80" i="57"/>
  <c r="I80" i="57"/>
  <c r="N79" i="57"/>
  <c r="J102" i="30" s="1"/>
  <c r="K79" i="57"/>
  <c r="J79" i="57"/>
  <c r="M79" i="57" s="1"/>
  <c r="I79" i="57"/>
  <c r="L79" i="57" s="1"/>
  <c r="M78" i="57"/>
  <c r="K78" i="57"/>
  <c r="N78" i="57" s="1"/>
  <c r="J78" i="57"/>
  <c r="I78" i="57"/>
  <c r="L78" i="57" s="1"/>
  <c r="E99" i="30" s="1"/>
  <c r="E100" i="30" s="1"/>
  <c r="N77" i="57"/>
  <c r="K77" i="57"/>
  <c r="J77" i="57"/>
  <c r="M77" i="57" s="1"/>
  <c r="I77" i="57"/>
  <c r="L77" i="57" s="1"/>
  <c r="M76" i="57"/>
  <c r="L76" i="57"/>
  <c r="K76" i="57"/>
  <c r="N76" i="57" s="1"/>
  <c r="J76" i="57"/>
  <c r="I76" i="57"/>
  <c r="K75" i="57"/>
  <c r="N75" i="57" s="1"/>
  <c r="J75" i="57"/>
  <c r="M75" i="57" s="1"/>
  <c r="I75" i="57"/>
  <c r="L75" i="57" s="1"/>
  <c r="M74" i="57"/>
  <c r="L74" i="57"/>
  <c r="K74" i="57"/>
  <c r="N74" i="57" s="1"/>
  <c r="J95" i="30" s="1"/>
  <c r="J74" i="57"/>
  <c r="I74" i="57"/>
  <c r="N73" i="57"/>
  <c r="K73" i="57"/>
  <c r="J73" i="57"/>
  <c r="M73" i="57" s="1"/>
  <c r="I73" i="57"/>
  <c r="L73" i="57" s="1"/>
  <c r="M72" i="57"/>
  <c r="L72" i="57"/>
  <c r="K72" i="57"/>
  <c r="N72" i="57" s="1"/>
  <c r="J72" i="57"/>
  <c r="I72" i="57"/>
  <c r="N71" i="57"/>
  <c r="K71" i="57"/>
  <c r="J71" i="57"/>
  <c r="M71" i="57" s="1"/>
  <c r="I71" i="57"/>
  <c r="L71" i="57" s="1"/>
  <c r="M70" i="57"/>
  <c r="K70" i="57"/>
  <c r="N70" i="57" s="1"/>
  <c r="J70" i="57"/>
  <c r="I70" i="57"/>
  <c r="L70" i="57" s="1"/>
  <c r="E91" i="30" s="1"/>
  <c r="N69" i="57"/>
  <c r="K69" i="57"/>
  <c r="J69" i="57"/>
  <c r="M69" i="57" s="1"/>
  <c r="I69" i="57"/>
  <c r="L69" i="57" s="1"/>
  <c r="E90" i="30" s="1"/>
  <c r="M68" i="57"/>
  <c r="L68" i="57"/>
  <c r="K68" i="57"/>
  <c r="N68" i="57" s="1"/>
  <c r="J68" i="57"/>
  <c r="I68" i="57"/>
  <c r="K67" i="57"/>
  <c r="N67" i="57" s="1"/>
  <c r="J67" i="57"/>
  <c r="M67" i="57" s="1"/>
  <c r="F88" i="30" s="1"/>
  <c r="I67" i="57"/>
  <c r="L67" i="57" s="1"/>
  <c r="M66" i="57"/>
  <c r="L66" i="57"/>
  <c r="K66" i="57"/>
  <c r="N66" i="57" s="1"/>
  <c r="J66" i="57"/>
  <c r="I66" i="57"/>
  <c r="N65" i="57"/>
  <c r="K65" i="57"/>
  <c r="J65" i="57"/>
  <c r="M65" i="57" s="1"/>
  <c r="I65" i="57"/>
  <c r="L65" i="57" s="1"/>
  <c r="M64" i="57"/>
  <c r="L64" i="57"/>
  <c r="K64" i="57"/>
  <c r="N64" i="57" s="1"/>
  <c r="J64" i="57"/>
  <c r="I64" i="57"/>
  <c r="N63" i="57"/>
  <c r="J84" i="30" s="1"/>
  <c r="K63" i="57"/>
  <c r="J63" i="57"/>
  <c r="M63" i="57" s="1"/>
  <c r="I63" i="57"/>
  <c r="L63" i="57" s="1"/>
  <c r="M62" i="57"/>
  <c r="K62" i="57"/>
  <c r="N62" i="57" s="1"/>
  <c r="J62" i="57"/>
  <c r="I62" i="57"/>
  <c r="L62" i="57" s="1"/>
  <c r="E83" i="30" s="1"/>
  <c r="N61" i="57"/>
  <c r="K61" i="57"/>
  <c r="J61" i="57"/>
  <c r="M61" i="57" s="1"/>
  <c r="I61" i="57"/>
  <c r="L61" i="57" s="1"/>
  <c r="M60" i="57"/>
  <c r="L60" i="57"/>
  <c r="K60" i="57"/>
  <c r="N60" i="57" s="1"/>
  <c r="J60" i="57"/>
  <c r="I60" i="57"/>
  <c r="K59" i="57"/>
  <c r="N59" i="57" s="1"/>
  <c r="J80" i="30" s="1"/>
  <c r="J59" i="57"/>
  <c r="M59" i="57" s="1"/>
  <c r="I59" i="57"/>
  <c r="L59" i="57" s="1"/>
  <c r="M58" i="57"/>
  <c r="L58" i="57"/>
  <c r="K58" i="57"/>
  <c r="N58" i="57" s="1"/>
  <c r="J79" i="30" s="1"/>
  <c r="J58" i="57"/>
  <c r="I58" i="57"/>
  <c r="N57" i="57"/>
  <c r="K57" i="57"/>
  <c r="J57" i="57"/>
  <c r="M57" i="57" s="1"/>
  <c r="I57" i="57"/>
  <c r="L57" i="57" s="1"/>
  <c r="M56" i="57"/>
  <c r="L56" i="57"/>
  <c r="K56" i="57"/>
  <c r="N56" i="57" s="1"/>
  <c r="J56" i="57"/>
  <c r="I56" i="57"/>
  <c r="N55" i="57"/>
  <c r="K55" i="57"/>
  <c r="J55" i="57"/>
  <c r="M55" i="57" s="1"/>
  <c r="I55" i="57"/>
  <c r="L55" i="57" s="1"/>
  <c r="M54" i="57"/>
  <c r="K54" i="57"/>
  <c r="N54" i="57" s="1"/>
  <c r="J54" i="57"/>
  <c r="I54" i="57"/>
  <c r="L54" i="57" s="1"/>
  <c r="E75" i="30" s="1"/>
  <c r="N53" i="57"/>
  <c r="K53" i="57"/>
  <c r="J53" i="57"/>
  <c r="M53" i="57" s="1"/>
  <c r="I53" i="57"/>
  <c r="L53" i="57" s="1"/>
  <c r="E74" i="30" s="1"/>
  <c r="M52" i="57"/>
  <c r="L52" i="57"/>
  <c r="K52" i="57"/>
  <c r="N52" i="57" s="1"/>
  <c r="J52" i="57"/>
  <c r="I52" i="57"/>
  <c r="K51" i="57"/>
  <c r="N51" i="57" s="1"/>
  <c r="J72" i="30" s="1"/>
  <c r="J51" i="57"/>
  <c r="M51" i="57" s="1"/>
  <c r="F72" i="30" s="1"/>
  <c r="I51" i="57"/>
  <c r="L51" i="57" s="1"/>
  <c r="M50" i="57"/>
  <c r="L50" i="57"/>
  <c r="K50" i="57"/>
  <c r="N50" i="57" s="1"/>
  <c r="J50" i="57"/>
  <c r="I50" i="57"/>
  <c r="N49" i="57"/>
  <c r="K49" i="57"/>
  <c r="J49" i="57"/>
  <c r="M49" i="57" s="1"/>
  <c r="I49" i="57"/>
  <c r="L49" i="57" s="1"/>
  <c r="M48" i="57"/>
  <c r="L48" i="57"/>
  <c r="K48" i="57"/>
  <c r="N48" i="57" s="1"/>
  <c r="J48" i="57"/>
  <c r="I48" i="57"/>
  <c r="N47" i="57"/>
  <c r="K47" i="57"/>
  <c r="J47" i="57"/>
  <c r="M47" i="57" s="1"/>
  <c r="I47" i="57"/>
  <c r="L47" i="57" s="1"/>
  <c r="M46" i="57"/>
  <c r="K46" i="57"/>
  <c r="N46" i="57" s="1"/>
  <c r="J46" i="57"/>
  <c r="I46" i="57"/>
  <c r="L46" i="57" s="1"/>
  <c r="E65" i="30" s="1"/>
  <c r="K65" i="30" s="1"/>
  <c r="N45" i="57"/>
  <c r="K45" i="57"/>
  <c r="J45" i="57"/>
  <c r="M45" i="57" s="1"/>
  <c r="I45" i="57"/>
  <c r="L45" i="57" s="1"/>
  <c r="M44" i="57"/>
  <c r="L44" i="57"/>
  <c r="K44" i="57"/>
  <c r="N44" i="57" s="1"/>
  <c r="J44" i="57"/>
  <c r="I44" i="57"/>
  <c r="K43" i="57"/>
  <c r="N43" i="57" s="1"/>
  <c r="J43" i="57"/>
  <c r="M43" i="57" s="1"/>
  <c r="I43" i="57"/>
  <c r="L43" i="57" s="1"/>
  <c r="M42" i="57"/>
  <c r="L42" i="57"/>
  <c r="K42" i="57"/>
  <c r="N42" i="57" s="1"/>
  <c r="J61" i="30" s="1"/>
  <c r="J42" i="57"/>
  <c r="I42" i="57"/>
  <c r="N41" i="57"/>
  <c r="K41" i="57"/>
  <c r="J41" i="57"/>
  <c r="M41" i="57" s="1"/>
  <c r="I41" i="57"/>
  <c r="L41" i="57" s="1"/>
  <c r="M40" i="57"/>
  <c r="L40" i="57"/>
  <c r="K40" i="57"/>
  <c r="N40" i="57" s="1"/>
  <c r="J40" i="57"/>
  <c r="I40" i="57"/>
  <c r="N39" i="57"/>
  <c r="K39" i="57"/>
  <c r="J39" i="57"/>
  <c r="M39" i="57" s="1"/>
  <c r="I39" i="57"/>
  <c r="L39" i="57" s="1"/>
  <c r="M38" i="57"/>
  <c r="K38" i="57"/>
  <c r="N38" i="57" s="1"/>
  <c r="J38" i="57"/>
  <c r="I38" i="57"/>
  <c r="L38" i="57" s="1"/>
  <c r="E57" i="30" s="1"/>
  <c r="K57" i="30" s="1"/>
  <c r="N37" i="57"/>
  <c r="K37" i="57"/>
  <c r="J37" i="57"/>
  <c r="M37" i="57" s="1"/>
  <c r="I37" i="57"/>
  <c r="L37" i="57" s="1"/>
  <c r="E56" i="30" s="1"/>
  <c r="K56" i="30" s="1"/>
  <c r="M36" i="57"/>
  <c r="L36" i="57"/>
  <c r="K36" i="57"/>
  <c r="N36" i="57" s="1"/>
  <c r="J36" i="57"/>
  <c r="I36" i="57"/>
  <c r="K35" i="57"/>
  <c r="N35" i="57" s="1"/>
  <c r="J35" i="57"/>
  <c r="M35" i="57" s="1"/>
  <c r="F54" i="30" s="1"/>
  <c r="I35" i="57"/>
  <c r="L35" i="57" s="1"/>
  <c r="M34" i="57"/>
  <c r="L34" i="57"/>
  <c r="K34" i="57"/>
  <c r="N34" i="57" s="1"/>
  <c r="J34" i="57"/>
  <c r="I34" i="57"/>
  <c r="N33" i="57"/>
  <c r="K33" i="57"/>
  <c r="J33" i="57"/>
  <c r="M33" i="57" s="1"/>
  <c r="I33" i="57"/>
  <c r="L33" i="57" s="1"/>
  <c r="M32" i="57"/>
  <c r="L32" i="57"/>
  <c r="K32" i="57"/>
  <c r="N32" i="57" s="1"/>
  <c r="J32" i="57"/>
  <c r="I32" i="57"/>
  <c r="N31" i="57"/>
  <c r="K31" i="57"/>
  <c r="J31" i="57"/>
  <c r="M31" i="57" s="1"/>
  <c r="I31" i="57"/>
  <c r="L31" i="57" s="1"/>
  <c r="M30" i="57"/>
  <c r="K30" i="57"/>
  <c r="N30" i="57" s="1"/>
  <c r="J30" i="57"/>
  <c r="I30" i="57"/>
  <c r="L30" i="57" s="1"/>
  <c r="E49" i="30" s="1"/>
  <c r="K49" i="30" s="1"/>
  <c r="N29" i="57"/>
  <c r="K29" i="57"/>
  <c r="J29" i="57"/>
  <c r="M29" i="57" s="1"/>
  <c r="I29" i="57"/>
  <c r="L29" i="57" s="1"/>
  <c r="M28" i="57"/>
  <c r="L28" i="57"/>
  <c r="K28" i="57"/>
  <c r="N28" i="57" s="1"/>
  <c r="J28" i="57"/>
  <c r="I28" i="57"/>
  <c r="K27" i="57"/>
  <c r="N27" i="57" s="1"/>
  <c r="J27" i="57"/>
  <c r="M27" i="57" s="1"/>
  <c r="I27" i="57"/>
  <c r="L27" i="57" s="1"/>
  <c r="M26" i="57"/>
  <c r="L26" i="57"/>
  <c r="K26" i="57"/>
  <c r="N26" i="57" s="1"/>
  <c r="J45" i="30" s="1"/>
  <c r="J26" i="57"/>
  <c r="I26" i="57"/>
  <c r="N25" i="57"/>
  <c r="K25" i="57"/>
  <c r="J25" i="57"/>
  <c r="M25" i="57" s="1"/>
  <c r="I25" i="57"/>
  <c r="L25" i="57" s="1"/>
  <c r="M24" i="57"/>
  <c r="L24" i="57"/>
  <c r="K24" i="57"/>
  <c r="N24" i="57" s="1"/>
  <c r="J24" i="57"/>
  <c r="I24" i="57"/>
  <c r="N23" i="57"/>
  <c r="K23" i="57"/>
  <c r="J23" i="57"/>
  <c r="M23" i="57" s="1"/>
  <c r="I23" i="57"/>
  <c r="L23" i="57" s="1"/>
  <c r="M22" i="57"/>
  <c r="K22" i="57"/>
  <c r="N22" i="57" s="1"/>
  <c r="J22" i="57"/>
  <c r="I22" i="57"/>
  <c r="L22" i="57" s="1"/>
  <c r="E41" i="30" s="1"/>
  <c r="K41" i="30" s="1"/>
  <c r="N21" i="57"/>
  <c r="K21" i="57"/>
  <c r="J21" i="57"/>
  <c r="M21" i="57" s="1"/>
  <c r="I21" i="57"/>
  <c r="L21" i="57" s="1"/>
  <c r="E33" i="30" s="1"/>
  <c r="B34" i="30" s="1"/>
  <c r="M20" i="57"/>
  <c r="L20" i="57"/>
  <c r="K20" i="57"/>
  <c r="N20" i="57" s="1"/>
  <c r="J20" i="57"/>
  <c r="I20" i="57"/>
  <c r="K19" i="57"/>
  <c r="N19" i="57" s="1"/>
  <c r="J31" i="30" s="1"/>
  <c r="J19" i="57"/>
  <c r="M19" i="57" s="1"/>
  <c r="F31" i="30" s="1"/>
  <c r="I19" i="57"/>
  <c r="L19" i="57" s="1"/>
  <c r="M18" i="57"/>
  <c r="L18" i="57"/>
  <c r="K18" i="57"/>
  <c r="N18" i="57" s="1"/>
  <c r="J18" i="57"/>
  <c r="I18" i="57"/>
  <c r="N14" i="57"/>
  <c r="I18" i="40" s="1"/>
  <c r="M13" i="57"/>
  <c r="M12" i="57"/>
  <c r="AA11" i="57"/>
  <c r="N11" i="57" s="1"/>
  <c r="M11" i="57"/>
  <c r="N3" i="57"/>
  <c r="C34" i="56"/>
  <c r="E32" i="56"/>
  <c r="C32" i="56" s="1"/>
  <c r="C8" i="56"/>
  <c r="D22" i="35" s="1"/>
  <c r="C7" i="56"/>
  <c r="E4" i="56"/>
  <c r="C4" i="56"/>
  <c r="E3" i="56"/>
  <c r="C3" i="56" s="1"/>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C31" i="56" s="1"/>
  <c r="F36"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c r="G11" i="51"/>
  <c r="S2" i="51" a="1"/>
  <c r="S2" i="51"/>
  <c r="G2" i="51"/>
  <c r="R10" i="50"/>
  <c r="P10" i="50" a="1"/>
  <c r="P10" i="50" s="1"/>
  <c r="F10" i="50"/>
  <c r="K8" i="50"/>
  <c r="E5" i="50"/>
  <c r="R2" i="50"/>
  <c r="P2" i="50" a="1"/>
  <c r="P2" i="50" s="1"/>
  <c r="F2" i="50"/>
  <c r="P9" i="49"/>
  <c r="N9" i="49" a="1"/>
  <c r="N9" i="49"/>
  <c r="E5" i="49"/>
  <c r="P2" i="49"/>
  <c r="N2" i="49" a="1"/>
  <c r="N2" i="49"/>
  <c r="F12" i="48"/>
  <c r="D6" i="48"/>
  <c r="D5" i="48"/>
  <c r="I14" i="45"/>
  <c r="G14" i="45"/>
  <c r="G11" i="45"/>
  <c r="G10" i="45"/>
  <c r="G9" i="45"/>
  <c r="D6" i="45"/>
  <c r="E13" i="44"/>
  <c r="H12" i="44"/>
  <c r="E12" i="44"/>
  <c r="D6" i="44"/>
  <c r="F257" i="43"/>
  <c r="F199" i="43"/>
  <c r="F141" i="43"/>
  <c r="F81" i="43"/>
  <c r="F23" i="43"/>
  <c r="G17" i="43"/>
  <c r="F17" i="43"/>
  <c r="G16" i="43"/>
  <c r="F16" i="43"/>
  <c r="N7" i="43"/>
  <c r="N4" i="43"/>
  <c r="N1" i="43"/>
  <c r="E42" i="42"/>
  <c r="E38" i="42"/>
  <c r="E31" i="42"/>
  <c r="E28" i="42"/>
  <c r="E25" i="42"/>
  <c r="D15" i="42"/>
  <c r="G14" i="41"/>
  <c r="E13" i="41"/>
  <c r="D6" i="41"/>
  <c r="F21" i="40"/>
  <c r="H19" i="40"/>
  <c r="G19" i="40"/>
  <c r="F19" i="40"/>
  <c r="E17" i="40"/>
  <c r="E16" i="40"/>
  <c r="I15" i="40"/>
  <c r="E15" i="40"/>
  <c r="H14" i="40"/>
  <c r="G14" i="40"/>
  <c r="G11" i="40"/>
  <c r="H10" i="40"/>
  <c r="G10" i="40"/>
  <c r="G9" i="40"/>
  <c r="D6" i="40"/>
  <c r="D5" i="40"/>
  <c r="F2" i="40"/>
  <c r="F6" i="39"/>
  <c r="F5" i="39"/>
  <c r="H57" i="38"/>
  <c r="H56" i="38"/>
  <c r="H55" i="38"/>
  <c r="I54" i="38"/>
  <c r="H54" i="38"/>
  <c r="H53" i="38"/>
  <c r="H52" i="38"/>
  <c r="H51" i="38"/>
  <c r="H50" i="38"/>
  <c r="I49" i="38"/>
  <c r="I48" i="38" s="1"/>
  <c r="H48" i="38" s="1"/>
  <c r="H47" i="38"/>
  <c r="H46" i="38"/>
  <c r="H45" i="38"/>
  <c r="I44" i="38"/>
  <c r="H44" i="38"/>
  <c r="H43" i="38"/>
  <c r="H42" i="38"/>
  <c r="H41" i="38"/>
  <c r="H40" i="38"/>
  <c r="I39" i="38"/>
  <c r="I38" i="38" s="1"/>
  <c r="I58" i="38" s="1"/>
  <c r="H58" i="38" s="1"/>
  <c r="H39" i="38"/>
  <c r="H35" i="38"/>
  <c r="H34" i="38"/>
  <c r="H33" i="38"/>
  <c r="I32" i="38"/>
  <c r="H32" i="38" s="1"/>
  <c r="H31" i="38"/>
  <c r="H30" i="38"/>
  <c r="H29" i="38"/>
  <c r="I28" i="38"/>
  <c r="H28" i="38"/>
  <c r="H27" i="38"/>
  <c r="H26" i="38"/>
  <c r="H25" i="38"/>
  <c r="H24" i="38"/>
  <c r="H23" i="38"/>
  <c r="H22" i="38"/>
  <c r="H21" i="38"/>
  <c r="H20" i="38"/>
  <c r="H19" i="38"/>
  <c r="H18" i="38"/>
  <c r="H17" i="38"/>
  <c r="H16" i="38"/>
  <c r="I15" i="38"/>
  <c r="H11" i="38"/>
  <c r="F6" i="38"/>
  <c r="F6" i="37"/>
  <c r="H15" i="36"/>
  <c r="F6" i="36"/>
  <c r="G28" i="35"/>
  <c r="G27" i="35"/>
  <c r="G26" i="35"/>
  <c r="D23"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F128" i="30"/>
  <c r="E128" i="30"/>
  <c r="J127" i="30"/>
  <c r="F127" i="30"/>
  <c r="J126" i="30"/>
  <c r="F126" i="30"/>
  <c r="E126" i="30"/>
  <c r="J123" i="30"/>
  <c r="F123" i="30"/>
  <c r="E123" i="30"/>
  <c r="E124" i="30" s="1"/>
  <c r="J120" i="30"/>
  <c r="F120" i="30"/>
  <c r="E120" i="30"/>
  <c r="E121" i="30" s="1"/>
  <c r="J117" i="30"/>
  <c r="F117" i="30"/>
  <c r="E117" i="30"/>
  <c r="E118" i="30" s="1"/>
  <c r="J116" i="30"/>
  <c r="F116" i="30"/>
  <c r="E116" i="30"/>
  <c r="J115" i="30"/>
  <c r="F115" i="30"/>
  <c r="E115" i="30"/>
  <c r="F114" i="30"/>
  <c r="E114" i="30"/>
  <c r="F113" i="30"/>
  <c r="E113" i="30"/>
  <c r="J112" i="30"/>
  <c r="F112" i="30"/>
  <c r="E112" i="30"/>
  <c r="J111" i="30"/>
  <c r="F111" i="30"/>
  <c r="E111" i="30"/>
  <c r="J110" i="30"/>
  <c r="F110" i="30"/>
  <c r="E110" i="30"/>
  <c r="J109" i="30"/>
  <c r="F109" i="30"/>
  <c r="E109" i="30"/>
  <c r="J108" i="30"/>
  <c r="F108" i="30"/>
  <c r="J107" i="30"/>
  <c r="F107" i="30"/>
  <c r="E107" i="30"/>
  <c r="F106" i="30"/>
  <c r="E106" i="30"/>
  <c r="J105" i="30"/>
  <c r="F105" i="30"/>
  <c r="E105" i="30"/>
  <c r="J104" i="30"/>
  <c r="F104" i="30"/>
  <c r="E104" i="30"/>
  <c r="J103" i="30"/>
  <c r="F103" i="30"/>
  <c r="E103" i="30"/>
  <c r="F102" i="30"/>
  <c r="E102" i="30"/>
  <c r="J99" i="30"/>
  <c r="F99" i="30"/>
  <c r="J98" i="30"/>
  <c r="F98" i="30"/>
  <c r="E98" i="30"/>
  <c r="J97" i="30"/>
  <c r="F97" i="30"/>
  <c r="E97" i="30"/>
  <c r="J96" i="30"/>
  <c r="F96" i="30"/>
  <c r="E96" i="30"/>
  <c r="F95" i="30"/>
  <c r="E95" i="30"/>
  <c r="J94" i="30"/>
  <c r="F94" i="30"/>
  <c r="E94" i="30"/>
  <c r="J93" i="30"/>
  <c r="F93" i="30"/>
  <c r="E93" i="30"/>
  <c r="J92" i="30"/>
  <c r="F92" i="30"/>
  <c r="E92" i="30"/>
  <c r="J91" i="30"/>
  <c r="F91" i="30"/>
  <c r="J90" i="30"/>
  <c r="F90" i="30"/>
  <c r="J89" i="30"/>
  <c r="F89" i="30"/>
  <c r="E89" i="30"/>
  <c r="J88" i="30"/>
  <c r="E88" i="30"/>
  <c r="J87" i="30"/>
  <c r="I87" i="30"/>
  <c r="H87" i="30"/>
  <c r="F87" i="30"/>
  <c r="E87" i="30"/>
  <c r="J86" i="30"/>
  <c r="F86" i="30"/>
  <c r="E86" i="30"/>
  <c r="J85" i="30"/>
  <c r="F85" i="30"/>
  <c r="E85" i="30"/>
  <c r="F84" i="30"/>
  <c r="E84" i="30"/>
  <c r="J83" i="30"/>
  <c r="F83" i="30"/>
  <c r="J82" i="30"/>
  <c r="F82" i="30"/>
  <c r="E82" i="30"/>
  <c r="J81" i="30"/>
  <c r="F81" i="30"/>
  <c r="E81" i="30"/>
  <c r="F80" i="30"/>
  <c r="E80" i="30"/>
  <c r="F79" i="30"/>
  <c r="E79" i="30"/>
  <c r="J78" i="30"/>
  <c r="F78" i="30"/>
  <c r="E78" i="30"/>
  <c r="J77" i="30"/>
  <c r="F77" i="30"/>
  <c r="E77" i="30"/>
  <c r="J76" i="30"/>
  <c r="F76" i="30"/>
  <c r="E76" i="30"/>
  <c r="J75" i="30"/>
  <c r="F75" i="30"/>
  <c r="J74" i="30"/>
  <c r="F74" i="30"/>
  <c r="J73" i="30"/>
  <c r="F73" i="30"/>
  <c r="E73" i="30"/>
  <c r="E72" i="30"/>
  <c r="K69" i="30"/>
  <c r="J69" i="30"/>
  <c r="I69" i="30"/>
  <c r="H69" i="30"/>
  <c r="F69" i="30"/>
  <c r="E69" i="30"/>
  <c r="E70" i="30" s="1"/>
  <c r="K70" i="30" s="1"/>
  <c r="K68" i="30"/>
  <c r="J68" i="30"/>
  <c r="L68" i="30" s="1"/>
  <c r="F68" i="30"/>
  <c r="E68" i="30"/>
  <c r="J67" i="30"/>
  <c r="F67" i="30"/>
  <c r="E67" i="30"/>
  <c r="K67" i="30" s="1"/>
  <c r="K66" i="30"/>
  <c r="J66" i="30"/>
  <c r="L66" i="30" s="1"/>
  <c r="F66" i="30"/>
  <c r="E66" i="30"/>
  <c r="J65" i="30"/>
  <c r="F65" i="30"/>
  <c r="K64" i="30"/>
  <c r="J64" i="30"/>
  <c r="F64" i="30"/>
  <c r="E64" i="30"/>
  <c r="J63" i="30"/>
  <c r="F63" i="30"/>
  <c r="E63" i="30"/>
  <c r="K63" i="30" s="1"/>
  <c r="K62" i="30"/>
  <c r="J62" i="30"/>
  <c r="F62" i="30"/>
  <c r="E62" i="30"/>
  <c r="F61" i="30"/>
  <c r="E61" i="30"/>
  <c r="K61" i="30" s="1"/>
  <c r="K60" i="30"/>
  <c r="J60" i="30"/>
  <c r="F60" i="30"/>
  <c r="E60" i="30"/>
  <c r="J59" i="30"/>
  <c r="F59" i="30"/>
  <c r="E59" i="30"/>
  <c r="K59" i="30" s="1"/>
  <c r="K58" i="30"/>
  <c r="J58" i="30"/>
  <c r="F58" i="30"/>
  <c r="E58" i="30"/>
  <c r="J57" i="30"/>
  <c r="F57" i="30"/>
  <c r="J56" i="30"/>
  <c r="F56" i="30"/>
  <c r="J55" i="30"/>
  <c r="F55" i="30"/>
  <c r="E55" i="30"/>
  <c r="K55" i="30" s="1"/>
  <c r="K54" i="30"/>
  <c r="J54" i="30"/>
  <c r="E54" i="30"/>
  <c r="J53" i="30"/>
  <c r="F53" i="30"/>
  <c r="E53" i="30"/>
  <c r="K53" i="30" s="1"/>
  <c r="K52" i="30"/>
  <c r="J52" i="30"/>
  <c r="F52" i="30"/>
  <c r="E52" i="30"/>
  <c r="J51" i="30"/>
  <c r="F51" i="30"/>
  <c r="E51" i="30"/>
  <c r="K51" i="30" s="1"/>
  <c r="K50" i="30"/>
  <c r="J50" i="30"/>
  <c r="F50" i="30"/>
  <c r="E50" i="30"/>
  <c r="J49" i="30"/>
  <c r="F49" i="30"/>
  <c r="K48" i="30"/>
  <c r="J48" i="30"/>
  <c r="F48" i="30"/>
  <c r="E48" i="30"/>
  <c r="J47" i="30"/>
  <c r="F47" i="30"/>
  <c r="E47" i="30"/>
  <c r="K47" i="30" s="1"/>
  <c r="K46" i="30"/>
  <c r="J46" i="30"/>
  <c r="F46" i="30"/>
  <c r="E46" i="30"/>
  <c r="F45" i="30"/>
  <c r="E45" i="30"/>
  <c r="K45" i="30" s="1"/>
  <c r="K44" i="30"/>
  <c r="J44" i="30"/>
  <c r="F44" i="30"/>
  <c r="E44" i="30"/>
  <c r="J43" i="30"/>
  <c r="F43" i="30"/>
  <c r="E43" i="30"/>
  <c r="K43" i="30" s="1"/>
  <c r="K42" i="30"/>
  <c r="J42" i="30"/>
  <c r="F42" i="30"/>
  <c r="E42" i="30"/>
  <c r="J41" i="30"/>
  <c r="F41" i="30"/>
  <c r="K40" i="30"/>
  <c r="K39" i="30"/>
  <c r="K38" i="30"/>
  <c r="K37" i="30"/>
  <c r="K36" i="30"/>
  <c r="K35" i="30"/>
  <c r="K34" i="30"/>
  <c r="K33" i="30"/>
  <c r="J33" i="30"/>
  <c r="I33" i="30"/>
  <c r="H33" i="30"/>
  <c r="F33" i="30"/>
  <c r="J32" i="30"/>
  <c r="F32" i="30"/>
  <c r="E32" i="30"/>
  <c r="K32" i="30" s="1"/>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W45" i="29"/>
  <c r="AX45" i="29" s="1"/>
  <c r="AY45" i="29" s="1"/>
  <c r="BA45" i="29" s="1"/>
  <c r="Z45" i="29"/>
  <c r="AA45" i="29" s="1"/>
  <c r="AC45" i="29" s="1"/>
  <c r="AD45" i="29" s="1"/>
  <c r="U45" i="29"/>
  <c r="V45" i="29" s="1"/>
  <c r="W45" i="29" s="1"/>
  <c r="X45" i="29" s="1"/>
  <c r="Y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0" i="28"/>
  <c r="AD40" i="28" s="1"/>
  <c r="AE40" i="28" s="1"/>
  <c r="AF40" i="28" s="1"/>
  <c r="AG40" i="28" s="1"/>
  <c r="AI40" i="28" s="1"/>
  <c r="AJ40" i="28" s="1"/>
  <c r="AK40" i="28" s="1"/>
  <c r="U40" i="28"/>
  <c r="V40" i="28" s="1"/>
  <c r="W40" i="28" s="1"/>
  <c r="X40" i="28" s="1"/>
  <c r="Y40" i="28" s="1"/>
  <c r="Z40" i="28" s="1"/>
  <c r="AB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G40" i="27"/>
  <c r="AI40" i="27" s="1"/>
  <c r="AJ40" i="27" s="1"/>
  <c r="AK40" i="27" s="1"/>
  <c r="U40" i="27"/>
  <c r="V40" i="27" s="1"/>
  <c r="W40" i="27" s="1"/>
  <c r="X40" i="27" s="1"/>
  <c r="Y40" i="27" s="1"/>
  <c r="Z40" i="27" s="1"/>
  <c r="AB40" i="27" s="1"/>
  <c r="AC40" i="27" s="1"/>
  <c r="AD40" i="27" s="1"/>
  <c r="AE40" i="27" s="1"/>
  <c r="AF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Z45" i="26"/>
  <c r="AA45" i="26" s="1"/>
  <c r="AC45" i="26" s="1"/>
  <c r="AD45" i="26" s="1"/>
  <c r="W45" i="26"/>
  <c r="X45" i="26" s="1"/>
  <c r="Y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Z40" i="25"/>
  <c r="AB40" i="25" s="1"/>
  <c r="AC40" i="25" s="1"/>
  <c r="AD40" i="25" s="1"/>
  <c r="AE40" i="25" s="1"/>
  <c r="AF40" i="25" s="1"/>
  <c r="AG40" i="25" s="1"/>
  <c r="AI40" i="25" s="1"/>
  <c r="AJ40" i="25" s="1"/>
  <c r="AK40" i="25" s="1"/>
  <c r="W40" i="25"/>
  <c r="X40" i="25" s="1"/>
  <c r="Y40" i="25" s="1"/>
  <c r="V40" i="25"/>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DM53" i="24"/>
  <c r="DM52" i="24"/>
  <c r="DM51" i="24"/>
  <c r="DM50" i="24"/>
  <c r="DM49" i="24"/>
  <c r="DM48" i="24"/>
  <c r="DM47" i="24"/>
  <c r="DD47" i="24"/>
  <c r="CW47" i="24"/>
  <c r="CP47" i="24"/>
  <c r="CI47" i="24"/>
  <c r="CB47" i="24"/>
  <c r="BU47" i="24"/>
  <c r="BN47" i="24"/>
  <c r="BG47" i="24"/>
  <c r="AZ47" i="24"/>
  <c r="AS47" i="24"/>
  <c r="AL47" i="24"/>
  <c r="AE47" i="24"/>
  <c r="X47" i="24"/>
  <c r="DM46" i="24"/>
  <c r="DJ46" i="24"/>
  <c r="DM45" i="24"/>
  <c r="DM44" i="24"/>
  <c r="DM43" i="24"/>
  <c r="DM42" i="24"/>
  <c r="DM41" i="24"/>
  <c r="DJ41" i="24"/>
  <c r="AE40" i="24"/>
  <c r="AF40" i="24" s="1"/>
  <c r="AG40" i="24" s="1"/>
  <c r="AI40" i="24" s="1"/>
  <c r="AJ40" i="24" s="1"/>
  <c r="AK40" i="24" s="1"/>
  <c r="AL40" i="24" s="1"/>
  <c r="AM40" i="24" s="1"/>
  <c r="AN40" i="24" s="1"/>
  <c r="AP40" i="24" s="1"/>
  <c r="AQ40" i="24" s="1"/>
  <c r="AR40" i="24" s="1"/>
  <c r="AS40" i="24" s="1"/>
  <c r="AT40" i="24" s="1"/>
  <c r="AU40" i="24" s="1"/>
  <c r="AW40" i="24" s="1"/>
  <c r="AX40" i="24" s="1"/>
  <c r="AY40" i="24" s="1"/>
  <c r="AZ40" i="24" s="1"/>
  <c r="BA40" i="24" s="1"/>
  <c r="BB40" i="24" s="1"/>
  <c r="BD40" i="24" s="1"/>
  <c r="BE40" i="24" s="1"/>
  <c r="BF40" i="24" s="1"/>
  <c r="BG40" i="24" s="1"/>
  <c r="BH40" i="24" s="1"/>
  <c r="BI40" i="24" s="1"/>
  <c r="BK40" i="24" s="1"/>
  <c r="BL40" i="24" s="1"/>
  <c r="BM40" i="24" s="1"/>
  <c r="BN40" i="24" s="1"/>
  <c r="BO40" i="24" s="1"/>
  <c r="BP40" i="24" s="1"/>
  <c r="BR40" i="24" s="1"/>
  <c r="BS40" i="24" s="1"/>
  <c r="BT40" i="24" s="1"/>
  <c r="BU40" i="24" s="1"/>
  <c r="BV40" i="24" s="1"/>
  <c r="BW40" i="24" s="1"/>
  <c r="BY40" i="24" s="1"/>
  <c r="BZ40" i="24" s="1"/>
  <c r="CA40" i="24" s="1"/>
  <c r="CB40" i="24" s="1"/>
  <c r="CC40" i="24" s="1"/>
  <c r="CD40" i="24" s="1"/>
  <c r="CF40" i="24" s="1"/>
  <c r="CG40" i="24" s="1"/>
  <c r="CH40" i="24" s="1"/>
  <c r="CI40" i="24" s="1"/>
  <c r="CJ40" i="24" s="1"/>
  <c r="CK40" i="24" s="1"/>
  <c r="CM40" i="24" s="1"/>
  <c r="CN40" i="24" s="1"/>
  <c r="CO40" i="24" s="1"/>
  <c r="CP40" i="24" s="1"/>
  <c r="CQ40" i="24" s="1"/>
  <c r="CR40" i="24" s="1"/>
  <c r="CT40" i="24" s="1"/>
  <c r="CU40" i="24" s="1"/>
  <c r="CV40" i="24" s="1"/>
  <c r="CW40" i="24" s="1"/>
  <c r="CX40" i="24" s="1"/>
  <c r="CY40" i="24" s="1"/>
  <c r="DA40" i="24" s="1"/>
  <c r="DB40" i="24" s="1"/>
  <c r="DC40" i="24" s="1"/>
  <c r="DD40" i="24" s="1"/>
  <c r="DE40" i="24" s="1"/>
  <c r="DF40" i="24" s="1"/>
  <c r="DH40" i="24" s="1"/>
  <c r="DI40" i="24" s="1"/>
  <c r="DJ40" i="24" s="1"/>
  <c r="V40" i="24"/>
  <c r="W40" i="24" s="1"/>
  <c r="X40" i="24" s="1"/>
  <c r="Y40" i="24" s="1"/>
  <c r="Z40" i="24" s="1"/>
  <c r="AB40" i="24" s="1"/>
  <c r="AC40" i="24" s="1"/>
  <c r="AD40" i="24" s="1"/>
  <c r="U40" i="24"/>
  <c r="DB33" i="24"/>
  <c r="CU33" i="24"/>
  <c r="CN33" i="24"/>
  <c r="CG33" i="24"/>
  <c r="BZ33" i="24"/>
  <c r="BS33" i="24"/>
  <c r="BL33" i="24"/>
  <c r="BE33" i="24"/>
  <c r="AX33" i="24"/>
  <c r="AQ33" i="24"/>
  <c r="AJ33" i="24"/>
  <c r="AC33" i="24"/>
  <c r="V33" i="24"/>
  <c r="DB32" i="24"/>
  <c r="CU32" i="24"/>
  <c r="CN32" i="24"/>
  <c r="CG32" i="24"/>
  <c r="BZ32" i="24"/>
  <c r="BS32" i="24"/>
  <c r="BL32" i="24"/>
  <c r="BE32" i="24"/>
  <c r="AX32" i="24"/>
  <c r="AQ32" i="24"/>
  <c r="AJ32" i="24"/>
  <c r="AC32" i="24"/>
  <c r="V32" i="24"/>
  <c r="DB30" i="24"/>
  <c r="CU30" i="24"/>
  <c r="CN30" i="24"/>
  <c r="CG30" i="24"/>
  <c r="BZ30" i="24"/>
  <c r="BS30" i="24"/>
  <c r="BL30" i="24"/>
  <c r="BE30" i="24"/>
  <c r="AX30" i="24"/>
  <c r="AQ30" i="24"/>
  <c r="AJ30" i="24"/>
  <c r="AC30" i="24"/>
  <c r="V30" i="24"/>
  <c r="DB29" i="24"/>
  <c r="CU29" i="24"/>
  <c r="CN29" i="24"/>
  <c r="CG29" i="24"/>
  <c r="BZ29" i="24"/>
  <c r="BS29" i="24"/>
  <c r="BL29" i="24"/>
  <c r="BE29" i="24"/>
  <c r="AX29" i="24"/>
  <c r="AQ29" i="24"/>
  <c r="AJ29" i="24"/>
  <c r="AC29" i="24"/>
  <c r="V29" i="24"/>
  <c r="V28" i="24"/>
  <c r="DB27" i="24"/>
  <c r="CU27" i="24"/>
  <c r="CN27" i="24"/>
  <c r="CG27" i="24"/>
  <c r="BZ27" i="24"/>
  <c r="BS27" i="24"/>
  <c r="BL27" i="24"/>
  <c r="BE27" i="24"/>
  <c r="AX27" i="24"/>
  <c r="AQ27" i="24"/>
  <c r="AJ27" i="24"/>
  <c r="AC27" i="24"/>
  <c r="V27" i="24"/>
  <c r="S25" i="24"/>
  <c r="S24" i="24"/>
  <c r="AE16" i="24"/>
  <c r="DM13" i="24"/>
  <c r="DM12" i="24"/>
  <c r="DM11" i="24"/>
  <c r="DM10" i="24"/>
  <c r="DM9" i="24"/>
  <c r="DM8" i="24"/>
  <c r="DD8" i="24"/>
  <c r="CW8" i="24"/>
  <c r="CP8" i="24"/>
  <c r="CI8" i="24"/>
  <c r="CB8" i="24"/>
  <c r="BU8" i="24"/>
  <c r="BN8" i="24"/>
  <c r="BG8" i="24"/>
  <c r="AZ8" i="24"/>
  <c r="AS8" i="24"/>
  <c r="AL8" i="24"/>
  <c r="AE8" i="24"/>
  <c r="X8" i="24"/>
  <c r="DM7" i="24"/>
  <c r="DJ7" i="24"/>
  <c r="DM6" i="24"/>
  <c r="DM5" i="24"/>
  <c r="I5" i="24"/>
  <c r="S5" i="24" s="1"/>
  <c r="DM4" i="24"/>
  <c r="AC4" i="24"/>
  <c r="S4" i="24"/>
  <c r="DM3" i="24"/>
  <c r="AC3" i="24"/>
  <c r="S3" i="24"/>
  <c r="DM2" i="24"/>
  <c r="DJ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BF46" i="23"/>
  <c r="BC46" i="23"/>
  <c r="S46" i="23"/>
  <c r="BA45" i="23"/>
  <c r="BB45" i="23" s="1"/>
  <c r="BC45" i="23" s="1"/>
  <c r="AY45" i="23"/>
  <c r="AX45" i="23"/>
  <c r="AW45" i="23"/>
  <c r="AC45" i="23"/>
  <c r="AD45" i="23" s="1"/>
  <c r="U45" i="23"/>
  <c r="V45" i="23" s="1"/>
  <c r="W45" i="23" s="1"/>
  <c r="X45" i="23" s="1"/>
  <c r="Y45" i="23" s="1"/>
  <c r="Z45" i="23" s="1"/>
  <c r="AA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AF40" i="21"/>
  <c r="AG40" i="21" s="1"/>
  <c r="AI40" i="21" s="1"/>
  <c r="AJ40" i="21" s="1"/>
  <c r="AK40" i="21" s="1"/>
  <c r="U40" i="21"/>
  <c r="V40" i="21" s="1"/>
  <c r="W40" i="21" s="1"/>
  <c r="X40" i="21" s="1"/>
  <c r="Y40" i="21" s="1"/>
  <c r="Z40" i="21" s="1"/>
  <c r="AB40" i="21" s="1"/>
  <c r="AC40" i="21" s="1"/>
  <c r="AD40" i="21" s="1"/>
  <c r="AE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S43" i="20"/>
  <c r="I44" i="20" s="1"/>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C43" i="19"/>
  <c r="AN42" i="19"/>
  <c r="AN41" i="19"/>
  <c r="AK41" i="19"/>
  <c r="W40" i="19"/>
  <c r="X40" i="19" s="1"/>
  <c r="Y40" i="19" s="1"/>
  <c r="Z40" i="19" s="1"/>
  <c r="AB40" i="19" s="1"/>
  <c r="AC40" i="19" s="1"/>
  <c r="AD40" i="19" s="1"/>
  <c r="AE40" i="19" s="1"/>
  <c r="AF40" i="19" s="1"/>
  <c r="AG40" i="19" s="1"/>
  <c r="AI40" i="19" s="1"/>
  <c r="AJ40" i="19" s="1"/>
  <c r="AK40" i="19" s="1"/>
  <c r="V40" i="19"/>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S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Q44" i="18"/>
  <c r="AS44" i="18" s="1"/>
  <c r="AT44" i="18" s="1"/>
  <c r="AU44" i="18" s="1"/>
  <c r="AN44" i="18"/>
  <c r="AO44" i="18" s="1"/>
  <c r="AP44" i="18" s="1"/>
  <c r="X44" i="18"/>
  <c r="Y44" i="18" s="1"/>
  <c r="AA44" i="18" s="1"/>
  <c r="AB44" i="18" s="1"/>
  <c r="W44" i="18"/>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G52" i="17"/>
  <c r="AT51" i="17"/>
  <c r="AT50" i="17"/>
  <c r="AT49" i="17"/>
  <c r="AQ49" i="17"/>
  <c r="AK48" i="17"/>
  <c r="AL48" i="17" s="1"/>
  <c r="AM48" i="17" s="1"/>
  <c r="AO48" i="17" s="1"/>
  <c r="AP48" i="17" s="1"/>
  <c r="AQ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U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S45" i="16"/>
  <c r="AP44" i="16"/>
  <c r="AP43" i="16"/>
  <c r="AM43" i="16"/>
  <c r="AD43" i="16"/>
  <c r="AF42" i="16"/>
  <c r="AG42" i="16" s="1"/>
  <c r="AH42" i="16" s="1"/>
  <c r="AI42" i="16" s="1"/>
  <c r="AK42" i="16" s="1"/>
  <c r="AL42" i="16" s="1"/>
  <c r="AM42" i="16" s="1"/>
  <c r="AD42" i="16"/>
  <c r="X42" i="16"/>
  <c r="Y42" i="16" s="1"/>
  <c r="Z42" i="16" s="1"/>
  <c r="AA42" i="16" s="1"/>
  <c r="AC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K42" i="15"/>
  <c r="AL42" i="15" s="1"/>
  <c r="AM42" i="15" s="1"/>
  <c r="AI42" i="15"/>
  <c r="AH42" i="15"/>
  <c r="AG42" i="15"/>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S43" i="14"/>
  <c r="AF42" i="14"/>
  <c r="AG42" i="14" s="1"/>
  <c r="AH42" i="14" s="1"/>
  <c r="AI42" i="14" s="1"/>
  <c r="AK42" i="14" s="1"/>
  <c r="AL42" i="14" s="1"/>
  <c r="AM42" i="14" s="1"/>
  <c r="AD42" i="14"/>
  <c r="X42" i="14"/>
  <c r="Y42" i="14" s="1"/>
  <c r="Z42" i="14" s="1"/>
  <c r="AA42" i="14" s="1"/>
  <c r="AC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J48" i="13" s="1"/>
  <c r="AP46" i="13"/>
  <c r="AP45" i="13"/>
  <c r="S45" i="13"/>
  <c r="AP44" i="13"/>
  <c r="S44" i="13"/>
  <c r="AP43" i="13"/>
  <c r="AM43" i="13"/>
  <c r="S43" i="13"/>
  <c r="AI42" i="13"/>
  <c r="AK42" i="13" s="1"/>
  <c r="AL42" i="13" s="1"/>
  <c r="AM42" i="13" s="1"/>
  <c r="AG42" i="13"/>
  <c r="AH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D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D43" i="11"/>
  <c r="AG42" i="11"/>
  <c r="AH42" i="11" s="1"/>
  <c r="AI42" i="11" s="1"/>
  <c r="AK42" i="11" s="1"/>
  <c r="AL42" i="11" s="1"/>
  <c r="AM42" i="11" s="1"/>
  <c r="AF42" i="11"/>
  <c r="AD42" i="11"/>
  <c r="X42" i="11"/>
  <c r="Y42" i="11" s="1"/>
  <c r="Z42" i="11" s="1"/>
  <c r="AA42" i="11" s="1"/>
  <c r="AC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AP5" i="11"/>
  <c r="AD5" i="11"/>
  <c r="S5" i="11"/>
  <c r="I6" i="11" s="1"/>
  <c r="J7"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S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J106" i="5"/>
  <c r="AH106" i="5"/>
  <c r="G106" i="5"/>
  <c r="AI106" i="5"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AO90" i="5"/>
  <c r="AN90" i="5"/>
  <c r="AM90" i="5"/>
  <c r="AL90" i="5"/>
  <c r="AK90" i="5"/>
  <c r="AJ90" i="5"/>
  <c r="AC41" i="28" s="1"/>
  <c r="AI90" i="5"/>
  <c r="AH90" i="5"/>
  <c r="AQ84" i="5"/>
  <c r="AP84" i="5"/>
  <c r="S48" i="23" s="1"/>
  <c r="K52" i="23" s="1"/>
  <c r="S52" i="23" s="1"/>
  <c r="AO84" i="5"/>
  <c r="S47" i="23" s="1"/>
  <c r="AN84" i="5"/>
  <c r="AM84" i="5"/>
  <c r="AL84" i="5"/>
  <c r="AK84" i="5"/>
  <c r="AD47" i="23" s="1"/>
  <c r="AJ84" i="5"/>
  <c r="AD46" i="23" s="1"/>
  <c r="AI84" i="5"/>
  <c r="AH84" i="5"/>
  <c r="AQ79" i="5"/>
  <c r="AP79" i="5"/>
  <c r="S43" i="22" s="1"/>
  <c r="I44" i="22" s="1"/>
  <c r="AO79" i="5"/>
  <c r="S42" i="22" s="1"/>
  <c r="AN79" i="5"/>
  <c r="S41" i="22" s="1"/>
  <c r="AM79" i="5"/>
  <c r="AL79" i="5"/>
  <c r="AC43" i="22" s="1"/>
  <c r="AK79" i="5"/>
  <c r="AC42" i="22" s="1"/>
  <c r="AJ79" i="5"/>
  <c r="AI79" i="5"/>
  <c r="AH79" i="5"/>
  <c r="AQ74" i="5"/>
  <c r="AP74" i="5"/>
  <c r="AO74" i="5"/>
  <c r="S42" i="21" s="1"/>
  <c r="AN74" i="5"/>
  <c r="S41" i="21" s="1"/>
  <c r="AM74" i="5"/>
  <c r="AL74" i="5"/>
  <c r="AC43" i="21" s="1"/>
  <c r="AK74" i="5"/>
  <c r="AC42" i="21" s="1"/>
  <c r="AJ74" i="5"/>
  <c r="AI74" i="5"/>
  <c r="AH74" i="5"/>
  <c r="AQ69" i="5"/>
  <c r="AP69" i="5"/>
  <c r="AO69" i="5"/>
  <c r="S42" i="20" s="1"/>
  <c r="AN69" i="5"/>
  <c r="S41" i="20" s="1"/>
  <c r="AM69" i="5"/>
  <c r="AL69" i="5"/>
  <c r="AC43" i="20" s="1"/>
  <c r="AK69" i="5"/>
  <c r="AC42" i="20" s="1"/>
  <c r="AJ69" i="5"/>
  <c r="AI69" i="5"/>
  <c r="AH69" i="5"/>
  <c r="AQ64" i="5"/>
  <c r="AP64" i="5"/>
  <c r="S43" i="19" s="1"/>
  <c r="I44" i="19" s="1"/>
  <c r="AO64" i="5"/>
  <c r="S42" i="19" s="1"/>
  <c r="AN64" i="5"/>
  <c r="S41" i="19" s="1"/>
  <c r="AM64" i="5"/>
  <c r="AL64" i="5"/>
  <c r="AK64" i="5"/>
  <c r="AC42" i="19" s="1"/>
  <c r="AJ64" i="5"/>
  <c r="AC41" i="19" s="1"/>
  <c r="AI64" i="5"/>
  <c r="AH64" i="5"/>
  <c r="AQ48" i="5"/>
  <c r="S48" i="18" s="1"/>
  <c r="AP48" i="5"/>
  <c r="S47" i="18" s="1"/>
  <c r="AO48" i="5"/>
  <c r="S46" i="18" s="1"/>
  <c r="AN48" i="5"/>
  <c r="S45" i="18" s="1"/>
  <c r="AM48" i="5"/>
  <c r="AB48" i="18" s="1"/>
  <c r="AL48" i="5"/>
  <c r="AB47" i="18" s="1"/>
  <c r="AK48" i="5"/>
  <c r="AB46" i="18" s="1"/>
  <c r="AJ48" i="5"/>
  <c r="AI48" i="5"/>
  <c r="AH48" i="5"/>
  <c r="AQ43" i="5"/>
  <c r="S46" i="13" s="1"/>
  <c r="AP43" i="5"/>
  <c r="AO43" i="5"/>
  <c r="AN43" i="5"/>
  <c r="AM43" i="5"/>
  <c r="AD46" i="13" s="1"/>
  <c r="AL43" i="5"/>
  <c r="AD45" i="13" s="1"/>
  <c r="AK43" i="5"/>
  <c r="AD44" i="13" s="1"/>
  <c r="AJ43" i="5"/>
  <c r="AI43" i="5"/>
  <c r="AH43" i="5"/>
  <c r="AQ38" i="5"/>
  <c r="S46" i="16" s="1"/>
  <c r="AP38" i="5"/>
  <c r="AO38" i="5"/>
  <c r="S44" i="16" s="1"/>
  <c r="AN38" i="5"/>
  <c r="S43" i="16" s="1"/>
  <c r="AM38" i="5"/>
  <c r="AD46" i="16" s="1"/>
  <c r="AL38" i="5"/>
  <c r="AK38" i="5"/>
  <c r="AD44" i="16" s="1"/>
  <c r="AJ38" i="5"/>
  <c r="AI38" i="5"/>
  <c r="AH38" i="5"/>
  <c r="AQ33" i="5"/>
  <c r="S46" i="15" s="1"/>
  <c r="J48" i="15" s="1"/>
  <c r="AP33" i="5"/>
  <c r="S45" i="15" s="1"/>
  <c r="AO33" i="5"/>
  <c r="S44" i="15" s="1"/>
  <c r="AN33" i="5"/>
  <c r="S43" i="15" s="1"/>
  <c r="AM33" i="5"/>
  <c r="AD46" i="15" s="1"/>
  <c r="AL33" i="5"/>
  <c r="AD45" i="15" s="1"/>
  <c r="AK33" i="5"/>
  <c r="AJ33" i="5"/>
  <c r="AD43" i="15" s="1"/>
  <c r="AI33" i="5"/>
  <c r="AH33" i="5"/>
  <c r="AQ28" i="5"/>
  <c r="U52" i="17" s="1"/>
  <c r="I53" i="17" s="1"/>
  <c r="J54" i="17" s="1"/>
  <c r="AP28" i="5"/>
  <c r="U51" i="17" s="1"/>
  <c r="AO28" i="5"/>
  <c r="U50" i="17" s="1"/>
  <c r="AN28" i="5"/>
  <c r="U49" i="17" s="1"/>
  <c r="AM28" i="5"/>
  <c r="AL28" i="5"/>
  <c r="AG51" i="17" s="1"/>
  <c r="AK28" i="5"/>
  <c r="AG50" i="17" s="1"/>
  <c r="AJ28" i="5"/>
  <c r="AI28" i="5"/>
  <c r="AH28" i="5"/>
  <c r="AQ23" i="5"/>
  <c r="AP23" i="5"/>
  <c r="L21" i="58" s="1"/>
  <c r="AO23" i="5"/>
  <c r="L20" i="58" s="1"/>
  <c r="AN23" i="5"/>
  <c r="L19" i="58" s="1"/>
  <c r="AM23" i="5"/>
  <c r="AL23" i="5"/>
  <c r="O21" i="58" s="1"/>
  <c r="AK23" i="5"/>
  <c r="AJ23" i="5"/>
  <c r="AI23" i="5"/>
  <c r="AH23" i="5"/>
  <c r="AQ18" i="5"/>
  <c r="AP18" i="5"/>
  <c r="S45" i="12" s="1"/>
  <c r="AO18" i="5"/>
  <c r="S44" i="12" s="1"/>
  <c r="AN18" i="5"/>
  <c r="S43" i="12" s="1"/>
  <c r="AM18" i="5"/>
  <c r="AD46" i="12" s="1"/>
  <c r="AL18" i="5"/>
  <c r="AD45" i="12" s="1"/>
  <c r="AK18" i="5"/>
  <c r="AJ18" i="5"/>
  <c r="AI18" i="5"/>
  <c r="AH18" i="5"/>
  <c r="F87" i="43" s="1"/>
  <c r="AQ13" i="5"/>
  <c r="S46" i="11" s="1"/>
  <c r="I47" i="11" s="1"/>
  <c r="AP13" i="5"/>
  <c r="S45" i="11" s="1"/>
  <c r="AO13" i="5"/>
  <c r="S44" i="11" s="1"/>
  <c r="AN13" i="5"/>
  <c r="S43" i="11" s="1"/>
  <c r="AM13" i="5"/>
  <c r="AD46" i="11" s="1"/>
  <c r="AL13" i="5"/>
  <c r="AK13" i="5"/>
  <c r="AD44" i="11" s="1"/>
  <c r="AJ13" i="5"/>
  <c r="AI13" i="5"/>
  <c r="AH13" i="5"/>
  <c r="D6" i="5"/>
  <c r="D5" i="5"/>
  <c r="R13" i="4"/>
  <c r="Q13" i="4"/>
  <c r="P13" i="4"/>
  <c r="I13" i="4"/>
  <c r="E7" i="4"/>
  <c r="D5" i="4"/>
  <c r="O13" i="3"/>
  <c r="M13" i="3" a="1"/>
  <c r="M13" i="3" s="1"/>
  <c r="E13" i="3"/>
  <c r="E12" i="3"/>
  <c r="G12" i="3" s="1"/>
  <c r="N106" i="5" s="1"/>
  <c r="AK106" i="5" s="1"/>
  <c r="AC42" i="24" s="1"/>
  <c r="E4" i="3"/>
  <c r="E59" i="2"/>
  <c r="E49" i="2"/>
  <c r="E41" i="2"/>
  <c r="E27" i="2"/>
  <c r="E26" i="2"/>
  <c r="F25" i="2"/>
  <c r="E22" i="2"/>
  <c r="E21" i="2"/>
  <c r="F20" i="2"/>
  <c r="E19" i="2"/>
  <c r="E3" i="2"/>
  <c r="E2" i="2"/>
  <c r="Y23" i="61"/>
  <c r="L23" i="61"/>
  <c r="L22" i="61"/>
  <c r="M10" i="50"/>
  <c r="L21" i="61"/>
  <c r="Y25" i="60"/>
  <c r="Y25" i="58"/>
  <c r="M2" i="50"/>
  <c r="L19" i="61"/>
  <c r="P2" i="51"/>
  <c r="K2" i="49"/>
  <c r="L20" i="61"/>
  <c r="AL46" i="28"/>
  <c r="Y25" i="59"/>
  <c r="P11" i="51"/>
  <c r="DK7" i="24"/>
  <c r="AL46" i="22"/>
  <c r="AL7" i="25"/>
  <c r="AL7" i="28"/>
  <c r="AL46" i="25"/>
  <c r="DK46" i="24"/>
  <c r="AN49" i="16"/>
  <c r="AN49" i="14"/>
  <c r="AN8" i="12"/>
  <c r="AN49" i="11"/>
  <c r="AL46" i="21"/>
  <c r="AR8" i="17"/>
  <c r="AN8" i="15"/>
  <c r="AL46" i="20"/>
  <c r="AL46" i="19"/>
  <c r="AR55" i="17"/>
  <c r="K9" i="49"/>
  <c r="AL7" i="27"/>
  <c r="AL7" i="21"/>
  <c r="AN8" i="16"/>
  <c r="AL7" i="20"/>
  <c r="AV51" i="18"/>
  <c r="AR56" i="17"/>
  <c r="AN8" i="11"/>
  <c r="AL7" i="19"/>
  <c r="AV8" i="18"/>
  <c r="J13" i="3"/>
  <c r="AN49" i="12"/>
  <c r="AN8" i="13"/>
  <c r="AN49" i="15"/>
  <c r="AN8" i="14"/>
  <c r="AL7" i="22"/>
  <c r="AL46" i="27"/>
  <c r="AN49" i="13"/>
  <c r="K8" i="11" l="1"/>
  <c r="S8" i="11" s="1"/>
  <c r="S7" i="11"/>
  <c r="S7" i="14"/>
  <c r="K8" i="14"/>
  <c r="S8" i="14" s="1"/>
  <c r="S47" i="12"/>
  <c r="J48" i="12"/>
  <c r="S6" i="13"/>
  <c r="J7" i="13"/>
  <c r="S47" i="11"/>
  <c r="J48" i="11"/>
  <c r="U54" i="17"/>
  <c r="K55" i="17"/>
  <c r="G93" i="43"/>
  <c r="G33" i="43"/>
  <c r="G209" i="43"/>
  <c r="G267" i="43"/>
  <c r="G151" i="43"/>
  <c r="AG49" i="17"/>
  <c r="D35" i="7"/>
  <c r="D33" i="7"/>
  <c r="O19" i="58"/>
  <c r="G264" i="43"/>
  <c r="G148" i="43"/>
  <c r="G90" i="43"/>
  <c r="G30" i="43"/>
  <c r="G206" i="43"/>
  <c r="F151" i="43"/>
  <c r="F93" i="43"/>
  <c r="F33" i="43"/>
  <c r="F209" i="43"/>
  <c r="F267" i="43"/>
  <c r="G218" i="43"/>
  <c r="G102" i="43"/>
  <c r="G42" i="43"/>
  <c r="AD43" i="13"/>
  <c r="G160" i="43"/>
  <c r="G276" i="43"/>
  <c r="F279" i="43"/>
  <c r="F163" i="43"/>
  <c r="F45" i="43"/>
  <c r="F221" i="43"/>
  <c r="F105" i="43"/>
  <c r="G288" i="43"/>
  <c r="G172" i="43"/>
  <c r="G114" i="43"/>
  <c r="G54" i="43"/>
  <c r="AC41" i="21"/>
  <c r="G230" i="43"/>
  <c r="F57" i="43"/>
  <c r="F233" i="43"/>
  <c r="F291" i="43"/>
  <c r="F175" i="43"/>
  <c r="F117" i="43"/>
  <c r="S44" i="22"/>
  <c r="J45" i="22"/>
  <c r="AC43" i="28"/>
  <c r="AC43" i="27"/>
  <c r="G242" i="43"/>
  <c r="G126" i="43"/>
  <c r="G300" i="43"/>
  <c r="F129" i="43"/>
  <c r="F303" i="43"/>
  <c r="F187" i="43"/>
  <c r="F69" i="43"/>
  <c r="F245" i="43"/>
  <c r="J7" i="12"/>
  <c r="J6" i="19"/>
  <c r="F258" i="43"/>
  <c r="F84" i="43"/>
  <c r="F200" i="43"/>
  <c r="F24" i="43"/>
  <c r="F142" i="43"/>
  <c r="G279" i="43"/>
  <c r="G163" i="43"/>
  <c r="G105" i="43"/>
  <c r="G221" i="43"/>
  <c r="G45" i="43"/>
  <c r="AB45" i="18"/>
  <c r="G233" i="43"/>
  <c r="G291" i="43"/>
  <c r="G175" i="43"/>
  <c r="G117" i="43"/>
  <c r="G57" i="43"/>
  <c r="AC41" i="22"/>
  <c r="F294" i="43"/>
  <c r="F236" i="43"/>
  <c r="F178" i="43"/>
  <c r="F120" i="43"/>
  <c r="F60" i="43"/>
  <c r="S41" i="28"/>
  <c r="S41" i="27"/>
  <c r="G129" i="43"/>
  <c r="AD46" i="29"/>
  <c r="G303" i="43"/>
  <c r="G187" i="43"/>
  <c r="G69" i="43"/>
  <c r="G245" i="43"/>
  <c r="S48" i="13"/>
  <c r="K49" i="13"/>
  <c r="S49" i="13" s="1"/>
  <c r="I11" i="45"/>
  <c r="H11" i="40"/>
  <c r="I9" i="34"/>
  <c r="I12" i="32"/>
  <c r="H16" i="31"/>
  <c r="I27" i="30"/>
  <c r="I12" i="33"/>
  <c r="L22" i="58"/>
  <c r="F23" i="58" s="1"/>
  <c r="S46" i="14"/>
  <c r="AC42" i="28"/>
  <c r="AC42" i="27"/>
  <c r="G309" i="43"/>
  <c r="G251" i="43"/>
  <c r="G193" i="43"/>
  <c r="G75" i="43"/>
  <c r="AC41" i="25"/>
  <c r="G135" i="43"/>
  <c r="F312" i="43"/>
  <c r="F254" i="43"/>
  <c r="F196" i="43"/>
  <c r="F138" i="43"/>
  <c r="F78" i="43"/>
  <c r="AD45" i="14"/>
  <c r="J45" i="20"/>
  <c r="S44" i="20"/>
  <c r="O20" i="58"/>
  <c r="AD44" i="14"/>
  <c r="K51" i="18"/>
  <c r="S51" i="18" s="1"/>
  <c r="J50" i="18"/>
  <c r="I49" i="18"/>
  <c r="G312" i="43"/>
  <c r="G196" i="43"/>
  <c r="AD46" i="26"/>
  <c r="G138" i="43"/>
  <c r="G78" i="43"/>
  <c r="G254" i="43"/>
  <c r="I47" i="15"/>
  <c r="K8" i="17"/>
  <c r="K7" i="21"/>
  <c r="S7" i="21" s="1"/>
  <c r="S6" i="21"/>
  <c r="I28" i="35"/>
  <c r="G184" i="43"/>
  <c r="S47" i="13"/>
  <c r="J45" i="21"/>
  <c r="S44" i="21"/>
  <c r="J6" i="25"/>
  <c r="S5" i="25"/>
  <c r="J45" i="25"/>
  <c r="S44" i="19"/>
  <c r="J45" i="19"/>
  <c r="S48" i="15"/>
  <c r="K49" i="15"/>
  <c r="S49" i="15" s="1"/>
  <c r="J45" i="27"/>
  <c r="S44" i="27"/>
  <c r="S7" i="16"/>
  <c r="K8" i="16"/>
  <c r="S8" i="16" s="1"/>
  <c r="K7" i="20"/>
  <c r="S7" i="20" s="1"/>
  <c r="S6" i="20"/>
  <c r="J48" i="16"/>
  <c r="I47" i="16"/>
  <c r="J6" i="22"/>
  <c r="S5" i="22"/>
  <c r="F270" i="43"/>
  <c r="F212" i="43"/>
  <c r="F154" i="43"/>
  <c r="F96" i="43"/>
  <c r="F36" i="43"/>
  <c r="F282" i="43"/>
  <c r="F224" i="43"/>
  <c r="F166" i="43"/>
  <c r="F108" i="43"/>
  <c r="F48" i="43"/>
  <c r="O22" i="58"/>
  <c r="AD46" i="14"/>
  <c r="S42" i="28"/>
  <c r="S42" i="27"/>
  <c r="J45" i="24"/>
  <c r="S44" i="24"/>
  <c r="D36" i="7"/>
  <c r="D37" i="7" s="1"/>
  <c r="D38" i="7" s="1"/>
  <c r="D34" i="7"/>
  <c r="K8" i="15"/>
  <c r="S8" i="15" s="1"/>
  <c r="K7" i="28"/>
  <c r="S7" i="28" s="1"/>
  <c r="S6" i="28"/>
  <c r="G66" i="43"/>
  <c r="I9" i="45"/>
  <c r="I26" i="35"/>
  <c r="I10" i="33"/>
  <c r="I25" i="30"/>
  <c r="I7" i="34"/>
  <c r="H14" i="31"/>
  <c r="H9" i="40"/>
  <c r="I10" i="45"/>
  <c r="I8" i="34"/>
  <c r="I11" i="32"/>
  <c r="I27" i="35"/>
  <c r="I11" i="33"/>
  <c r="I26" i="30"/>
  <c r="G261" i="43"/>
  <c r="G203" i="43"/>
  <c r="G145" i="43"/>
  <c r="G87" i="43"/>
  <c r="F264" i="43"/>
  <c r="F206" i="43"/>
  <c r="F148" i="43"/>
  <c r="F90" i="43"/>
  <c r="F30" i="43"/>
  <c r="G273" i="43"/>
  <c r="G215" i="43"/>
  <c r="G157" i="43"/>
  <c r="G99" i="43"/>
  <c r="G39" i="43"/>
  <c r="F276" i="43"/>
  <c r="F218" i="43"/>
  <c r="F160" i="43"/>
  <c r="F102" i="43"/>
  <c r="F42" i="43"/>
  <c r="G285" i="43"/>
  <c r="G227" i="43"/>
  <c r="G169" i="43"/>
  <c r="G111" i="43"/>
  <c r="G51" i="43"/>
  <c r="F288" i="43"/>
  <c r="F230" i="43"/>
  <c r="F172" i="43"/>
  <c r="F114" i="43"/>
  <c r="F54" i="43"/>
  <c r="G297" i="43"/>
  <c r="G239" i="43"/>
  <c r="G181" i="43"/>
  <c r="G63" i="43"/>
  <c r="F300" i="43"/>
  <c r="F242" i="43"/>
  <c r="F184" i="43"/>
  <c r="F126" i="43"/>
  <c r="F66" i="43"/>
  <c r="G306" i="43"/>
  <c r="G248" i="43"/>
  <c r="G190" i="43"/>
  <c r="G132" i="43"/>
  <c r="G72" i="43"/>
  <c r="F135" i="43"/>
  <c r="F309" i="43"/>
  <c r="F193" i="43"/>
  <c r="F75" i="43"/>
  <c r="F251" i="43"/>
  <c r="AD43" i="12"/>
  <c r="AC41" i="24"/>
  <c r="H15" i="38"/>
  <c r="I36" i="38"/>
  <c r="H36" i="38" s="1"/>
  <c r="G27" i="43"/>
  <c r="S43" i="28"/>
  <c r="I44" i="28" s="1"/>
  <c r="AC41" i="27"/>
  <c r="I31" i="30"/>
  <c r="I136" i="30" s="1"/>
  <c r="H31" i="30"/>
  <c r="H136" i="30" s="1"/>
  <c r="I10" i="32"/>
  <c r="AC41" i="20"/>
  <c r="J6" i="24"/>
  <c r="H15" i="31"/>
  <c r="G258" i="43"/>
  <c r="G200" i="43"/>
  <c r="G142" i="43"/>
  <c r="G84" i="43"/>
  <c r="G24" i="43"/>
  <c r="G5" i="43"/>
  <c r="G2" i="43"/>
  <c r="F261" i="43"/>
  <c r="F145" i="43"/>
  <c r="F203" i="43"/>
  <c r="F27" i="43"/>
  <c r="G270" i="43"/>
  <c r="G212" i="43"/>
  <c r="G154" i="43"/>
  <c r="G96" i="43"/>
  <c r="G36" i="43"/>
  <c r="F39" i="43"/>
  <c r="F215" i="43"/>
  <c r="F273" i="43"/>
  <c r="F157" i="43"/>
  <c r="F99" i="43"/>
  <c r="G282" i="43"/>
  <c r="G224" i="43"/>
  <c r="G166" i="43"/>
  <c r="G108" i="43"/>
  <c r="G48" i="43"/>
  <c r="F285" i="43"/>
  <c r="F169" i="43"/>
  <c r="F111" i="43"/>
  <c r="F51" i="43"/>
  <c r="F227" i="43"/>
  <c r="G294" i="43"/>
  <c r="G236" i="43"/>
  <c r="G178" i="43"/>
  <c r="G120" i="43"/>
  <c r="G60" i="43"/>
  <c r="F239" i="43"/>
  <c r="F297" i="43"/>
  <c r="F181" i="43"/>
  <c r="F123" i="43"/>
  <c r="F63" i="43"/>
  <c r="F306" i="43"/>
  <c r="F248" i="43"/>
  <c r="F190" i="43"/>
  <c r="F132" i="43"/>
  <c r="F72" i="43"/>
  <c r="S44" i="14"/>
  <c r="S6" i="27"/>
  <c r="G123" i="43"/>
  <c r="F5" i="36"/>
  <c r="F5" i="37"/>
  <c r="F5" i="38"/>
  <c r="G24" i="60"/>
  <c r="L23" i="60"/>
  <c r="AA16" i="57"/>
  <c r="N16" i="57" s="1"/>
  <c r="I21" i="40" s="1"/>
  <c r="E30" i="56"/>
  <c r="C30" i="56" s="1"/>
  <c r="D14" i="42" s="1"/>
  <c r="E5" i="56"/>
  <c r="C5" i="56" s="1"/>
  <c r="D5" i="41" s="1"/>
  <c r="AA13" i="57"/>
  <c r="N13" i="57" s="1"/>
  <c r="I17" i="40" s="1"/>
  <c r="J46" i="55"/>
  <c r="AA15" i="57"/>
  <c r="N15" i="57" s="1"/>
  <c r="I19" i="40" s="1"/>
  <c r="E29" i="56"/>
  <c r="C29" i="56" s="1"/>
  <c r="D5" i="44" s="1"/>
  <c r="J52" i="55"/>
  <c r="J45" i="55" s="1"/>
  <c r="E5" i="2" s="1"/>
  <c r="J50" i="55"/>
  <c r="O9" i="51"/>
  <c r="E24" i="42"/>
  <c r="U15" i="57"/>
  <c r="M15" i="57" s="1"/>
  <c r="E19" i="40" s="1"/>
  <c r="J47" i="55"/>
  <c r="J8" i="50"/>
  <c r="E11" i="44"/>
  <c r="M258" i="43"/>
  <c r="M200" i="43"/>
  <c r="M142" i="43"/>
  <c r="M84" i="43"/>
  <c r="M24" i="43"/>
  <c r="E14" i="43"/>
  <c r="E35" i="42"/>
  <c r="G17" i="41"/>
  <c r="U148" i="57"/>
  <c r="M148" i="57" s="1"/>
  <c r="E12" i="41" s="1"/>
  <c r="U14" i="57"/>
  <c r="M14" i="57" s="1"/>
  <c r="E18" i="40" s="1"/>
  <c r="E6" i="56"/>
  <c r="C6" i="56" s="1"/>
  <c r="E21" i="30" s="1"/>
  <c r="J51" i="55"/>
  <c r="J49" i="55"/>
  <c r="G8" i="50"/>
  <c r="E10" i="44"/>
  <c r="E32" i="42"/>
  <c r="E16" i="41"/>
  <c r="AA12" i="57"/>
  <c r="N12" i="57" s="1"/>
  <c r="I16" i="40" s="1"/>
  <c r="H38" i="38"/>
  <c r="G24" i="59"/>
  <c r="H49" i="38"/>
  <c r="F32" i="55"/>
  <c r="F29" i="55"/>
  <c r="S6" i="24" l="1"/>
  <c r="K7" i="24"/>
  <c r="S7" i="24" s="1"/>
  <c r="S7" i="13"/>
  <c r="K8" i="13"/>
  <c r="S8" i="13" s="1"/>
  <c r="H25" i="59"/>
  <c r="L25" i="59" s="1"/>
  <c r="L24" i="59"/>
  <c r="S45" i="27"/>
  <c r="K46" i="27"/>
  <c r="S46" i="27" s="1"/>
  <c r="B5" i="1"/>
  <c r="D4" i="4"/>
  <c r="S45" i="21"/>
  <c r="K46" i="21"/>
  <c r="S46" i="21" s="1"/>
  <c r="K46" i="22"/>
  <c r="S46" i="22" s="1"/>
  <c r="S45" i="22"/>
  <c r="S45" i="19"/>
  <c r="K46" i="19"/>
  <c r="S46" i="19" s="1"/>
  <c r="S45" i="24"/>
  <c r="K46" i="24"/>
  <c r="S46" i="24" s="1"/>
  <c r="S6" i="22"/>
  <c r="K7" i="22"/>
  <c r="S7" i="22" s="1"/>
  <c r="H25" i="60"/>
  <c r="L25" i="60" s="1"/>
  <c r="L24" i="60"/>
  <c r="K49" i="16"/>
  <c r="S49" i="16" s="1"/>
  <c r="S48" i="16"/>
  <c r="S48" i="12"/>
  <c r="K49" i="12"/>
  <c r="S49" i="12" s="1"/>
  <c r="J48" i="14"/>
  <c r="I47" i="14"/>
  <c r="L56" i="17"/>
  <c r="U56" i="17" s="1"/>
  <c r="U55" i="17"/>
  <c r="K46" i="25"/>
  <c r="S46" i="25" s="1"/>
  <c r="S45" i="25"/>
  <c r="S45" i="20"/>
  <c r="K46" i="20"/>
  <c r="S46" i="20" s="1"/>
  <c r="G24" i="58"/>
  <c r="L23" i="58"/>
  <c r="K7" i="19"/>
  <c r="S7" i="19" s="1"/>
  <c r="S6" i="19"/>
  <c r="S44" i="28"/>
  <c r="J45" i="28"/>
  <c r="D39" i="7"/>
  <c r="D40" i="7"/>
  <c r="D42" i="7"/>
  <c r="D43" i="7" s="1"/>
  <c r="D44" i="7" s="1"/>
  <c r="K8" i="12"/>
  <c r="S8" i="12" s="1"/>
  <c r="S7" i="12"/>
  <c r="S48" i="11"/>
  <c r="K49" i="11"/>
  <c r="S49" i="11" s="1"/>
  <c r="S6" i="25"/>
  <c r="K7" i="25"/>
  <c r="S7" i="25" s="1"/>
  <c r="U8" i="17"/>
  <c r="L9" i="17"/>
  <c r="U9" i="17" s="1"/>
  <c r="S45" i="28" l="1"/>
  <c r="K46" i="28"/>
  <c r="S46" i="28" s="1"/>
  <c r="H25" i="58"/>
  <c r="L25" i="58" s="1"/>
  <c r="L24" i="58"/>
  <c r="K49" i="14"/>
  <c r="S49" i="14" s="1"/>
  <c r="S48" i="14"/>
  <c r="D50" i="7"/>
  <c r="D48" i="7"/>
  <c r="D46" i="7"/>
  <c r="D45" i="7"/>
  <c r="D47" i="7"/>
</calcChain>
</file>

<file path=xl/comments1.xml><?xml version="1.0" encoding="utf-8"?>
<comments xmlns="http://schemas.openxmlformats.org/spreadsheetml/2006/main">
  <authors>
    <author>&lt;анонимный&gt;</author>
  </authors>
  <commentList>
    <comment ref="F31" authorId="0" shapeId="0">
      <text>
        <r>
          <rPr>
            <sz val="10"/>
            <rFont val="Open Sans"/>
            <family val="2"/>
          </rPr>
          <t>Выбор организации двойным щелчком левой клавиши мыши</t>
        </r>
      </text>
    </comment>
    <comment ref="E37" authorId="0" shapeId="0">
      <text>
        <r>
          <rPr>
            <sz val="10"/>
            <rFont val="Open Sans"/>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&lt;анонимный&gt;</author>
  </authors>
  <commentList>
    <comment ref="AZ1" authorId="0" shapeId="0">
      <text>
        <r>
          <rPr>
            <sz val="10"/>
            <rFont val="Open Sans"/>
            <family val="2"/>
          </rPr>
          <t>Тип организации</t>
        </r>
      </text>
    </comment>
    <comment ref="L6" authorId="0" shapeId="0">
      <text>
        <r>
          <rPr>
            <sz val="10"/>
            <rFont val="Open Sans"/>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&lt;анонимный&gt;</author>
  </authors>
  <commentList>
    <comment ref="P2" authorId="0" shapeId="0">
      <text>
        <r>
          <rPr>
            <sz val="10"/>
            <rFont val="Open Sans"/>
            <family val="2"/>
          </rPr>
          <t>сюда же для некоторых формул может входить:
- VOTV
- HOTVSNA</t>
        </r>
      </text>
    </comment>
    <comment ref="U2" authorId="0" shapeId="0">
      <text>
        <r>
          <rPr>
            <sz val="10"/>
            <rFont val="Open Sans"/>
            <family val="2"/>
          </rPr>
          <t>сюда же для некоторых формул может входить:
- VOTV
- HOTVSNA</t>
        </r>
      </text>
    </comment>
  </commentList>
</comments>
</file>

<file path=xl/sharedStrings.xml><?xml version="1.0" encoding="utf-8"?>
<sst xmlns="http://schemas.openxmlformats.org/spreadsheetml/2006/main" count="21235" uniqueCount="5455">
  <si>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</si>
  <si>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</si>
  <si>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</si>
  <si>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</si>
  <si>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</si>
  <si>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</si>
  <si>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</si>
  <si>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</si>
  <si>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</si>
  <si>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</si>
  <si>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</si>
  <si>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</si>
  <si>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</si>
  <si>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</si>
  <si>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Свердловская область</t>
  </si>
  <si>
    <t>Состав раскрываемой информации</t>
  </si>
  <si>
    <t>PRICE, REQUEST</t>
  </si>
  <si>
    <t>Начало
периода регулирования</t>
  </si>
  <si>
    <t>Как заполнить?</t>
  </si>
  <si>
    <t>Начало периода регулирования</t>
  </si>
  <si>
    <t>Окончание
периода регулирования</t>
  </si>
  <si>
    <t>Окончание периода регулирования</t>
  </si>
  <si>
    <t>ORG</t>
  </si>
  <si>
    <t>Дата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</si>
  <si>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</si>
  <si>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</si>
  <si>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</si>
  <si>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</si>
  <si>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</si>
  <si>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</si>
  <si>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</si>
  <si>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</si>
  <si>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</si>
  <si>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</si>
  <si>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</si>
  <si>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</si>
  <si>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216-ПК</t>
  </si>
  <si>
    <t>Наименование органа регулирования, принявшего решение об утверждении тарифов</t>
  </si>
  <si>
    <t>Региональная энергетическая комиссия Свердловской области</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</si>
  <si>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</si>
  <si>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</si>
  <si>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</si>
  <si>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</si>
  <si>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</si>
  <si>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</si>
  <si>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</si>
  <si>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</si>
  <si>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</si>
  <si>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</si>
  <si>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</si>
  <si>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</si>
  <si>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</si>
  <si>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</si>
  <si>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</si>
  <si>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</si>
  <si>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</si>
  <si>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rPr>
        <sz val="9"/>
        <rFont val="Tahoma"/>
        <charset val="1"/>
      </rP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</si>
  <si>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rPr>
        <sz val="9"/>
        <rFont val="Tahoma"/>
        <charset val="1"/>
      </rP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</si>
  <si>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</si>
  <si>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</si>
  <si>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</si>
  <si>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</si>
  <si>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</si>
  <si>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</si>
  <si>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</si>
  <si>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</si>
  <si>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</si>
  <si>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</si>
  <si>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</si>
  <si>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Жаркевич Михаил Владимирович</t>
  </si>
  <si>
    <t>Ответственный за заполнение формы</t>
  </si>
  <si>
    <t>Фамилия, имя, отчество</t>
  </si>
  <si>
    <t>Потапова Ирина Леонидовна</t>
  </si>
  <si>
    <t>Должность</t>
  </si>
  <si>
    <t>Начальник финансово-экономического управления</t>
  </si>
  <si>
    <t>Контактный телефон</t>
  </si>
  <si>
    <t>+7(34385)46635</t>
  </si>
  <si>
    <t>E-mail</t>
  </si>
  <si>
    <t>potapovail@ser.ogk2.ru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</si>
  <si>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</si>
  <si>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</si>
  <si>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</si>
  <si>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</si>
  <si>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</si>
  <si>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</si>
  <si>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</si>
  <si>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</si>
  <si>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</si>
  <si>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</si>
  <si>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</si>
  <si>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</si>
  <si>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</si>
  <si>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</si>
  <si>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</si>
  <si>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</si>
  <si>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</si>
  <si>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Серовский городской округ</t>
  </si>
  <si>
    <t>65756000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</si>
  <si>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</si>
  <si>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</si>
  <si>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</si>
  <si>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</si>
  <si>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</si>
  <si>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</si>
  <si>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</si>
  <si>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</si>
  <si>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</si>
  <si>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</si>
  <si>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</si>
  <si>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</si>
  <si>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</si>
  <si>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</si>
  <si>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</si>
  <si>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</si>
  <si>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</si>
  <si>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</si>
  <si>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</si>
  <si>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</si>
  <si>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</si>
  <si>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</si>
  <si>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
 МО (территориям)</t>
  </si>
  <si>
    <t>Дифференциация по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</si>
  <si>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</si>
  <si>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</si>
  <si>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</si>
  <si>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</si>
  <si>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</si>
  <si>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</si>
  <si>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</si>
  <si>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</si>
  <si>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</si>
  <si>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</si>
  <si>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</si>
  <si>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</si>
  <si>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</si>
  <si>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</si>
  <si>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</si>
  <si>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</si>
  <si>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</si>
  <si>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</si>
  <si>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</si>
  <si>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</si>
  <si>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</si>
  <si>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</si>
  <si>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</si>
  <si>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</si>
  <si>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</si>
  <si>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</si>
  <si>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</si>
  <si>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</si>
  <si>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</si>
  <si>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</si>
  <si>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</si>
  <si>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</si>
  <si>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</si>
  <si>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</si>
  <si>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</si>
  <si>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</si>
  <si>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</si>
  <si>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</si>
  <si>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</si>
  <si>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</si>
  <si>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</si>
  <si>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</si>
  <si>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</si>
  <si>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</si>
  <si>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</si>
  <si>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</si>
  <si>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</si>
  <si>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</si>
  <si>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</si>
  <si>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</si>
  <si>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</si>
  <si>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</si>
  <si>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</si>
  <si>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</si>
  <si>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</si>
  <si>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</si>
  <si>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</si>
  <si>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</si>
  <si>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</si>
  <si>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</si>
  <si>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</si>
  <si>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</si>
  <si>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</si>
  <si>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</si>
  <si>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</si>
  <si>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</si>
  <si>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</si>
  <si>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</si>
  <si>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</si>
  <si>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</si>
  <si>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</si>
  <si>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</si>
  <si>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</si>
  <si>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</si>
  <si>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</si>
  <si>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</si>
  <si>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</si>
  <si>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</si>
  <si>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</si>
  <si>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</si>
  <si>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</si>
  <si>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</si>
  <si>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</si>
  <si>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</si>
  <si>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</si>
  <si>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</si>
  <si>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</si>
  <si>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</si>
  <si>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</si>
  <si>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</si>
  <si>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</si>
  <si>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</si>
  <si>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</si>
  <si>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</si>
  <si>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</si>
  <si>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</si>
  <si>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</si>
  <si>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</si>
  <si>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</si>
  <si>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</si>
  <si>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</si>
  <si>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</si>
  <si>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</si>
  <si>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</si>
  <si>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</si>
  <si>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</si>
  <si>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</si>
  <si>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</si>
  <si>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</si>
  <si>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</si>
  <si>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</si>
  <si>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</si>
  <si>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</si>
  <si>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</si>
  <si>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</si>
  <si>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</si>
  <si>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</si>
  <si>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</si>
  <si>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</si>
  <si>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</si>
  <si>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</si>
  <si>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</si>
  <si>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</si>
  <si>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</si>
  <si>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</si>
  <si>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</si>
  <si>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 4189713</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</si>
  <si>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</si>
  <si>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</si>
  <si>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</si>
  <si>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</si>
  <si>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</si>
  <si>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</si>
  <si>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</si>
  <si>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</si>
  <si>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</si>
  <si>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</si>
  <si>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</si>
  <si>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</si>
  <si>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</si>
  <si>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</si>
  <si>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</si>
  <si>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</si>
  <si>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</si>
  <si>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</si>
  <si>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</si>
  <si>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</si>
  <si>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</si>
  <si>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</si>
  <si>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</si>
  <si>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</si>
  <si>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</si>
  <si>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</si>
  <si>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</si>
  <si>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</si>
  <si>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</si>
  <si>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</si>
  <si>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</si>
  <si>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</si>
  <si>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</si>
  <si>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</si>
  <si>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</si>
  <si>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</si>
  <si>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</si>
  <si>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</si>
  <si>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</si>
  <si>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</si>
  <si>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</si>
  <si>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</si>
  <si>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</si>
  <si>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</si>
  <si>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</si>
  <si>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</si>
  <si>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</si>
  <si>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</si>
  <si>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</si>
  <si>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</si>
  <si>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</si>
  <si>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</si>
  <si>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</si>
  <si>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</si>
  <si>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</si>
  <si>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</si>
  <si>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</si>
  <si>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</si>
  <si>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</si>
  <si>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</si>
  <si>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</si>
  <si>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</si>
  <si>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</si>
  <si>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</si>
  <si>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</si>
  <si>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</si>
  <si>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</si>
  <si>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</si>
  <si>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</si>
  <si>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</si>
  <si>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</si>
  <si>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</si>
  <si>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</si>
  <si>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</si>
  <si>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</si>
  <si>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</si>
  <si>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</si>
  <si>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</si>
  <si>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</si>
  <si>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</si>
  <si>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</si>
  <si>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</si>
  <si>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</si>
  <si>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</si>
  <si>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</si>
  <si>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</si>
  <si>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</si>
  <si>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</si>
  <si>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</si>
  <si>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</si>
  <si>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</si>
  <si>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</si>
  <si>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</si>
  <si>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</si>
  <si>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</si>
  <si>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</si>
  <si>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</si>
  <si>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</si>
  <si>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</si>
  <si>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</si>
  <si>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</si>
  <si>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</si>
  <si>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</si>
  <si>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</si>
  <si>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</si>
  <si>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</si>
  <si>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</si>
  <si>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</si>
  <si>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</si>
  <si>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</si>
  <si>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</si>
  <si>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</si>
  <si>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</si>
  <si>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</si>
  <si>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</si>
  <si>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</si>
  <si>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</si>
  <si>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</si>
  <si>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</si>
  <si>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</si>
  <si>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</si>
  <si>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</si>
  <si>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</si>
  <si>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</si>
  <si>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</si>
  <si>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</si>
  <si>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</si>
  <si>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</si>
  <si>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</si>
  <si>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</si>
  <si>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</si>
  <si>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</si>
  <si>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</si>
  <si>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</si>
  <si>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</si>
  <si>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</si>
  <si>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</si>
  <si>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</si>
  <si>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</si>
  <si>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</si>
  <si>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</si>
  <si>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</si>
  <si>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</si>
  <si>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</si>
  <si>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</si>
  <si>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</si>
  <si>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</si>
  <si>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</si>
  <si>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</si>
  <si>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</si>
  <si>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</si>
  <si>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</si>
  <si>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</si>
  <si>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</si>
  <si>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</si>
  <si>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</si>
  <si>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</si>
  <si>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</si>
  <si>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</si>
  <si>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</si>
  <si>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</si>
  <si>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</si>
  <si>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</si>
  <si>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</si>
  <si>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</si>
  <si>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</si>
  <si>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</si>
  <si>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</si>
  <si>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</si>
  <si>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</si>
  <si>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</si>
  <si>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
руб./Гкал</t>
  </si>
  <si>
    <t>Ставка за содержание тепловой мощности,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</si>
  <si>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</si>
  <si>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</si>
  <si>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</si>
  <si>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</si>
  <si>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</si>
  <si>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</si>
  <si>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</si>
  <si>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</si>
  <si>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</si>
  <si>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
руб./Гкал</t>
  </si>
  <si>
    <t>ставка за содержание тепловой мощности,
тыс. руб./Гкал/ч/мес</t>
  </si>
  <si>
    <t>дата начала</t>
  </si>
  <si>
    <t>дата окончания</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</si>
  <si>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</si>
  <si>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</si>
  <si>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</si>
  <si>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</si>
  <si>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</si>
  <si>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
руб./куб. м</t>
  </si>
  <si>
    <t>Двухкомпонентный тариф на горячую воду</t>
  </si>
  <si>
    <t>Компонент на теплоноситель,
руб./куб. м</t>
  </si>
  <si>
    <t>Компонента на тепловую энергию</t>
  </si>
  <si>
    <t>Одноставочный компонент тарифа на тепловую энергию,
руб/Гкал</t>
  </si>
  <si>
    <t>Двухставочный компонент тарифа на тепловую энергию</t>
  </si>
  <si>
    <t>NUM_CONS</t>
  </si>
  <si>
    <t>ставка за потребление горячей воды,
руб./куб. м</t>
  </si>
  <si>
    <t>ставка за содержание тепловой мощности в компоненте на тепловую энергию,
тыс. руб./Гкал/ч в мес.</t>
  </si>
  <si>
    <t>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</si>
  <si>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</si>
  <si>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</si>
  <si>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</si>
  <si>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</si>
  <si>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</si>
  <si>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</si>
  <si>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</si>
  <si>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</si>
  <si>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</si>
  <si>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
Гкал/ч</t>
  </si>
  <si>
    <t>Тип прокладки тепловых сетей</t>
  </si>
  <si>
    <t>Диаметр тепловых сетей,
мм</t>
  </si>
  <si>
    <t>Плата за подключение (технологическое присоединение),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</si>
  <si>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</si>
  <si>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</si>
  <si>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</si>
  <si>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</si>
  <si>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</si>
  <si>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</si>
  <si>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</si>
  <si>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</si>
  <si>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</si>
  <si>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</si>
  <si>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</si>
  <si>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</si>
  <si>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</si>
  <si>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</si>
  <si>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</si>
  <si>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
руб./куб. м</t>
  </si>
  <si>
    <t>ставка платы за объем поданной воды,
руб./куб. м</t>
  </si>
  <si>
    <t>ставка платы за содержание мощности,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</si>
  <si>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</si>
  <si>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</si>
  <si>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</si>
  <si>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</si>
  <si>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</si>
  <si>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</si>
  <si>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</si>
  <si>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</si>
  <si>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</si>
  <si>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</si>
  <si>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</si>
  <si>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
куб. м/сут</t>
  </si>
  <si>
    <t>Диапазон диаметров водопроводной сети,
мм</t>
  </si>
  <si>
    <t>Протяженность водопроводной сети,
км</t>
  </si>
  <si>
    <t>Условия прокладки сетей</t>
  </si>
  <si>
    <t>Ставка тарифа за подключаемую нагрузку водопроводной сети,
тыс. руб./куб. м в сутки</t>
  </si>
  <si>
    <t>Ставка тарифа за протяженность водопроводной сети диаметром d,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</si>
  <si>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</si>
  <si>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</si>
  <si>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</si>
  <si>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</si>
  <si>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</si>
  <si>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
руб./куб. м</t>
  </si>
  <si>
    <t>ставка платы за объем 
принятых сточных вод,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</si>
  <si>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</si>
  <si>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</si>
  <si>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</si>
  <si>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</si>
  <si>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</si>
  <si>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
куб. м/сут</t>
  </si>
  <si>
    <t>Диапазон диаметров канализационной сети,
мм</t>
  </si>
  <si>
    <t>Протяженность канализационной  сети,
км</t>
  </si>
  <si>
    <t>Ставка тарифа за подключаемую нагрузку канализационной сети,
тыс. руб./куб. м в сутки</t>
  </si>
  <si>
    <t>Ставка тарифа за протяженность канализационной сети диаметром d,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</si>
  <si>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</si>
  <si>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</si>
  <si>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</si>
  <si>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</si>
  <si>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</si>
  <si>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
руб./куб. м</t>
  </si>
  <si>
    <t>значение компонента на тепловую энергию при установленном одноставочном тарифе,
руб./Гкал</t>
  </si>
  <si>
    <t>значение компонента на тепловую энергию при установленном двухставочном тарифе на тепловую энергию (мощность),
руб./Гкал</t>
  </si>
  <si>
    <t>pt_ist_te_14</t>
  </si>
  <si>
    <t>pt_ist_te_16</t>
  </si>
  <si>
    <t>vt</t>
  </si>
  <si>
    <t>х</t>
  </si>
  <si>
    <t>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</si>
  <si>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</si>
  <si>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</si>
  <si>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</si>
  <si>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</si>
  <si>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</si>
  <si>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</si>
  <si>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</si>
  <si>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</si>
  <si>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</si>
  <si>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</si>
  <si>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</si>
  <si>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</si>
  <si>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</si>
  <si>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</si>
  <si>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</si>
  <si>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</si>
  <si>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</si>
  <si>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</si>
  <si>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</si>
  <si>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</si>
  <si>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</si>
  <si>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</si>
  <si>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</si>
  <si>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</si>
  <si>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</si>
  <si>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</si>
  <si>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</si>
  <si>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</si>
  <si>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</si>
  <si>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</si>
  <si>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</si>
  <si>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</si>
  <si>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</si>
  <si>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</si>
  <si>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</si>
  <si>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</si>
  <si>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</si>
  <si>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</si>
  <si>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</si>
  <si>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</si>
  <si>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</si>
  <si>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</si>
  <si>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</si>
  <si>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</si>
  <si>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</si>
  <si>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</si>
  <si>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</si>
  <si>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</si>
  <si>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</si>
  <si>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</si>
  <si>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</si>
  <si>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</si>
  <si>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</si>
  <si>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</si>
  <si>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</si>
  <si>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</si>
  <si>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</si>
  <si>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</si>
  <si>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</si>
  <si>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</si>
  <si>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</si>
  <si>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</si>
  <si>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</si>
  <si>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</si>
  <si>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</si>
  <si>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</si>
  <si>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</si>
  <si>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</si>
  <si>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</si>
  <si>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</si>
  <si>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</si>
  <si>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</si>
  <si>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</si>
  <si>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</si>
  <si>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</si>
  <si>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</si>
  <si>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</si>
  <si>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</si>
  <si>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</si>
  <si>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</si>
  <si>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</si>
  <si>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</si>
  <si>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</si>
  <si>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</si>
  <si>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</si>
  <si>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</si>
  <si>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</si>
  <si>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</si>
  <si>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</si>
  <si>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</si>
  <si>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</si>
  <si>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</si>
  <si>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</si>
  <si>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</si>
  <si>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</si>
  <si>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</si>
  <si>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</si>
  <si>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</si>
  <si>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</si>
  <si>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</si>
  <si>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</si>
  <si>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</si>
  <si>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</si>
  <si>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</si>
  <si>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</si>
  <si>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</si>
  <si>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</si>
  <si>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</si>
  <si>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</si>
  <si>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</si>
  <si>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</si>
  <si>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</si>
  <si>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</si>
  <si>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</si>
  <si>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</si>
  <si>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</si>
  <si>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</si>
  <si>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</si>
  <si>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</si>
  <si>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</si>
  <si>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</si>
  <si>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</si>
  <si>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</si>
  <si>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</si>
  <si>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</si>
  <si>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</si>
  <si>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</si>
  <si>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</si>
  <si>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</si>
  <si>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</si>
  <si>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</si>
  <si>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</si>
  <si>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</si>
  <si>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</si>
  <si>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</si>
  <si>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</si>
  <si>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</si>
  <si>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</si>
  <si>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</si>
  <si>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</si>
  <si>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</si>
  <si>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</si>
  <si>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</si>
  <si>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</si>
  <si>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</si>
  <si>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</si>
  <si>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</si>
  <si>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</si>
  <si>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</si>
  <si>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</si>
  <si>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</si>
  <si>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</si>
  <si>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</si>
  <si>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</si>
  <si>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</si>
  <si>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</si>
  <si>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</si>
  <si>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</si>
  <si>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</si>
  <si>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</si>
  <si>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</si>
  <si>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</si>
  <si>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</si>
  <si>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</si>
  <si>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</si>
  <si>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</si>
  <si>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</si>
  <si>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</si>
  <si>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</si>
  <si>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</si>
  <si>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</si>
  <si>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</si>
  <si>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</si>
  <si>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</si>
  <si>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</si>
  <si>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</si>
  <si>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</si>
  <si>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</si>
  <si>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</si>
  <si>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</si>
  <si>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</si>
  <si>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</si>
  <si>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</si>
  <si>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</si>
  <si>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</si>
  <si>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</si>
  <si>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</si>
  <si>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</si>
  <si>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</si>
  <si>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</si>
  <si>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</si>
  <si>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</si>
  <si>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</si>
  <si>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</si>
  <si>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</si>
  <si>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</si>
  <si>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</si>
  <si>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</si>
  <si>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</si>
  <si>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</si>
  <si>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</si>
  <si>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</si>
  <si>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</si>
  <si>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</si>
  <si>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</si>
  <si>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</si>
  <si>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</si>
  <si>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</si>
  <si>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</si>
  <si>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</si>
  <si>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</si>
  <si>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</si>
  <si>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</si>
  <si>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</si>
  <si>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</si>
  <si>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</si>
  <si>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</si>
  <si>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</si>
  <si>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</si>
  <si>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</si>
  <si>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</si>
  <si>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</si>
  <si>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</si>
  <si>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</si>
  <si>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</si>
  <si>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</si>
  <si>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</si>
  <si>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</si>
  <si>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</si>
  <si>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</si>
  <si>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</si>
  <si>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</si>
  <si>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</si>
  <si>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</si>
  <si>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</si>
  <si>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</si>
  <si>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</si>
  <si>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</si>
  <si>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</si>
  <si>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</si>
  <si>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</si>
  <si>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</si>
  <si>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</si>
  <si>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</si>
  <si>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</si>
  <si>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</si>
  <si>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</si>
  <si>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</si>
  <si>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</si>
  <si>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</si>
  <si>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</si>
  <si>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</si>
  <si>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</si>
  <si>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</si>
  <si>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</si>
  <si>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</si>
  <si>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</si>
  <si>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</si>
  <si>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</si>
  <si>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</si>
  <si>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</si>
  <si>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</si>
  <si>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</si>
  <si>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</si>
  <si>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</si>
  <si>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</si>
  <si>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</si>
  <si>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</si>
  <si>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</si>
  <si>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</si>
  <si>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</si>
  <si>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</si>
  <si>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</si>
  <si>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</si>
  <si>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</si>
  <si>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</si>
  <si>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</si>
  <si>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</si>
  <si>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</si>
  <si>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</si>
  <si>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</si>
  <si>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</si>
  <si>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</si>
  <si>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</si>
  <si>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</si>
  <si>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</si>
  <si>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</si>
  <si>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</si>
  <si>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</si>
  <si>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</si>
  <si>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</si>
  <si>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</si>
  <si>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</si>
  <si>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</si>
  <si>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</si>
  <si>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</si>
  <si>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</si>
  <si>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</si>
  <si>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</si>
  <si>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</si>
  <si>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</si>
  <si>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</si>
  <si>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</si>
  <si>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</si>
  <si>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</si>
  <si>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</si>
  <si>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</si>
  <si>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</si>
  <si>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</si>
  <si>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</si>
  <si>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</si>
  <si>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</si>
  <si>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</si>
  <si>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</si>
  <si>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</si>
  <si>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</si>
  <si>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</si>
  <si>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</si>
  <si>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</si>
  <si>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</si>
  <si>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</si>
  <si>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</si>
  <si>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</si>
  <si>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</si>
  <si>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</si>
  <si>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</si>
  <si>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</si>
  <si>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</si>
  <si>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</si>
  <si>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</si>
  <si>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</si>
  <si>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</si>
  <si>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</si>
  <si>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</si>
  <si>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</si>
  <si>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</si>
  <si>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</si>
  <si>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</si>
  <si>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</si>
  <si>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</si>
  <si>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</si>
  <si>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</si>
  <si>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</si>
  <si>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</si>
  <si>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</si>
  <si>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</si>
  <si>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</si>
  <si>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</si>
  <si>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</si>
  <si>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</si>
  <si>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</si>
  <si>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</si>
  <si>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</si>
  <si>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</si>
  <si>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</si>
  <si>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</si>
  <si>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</si>
  <si>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</si>
  <si>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</si>
  <si>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</si>
  <si>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</si>
  <si>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</si>
  <si>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</si>
  <si>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</si>
  <si>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</si>
  <si>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</si>
  <si>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</si>
  <si>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</si>
  <si>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</si>
  <si>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</si>
  <si>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</si>
  <si>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</si>
  <si>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</si>
  <si>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</si>
  <si>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</si>
  <si>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</si>
  <si>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</si>
  <si>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</si>
  <si>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</si>
  <si>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</si>
  <si>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</si>
  <si>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</si>
  <si>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</si>
  <si>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</si>
  <si>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</si>
  <si>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</si>
  <si>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</si>
  <si>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</si>
  <si>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</si>
  <si>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</si>
  <si>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</si>
  <si>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</si>
  <si>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</si>
  <si>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</si>
  <si>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</si>
  <si>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</si>
  <si>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</si>
  <si>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</si>
  <si>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</si>
  <si>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</si>
  <si>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</si>
  <si>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</si>
  <si>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</si>
  <si>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</si>
  <si>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</si>
  <si>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</si>
  <si>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</si>
  <si>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</si>
  <si>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</si>
  <si>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</si>
  <si>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</si>
  <si>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</si>
  <si>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</si>
  <si>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</si>
  <si>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</si>
  <si>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</si>
  <si>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</si>
  <si>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</si>
  <si>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</si>
  <si>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</si>
  <si>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</si>
  <si>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</si>
  <si>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</si>
  <si>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</si>
  <si>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</si>
  <si>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</si>
  <si>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</si>
  <si>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</si>
  <si>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</si>
  <si>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</si>
  <si>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</si>
  <si>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</si>
  <si>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</si>
  <si>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</si>
  <si>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</si>
  <si>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</si>
  <si>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</si>
  <si>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</si>
  <si>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</si>
  <si>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</si>
  <si>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</si>
  <si>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</si>
  <si>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</si>
  <si>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</si>
  <si>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</si>
  <si>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</si>
  <si>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</si>
  <si>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</si>
  <si>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</si>
  <si>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</si>
  <si>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</si>
  <si>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</si>
  <si>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</si>
  <si>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</si>
  <si>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</si>
  <si>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</si>
  <si>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</si>
  <si>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</si>
  <si>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</si>
  <si>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</si>
  <si>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</si>
  <si>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</si>
  <si>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</si>
  <si>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</si>
  <si>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</si>
  <si>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</si>
  <si>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</si>
  <si>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</si>
  <si>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</si>
  <si>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</si>
  <si>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</si>
  <si>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</si>
  <si>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</si>
  <si>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</si>
  <si>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</si>
  <si>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</si>
  <si>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</si>
  <si>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</si>
  <si>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</si>
  <si>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</si>
  <si>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</si>
  <si>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</si>
  <si>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</si>
  <si>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</si>
  <si>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</si>
  <si>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</si>
  <si>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</si>
  <si>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</si>
  <si>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</si>
  <si>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</si>
  <si>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</si>
  <si>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</si>
  <si>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</si>
  <si>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</si>
  <si>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</si>
  <si>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</si>
  <si>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</si>
  <si>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</si>
  <si>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</si>
  <si>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</si>
  <si>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</si>
  <si>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</si>
  <si>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</si>
  <si>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</si>
  <si>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</si>
  <si>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</si>
  <si>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</si>
  <si>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</si>
  <si>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</si>
  <si>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</si>
  <si>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</si>
  <si>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</si>
  <si>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</si>
  <si>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</si>
  <si>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</si>
  <si>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</si>
  <si>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</si>
  <si>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</si>
  <si>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</si>
  <si>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</si>
  <si>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</si>
  <si>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</si>
  <si>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</si>
  <si>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</si>
  <si>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</si>
  <si>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</si>
  <si>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</si>
  <si>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</si>
  <si>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</si>
  <si>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</si>
  <si>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</si>
  <si>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</si>
  <si>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</si>
  <si>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</si>
  <si>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</si>
  <si>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</si>
  <si>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</si>
  <si>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</si>
  <si>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</si>
  <si>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</si>
  <si>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</si>
  <si>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</si>
  <si>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</si>
  <si>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</si>
  <si>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</si>
  <si>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</si>
  <si>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</si>
  <si>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</si>
  <si>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</si>
  <si>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</si>
  <si>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</si>
  <si>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</si>
  <si>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</si>
  <si>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</si>
  <si>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</si>
  <si>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</si>
  <si>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</si>
  <si>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</si>
  <si>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</si>
  <si>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</si>
  <si>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</si>
  <si>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</si>
  <si>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</si>
  <si>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</si>
  <si>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</si>
  <si>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</si>
  <si>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</si>
  <si>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</si>
  <si>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</si>
  <si>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</si>
  <si>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</si>
  <si>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</si>
  <si>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</si>
  <si>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</si>
  <si>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</si>
  <si>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</si>
  <si>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</si>
  <si>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</si>
  <si>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</si>
  <si>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</si>
  <si>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</si>
  <si>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</si>
  <si>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</si>
  <si>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</si>
  <si>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</si>
  <si>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</si>
  <si>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</si>
  <si>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</si>
  <si>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</si>
  <si>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</si>
  <si>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</si>
  <si>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</si>
  <si>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</si>
  <si>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</si>
  <si>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</si>
  <si>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</si>
  <si>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</si>
  <si>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</si>
  <si>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</si>
  <si>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</si>
  <si>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</si>
  <si>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</si>
  <si>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</si>
  <si>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</si>
  <si>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</si>
  <si>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</si>
  <si>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</si>
  <si>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</si>
  <si>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</si>
  <si>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</si>
  <si>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</si>
  <si>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</si>
  <si>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</si>
  <si>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</si>
  <si>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</si>
  <si>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</si>
  <si>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</si>
  <si>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</si>
  <si>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</si>
  <si>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</si>
  <si>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</si>
  <si>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</si>
  <si>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</si>
  <si>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</si>
  <si>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</si>
  <si>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</si>
  <si>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</si>
  <si>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</si>
  <si>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
(MONTH)</t>
  </si>
  <si>
    <t>Квартал
(QUARTER)</t>
  </si>
  <si>
    <t>Месяц
(kind_of_publication)</t>
  </si>
  <si>
    <t>НДС
/kind_of_NDS/</t>
  </si>
  <si>
    <t>Номер СЦХВ(СЦВО)
/SKI_number/</t>
  </si>
  <si>
    <t>Единица измерения объема оказываемых услуг ГВС
/kind_of_unit_GVS/</t>
  </si>
  <si>
    <t>Метод регулирования
/kind_of_control_method/</t>
  </si>
  <si>
    <t>Сколько раз встретилось</t>
  </si>
  <si>
    <t>Вид деятельности, на которую установлен тариф /kind_of_activity_WARM/</t>
  </si>
  <si>
    <t>Вид теплоносителя
(kind_of_heat_transfer)</t>
  </si>
  <si>
    <t>Тип данных
(kind_of_data_type)</t>
  </si>
  <si>
    <t>Схема подключения
(kind_of_scheme_in)
(kind_of_scheme_in2)</t>
  </si>
  <si>
    <t>Группы потребителей
(kind_of_cons)</t>
  </si>
  <si>
    <t>Тип прокладки тепловых сетей
(kind_of_nets)</t>
  </si>
  <si>
    <t>Диапазаны диаметров тепловых сетей
(kind_of_diameters)</t>
  </si>
  <si>
    <t>Подключаемая тепловая нагрузка
(kind_of_load)</t>
  </si>
  <si>
    <t>Форма 2, таблица Х</t>
  </si>
  <si>
    <t>виды тарифа
/kind_group_rates/</t>
  </si>
  <si>
    <t>Заголовок таблицы</t>
  </si>
  <si>
    <t>name_rates_4</t>
  </si>
  <si>
    <t>name_rates_8</t>
  </si>
  <si>
    <t>Подключаемая тепловая нагрузка
(kind_of_load3)</t>
  </si>
  <si>
    <t>Вид теплоносителя
(kind_of_heat_transfer2)</t>
  </si>
  <si>
    <t>Вид теплоносителя
(kind_of_heat_transfer3)</t>
  </si>
  <si>
    <t>Вид топлива
(kind_of_fuel)</t>
  </si>
  <si>
    <t>Способ закупки товаров
(kind_of_zak)</t>
  </si>
  <si>
    <t>виды тарифа
/kind_group_rates_load/</t>
  </si>
  <si>
    <t>виды тарифа
/kind_group_rates_load_filter/</t>
  </si>
  <si>
    <t>виды признаков дифференциации
/kind_of_diff/</t>
  </si>
  <si>
    <t>Диапазаны диаметров водопроводных сетей
(kind_of_diameters2)</t>
  </si>
  <si>
    <t>List_H</t>
  </si>
  <si>
    <t>List_M</t>
  </si>
  <si>
    <t>kind_of_org_type</t>
  </si>
  <si>
    <t>Виды топлива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</si>
  <si>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</si>
  <si>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</si>
  <si>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</si>
  <si>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</si>
  <si>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</si>
  <si>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</si>
  <si>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</si>
  <si>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</si>
  <si>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</si>
  <si>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</si>
  <si>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</si>
  <si>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</si>
  <si>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</si>
  <si>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</si>
  <si>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</si>
  <si>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</si>
  <si>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</si>
  <si>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</si>
  <si>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</si>
  <si>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</si>
  <si>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</si>
  <si>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</si>
  <si>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</si>
  <si>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</si>
  <si>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</si>
  <si>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</si>
  <si>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</si>
  <si>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</si>
  <si>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</si>
  <si>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</si>
  <si>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</si>
  <si>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</si>
  <si>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</si>
  <si>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</si>
  <si>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</si>
  <si>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</si>
  <si>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</si>
  <si>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</si>
  <si>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</si>
  <si>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</si>
  <si>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</si>
  <si>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</si>
  <si>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</si>
  <si>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</si>
  <si>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</si>
  <si>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</si>
  <si>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</si>
  <si>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</si>
  <si>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</si>
  <si>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</si>
  <si>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</si>
  <si>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</si>
  <si>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</si>
  <si>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</si>
  <si>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</si>
  <si>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</si>
  <si>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</si>
  <si>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</si>
  <si>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</si>
  <si>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</si>
  <si>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</si>
  <si>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</si>
  <si>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</si>
  <si>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</si>
  <si>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</si>
  <si>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</si>
  <si>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</si>
  <si>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</si>
  <si>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</si>
  <si>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</si>
  <si>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</si>
  <si>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</si>
  <si>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</si>
  <si>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</si>
  <si>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</si>
  <si>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</si>
  <si>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</si>
  <si>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</si>
  <si>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</si>
  <si>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</si>
  <si>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</si>
  <si>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</si>
  <si>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</si>
  <si>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</si>
  <si>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</si>
  <si>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</si>
  <si>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</si>
  <si>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</si>
  <si>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</si>
  <si>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</si>
  <si>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</si>
  <si>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</si>
  <si>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</si>
  <si>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</si>
  <si>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</si>
  <si>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</si>
  <si>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</si>
  <si>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</si>
  <si>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</si>
  <si>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</si>
  <si>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</si>
  <si>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</si>
  <si>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</si>
  <si>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</si>
  <si>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</si>
  <si>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</si>
  <si>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</si>
  <si>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</si>
  <si>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</si>
  <si>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</si>
  <si>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</si>
  <si>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</si>
  <si>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</si>
  <si>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</si>
  <si>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</si>
  <si>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</si>
  <si>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</si>
  <si>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</si>
  <si>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</si>
  <si>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</si>
  <si>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</si>
  <si>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</si>
  <si>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</si>
  <si>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</si>
  <si>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</si>
  <si>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</si>
  <si>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</si>
  <si>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</si>
  <si>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</si>
  <si>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</si>
  <si>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</si>
  <si>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</si>
  <si>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</si>
  <si>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</si>
  <si>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</si>
  <si>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</si>
  <si>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</si>
  <si>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</si>
  <si>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</si>
  <si>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</si>
  <si>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</si>
  <si>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</si>
  <si>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</si>
  <si>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</si>
  <si>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</si>
  <si>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</si>
  <si>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</si>
  <si>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</si>
  <si>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</si>
  <si>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</si>
  <si>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</si>
  <si>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</si>
  <si>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</si>
  <si>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</si>
  <si>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</si>
  <si>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</si>
  <si>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</si>
  <si>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</si>
  <si>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</si>
  <si>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</si>
  <si>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</si>
  <si>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</si>
  <si>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</si>
  <si>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</si>
  <si>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</si>
  <si>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</si>
  <si>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</si>
  <si>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</si>
  <si>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</si>
  <si>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</si>
  <si>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</si>
  <si>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</si>
  <si>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</si>
  <si>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</si>
  <si>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</si>
  <si>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</si>
  <si>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</si>
  <si>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</si>
  <si>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</si>
  <si>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</si>
  <si>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
/kind_of_NDS_tariff/</t>
  </si>
  <si>
    <t>НДС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</si>
  <si>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</si>
  <si>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</si>
  <si>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</si>
  <si>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</si>
  <si>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</si>
  <si>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</si>
  <si>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</si>
  <si>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</si>
  <si>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</si>
  <si>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</si>
  <si>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</si>
  <si>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</si>
  <si>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</si>
  <si>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</si>
  <si>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</si>
  <si>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</si>
  <si>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</si>
  <si>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</si>
  <si>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</si>
  <si>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</si>
  <si>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</si>
  <si>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</si>
  <si>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</si>
  <si>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</si>
  <si>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</si>
  <si>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</si>
  <si>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</si>
  <si>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</si>
  <si>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</si>
  <si>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</si>
  <si>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</si>
  <si>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</si>
  <si>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</si>
  <si>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</si>
  <si>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</si>
  <si>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</si>
  <si>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</si>
  <si>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</si>
  <si>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</si>
  <si>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</si>
  <si>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</si>
  <si>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</si>
  <si>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</si>
  <si>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</si>
  <si>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</si>
  <si>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</si>
  <si>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</si>
  <si>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</si>
  <si>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</si>
  <si>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</si>
  <si>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</si>
  <si>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</si>
  <si>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</si>
  <si>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</si>
  <si>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</si>
  <si>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</si>
  <si>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</si>
  <si>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</si>
  <si>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</si>
  <si>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</si>
  <si>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</si>
  <si>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</si>
  <si>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</si>
  <si>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</si>
  <si>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</si>
  <si>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</si>
  <si>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</si>
  <si>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
/kind_of_NDS_tariff_people/</t>
  </si>
  <si>
    <t>НДС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</si>
  <si>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</si>
  <si>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</si>
  <si>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</si>
  <si>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</si>
  <si>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</si>
  <si>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</si>
  <si>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</si>
  <si>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</si>
  <si>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</si>
  <si>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</si>
  <si>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</si>
  <si>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</si>
  <si>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</si>
  <si>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</si>
  <si>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</si>
  <si>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</si>
  <si>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</si>
  <si>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</si>
  <si>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</si>
  <si>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</si>
  <si>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</si>
  <si>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</si>
  <si>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</si>
  <si>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</si>
  <si>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</si>
  <si>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</si>
  <si>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</si>
  <si>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</si>
  <si>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</si>
  <si>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</si>
  <si>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</si>
  <si>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</si>
  <si>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</si>
  <si>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</si>
  <si>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</si>
  <si>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</si>
  <si>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</si>
  <si>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</si>
  <si>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</si>
  <si>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</si>
  <si>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</si>
  <si>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</si>
  <si>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</si>
  <si>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</si>
  <si>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</si>
  <si>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</si>
  <si>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</si>
  <si>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</si>
  <si>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</si>
  <si>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</si>
  <si>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</si>
  <si>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</si>
  <si>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</si>
  <si>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</si>
  <si>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</si>
  <si>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</si>
  <si>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</si>
  <si>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</si>
  <si>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</si>
  <si>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</si>
  <si>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</si>
  <si>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</si>
  <si>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</si>
  <si>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</si>
  <si>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</si>
  <si>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</si>
  <si>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</si>
  <si>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</si>
  <si>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</si>
  <si>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</si>
  <si>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</si>
  <si>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</si>
  <si>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</si>
  <si>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</si>
  <si>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</si>
  <si>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</si>
  <si>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</si>
  <si>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</si>
  <si>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</si>
  <si>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</si>
  <si>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</si>
  <si>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</si>
  <si>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</si>
  <si>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</si>
  <si>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</si>
  <si>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</si>
  <si>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</si>
  <si>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</si>
  <si>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</si>
  <si>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</si>
  <si>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</si>
  <si>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</si>
  <si>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</si>
  <si>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</si>
  <si>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</si>
  <si>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</si>
  <si>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</si>
  <si>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</si>
  <si>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</si>
  <si>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</si>
  <si>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</si>
  <si>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</si>
  <si>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</si>
  <si>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</si>
  <si>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</si>
  <si>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</si>
  <si>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</si>
  <si>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</si>
  <si>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</si>
  <si>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</si>
  <si>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</si>
  <si>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</si>
  <si>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</si>
  <si>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</si>
  <si>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</si>
  <si>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</si>
  <si>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</si>
  <si>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</si>
  <si>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</si>
  <si>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</si>
  <si>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</si>
  <si>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</si>
  <si>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</si>
  <si>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</si>
  <si>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</si>
  <si>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</si>
  <si>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</si>
  <si>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</si>
  <si>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</si>
  <si>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</si>
  <si>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</si>
  <si>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</si>
  <si>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</si>
  <si>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</si>
  <si>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</si>
  <si>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</si>
  <si>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</si>
  <si>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</si>
  <si>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</si>
  <si>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</si>
  <si>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</si>
  <si>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</si>
  <si>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</si>
  <si>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</si>
  <si>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</si>
  <si>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</si>
  <si>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</si>
  <si>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</si>
  <si>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</si>
  <si>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</si>
  <si>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</si>
  <si>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</si>
  <si>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</si>
  <si>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</si>
  <si>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</si>
  <si>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</si>
  <si>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</si>
  <si>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</si>
  <si>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</si>
  <si>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</si>
  <si>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</si>
  <si>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</si>
  <si>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</si>
  <si>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</si>
  <si>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</si>
  <si>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</si>
  <si>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</si>
  <si>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</si>
  <si>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</si>
  <si>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</si>
  <si>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</si>
  <si>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</si>
  <si>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</si>
  <si>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</si>
  <si>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</si>
  <si>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</si>
  <si>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</si>
  <si>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</si>
  <si>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</si>
  <si>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</si>
  <si>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</si>
  <si>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</si>
  <si>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</si>
  <si>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</si>
  <si>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</si>
  <si>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</si>
  <si>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</si>
  <si>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</si>
  <si>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</si>
  <si>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</si>
  <si>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</si>
  <si>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</si>
  <si>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</si>
  <si>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</si>
  <si>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</si>
  <si>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</si>
  <si>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</si>
  <si>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</si>
  <si>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</si>
  <si>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</si>
  <si>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</si>
  <si>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</si>
  <si>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</si>
  <si>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</si>
  <si>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</si>
  <si>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</si>
  <si>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</si>
  <si>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</si>
  <si>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</si>
  <si>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</si>
  <si>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</si>
  <si>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</si>
  <si>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</si>
  <si>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</si>
  <si>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</si>
  <si>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</si>
  <si>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</si>
  <si>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</si>
  <si>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</si>
  <si>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</si>
  <si>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</si>
  <si>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</si>
  <si>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</si>
  <si>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</si>
  <si>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</si>
  <si>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</si>
  <si>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</si>
  <si>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</si>
  <si>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</si>
  <si>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</si>
  <si>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</si>
  <si>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</si>
  <si>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</si>
  <si>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</si>
  <si>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</si>
  <si>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</si>
  <si>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</si>
  <si>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</si>
  <si>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</si>
  <si>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</si>
  <si>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</si>
  <si>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</si>
  <si>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</si>
  <si>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</si>
  <si>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</si>
  <si>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</si>
  <si>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</si>
  <si>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</si>
  <si>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</si>
  <si>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</si>
  <si>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</si>
  <si>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</si>
  <si>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</si>
  <si>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</si>
  <si>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</si>
  <si>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</si>
  <si>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</si>
  <si>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</si>
  <si>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</si>
  <si>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</si>
  <si>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</si>
  <si>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</si>
  <si>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</si>
  <si>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</si>
  <si>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</si>
  <si>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</si>
  <si>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</si>
  <si>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</si>
  <si>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</si>
  <si>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</si>
  <si>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</si>
  <si>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</si>
  <si>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</si>
  <si>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</si>
  <si>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</si>
  <si>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</si>
  <si>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</si>
  <si>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</si>
  <si>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</si>
  <si>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</si>
  <si>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</si>
  <si>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</si>
  <si>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</si>
  <si>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</si>
  <si>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</si>
  <si>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</si>
  <si>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</si>
  <si>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</si>
  <si>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</si>
  <si>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</si>
  <si>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</si>
  <si>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</si>
  <si>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</si>
  <si>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</si>
  <si>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</si>
  <si>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</si>
  <si>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</si>
  <si>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</si>
  <si>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</si>
  <si>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</si>
  <si>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</si>
  <si>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</si>
  <si>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</si>
  <si>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</si>
  <si>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</si>
  <si>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</si>
  <si>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</si>
  <si>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</si>
  <si>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</si>
  <si>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</si>
  <si>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</si>
  <si>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</si>
  <si>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</si>
  <si>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</si>
  <si>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</si>
  <si>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</si>
  <si>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</si>
  <si>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</si>
  <si>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</si>
  <si>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</si>
  <si>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</si>
  <si>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</si>
  <si>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</si>
  <si>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</si>
  <si>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</si>
  <si>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</si>
  <si>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</si>
  <si>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</si>
  <si>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</si>
  <si>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</si>
  <si>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</si>
  <si>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</si>
  <si>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</si>
  <si>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</si>
  <si>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</si>
  <si>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</si>
  <si>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</si>
  <si>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</si>
  <si>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</si>
  <si>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</si>
  <si>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</si>
  <si>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</si>
  <si>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</si>
  <si>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</si>
  <si>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</si>
  <si>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</si>
  <si>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</si>
  <si>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</si>
  <si>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</si>
  <si>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</si>
  <si>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</si>
  <si>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</si>
  <si>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</si>
  <si>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</si>
  <si>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</si>
  <si>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</si>
  <si>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</si>
  <si>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</si>
  <si>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</si>
  <si>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</si>
  <si>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</si>
  <si>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</si>
  <si>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</si>
  <si>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</si>
  <si>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</si>
  <si>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</si>
  <si>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</si>
  <si>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</si>
  <si>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</si>
  <si>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</si>
  <si>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</si>
  <si>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</si>
  <si>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</si>
  <si>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</si>
  <si>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</si>
  <si>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</si>
  <si>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</si>
  <si>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</si>
  <si>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</si>
  <si>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</si>
  <si>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</si>
  <si>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</si>
  <si>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</si>
  <si>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</si>
  <si>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</si>
  <si>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</si>
  <si>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</si>
  <si>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</si>
  <si>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</si>
  <si>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</si>
  <si>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</si>
  <si>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</si>
  <si>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</si>
  <si>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</si>
  <si>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</si>
  <si>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</si>
  <si>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</si>
  <si>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</si>
  <si>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</si>
  <si>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</si>
  <si>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</si>
  <si>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</si>
  <si>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</si>
  <si>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</si>
  <si>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</si>
  <si>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</si>
  <si>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
Т-ТЭ | &gt;=25МВт
Т-ТЭ | ТСО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</si>
  <si>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</si>
  <si>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
Т-ТН
Т-передача ТЭ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</si>
  <si>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</si>
  <si>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</si>
  <si>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</si>
  <si>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</si>
  <si>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</si>
  <si>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
Т-ТЭ | &gt;=25МВт
Т-ТЭ | ТСО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</si>
  <si>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</si>
  <si>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
Т-ТН
Т-передача ТЭ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</si>
  <si>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</si>
  <si>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</si>
  <si>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</si>
  <si>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</si>
  <si>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</si>
  <si>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
ХВС. Т-пит
ХВС. Т-тех
ХВС. Т-транс
ХВС. Т-подвоз</t>
  </si>
  <si>
    <t>Форма 2. Информация
о тарифах в сфере холодного водоснабжения на товары (услуги) организации холодного водоснабжения, подлежащих регулированию</t>
  </si>
  <si>
    <t>PRICE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</si>
  <si>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</si>
  <si>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
ХВС. Т-пит
ХВС. Т-тех
ХВС. Т-транс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</si>
  <si>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</si>
  <si>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</si>
  <si>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</si>
  <si>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
ГВС. Т-гор.вода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</si>
  <si>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</si>
  <si>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</si>
  <si>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</si>
  <si>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
ГВС. Т-гор.вода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</si>
  <si>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</si>
  <si>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</si>
  <si>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</si>
  <si>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
ВО. Т-во
ВО. Т-транс</t>
  </si>
  <si>
    <t>Форма 2. Информация о тарифах в сфере водоотведения на товары (услуги) организации водоотведения, подлежащих регулированию</t>
  </si>
  <si>
    <t>PRICE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</si>
  <si>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</si>
  <si>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
ВО. Т-во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</si>
  <si>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</si>
  <si>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</si>
  <si>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</si>
  <si>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</si>
  <si>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</si>
  <si>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</si>
  <si>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</si>
  <si>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</si>
  <si>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</si>
  <si>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</si>
  <si>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
ИП. Детализация
ИП. Финансовый план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</si>
  <si>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</si>
  <si>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</si>
  <si>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</si>
  <si>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</si>
  <si>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</si>
  <si>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</si>
  <si>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</si>
  <si>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</si>
  <si>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</si>
  <si>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</si>
  <si>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</si>
  <si>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</si>
  <si>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</si>
  <si>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</si>
  <si>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</si>
  <si>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</si>
  <si>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</si>
  <si>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</si>
  <si>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</si>
  <si>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</si>
  <si>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</si>
  <si>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</si>
  <si>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</si>
  <si>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</si>
  <si>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</si>
  <si>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</si>
  <si>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</si>
  <si>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</si>
  <si>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</si>
  <si>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</si>
  <si>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</si>
  <si>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</si>
  <si>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</si>
  <si>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</si>
  <si>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</si>
  <si>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</si>
  <si>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</si>
  <si>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</si>
  <si>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</si>
  <si>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</si>
  <si>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</si>
  <si>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</si>
  <si>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</si>
  <si>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</si>
  <si>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</si>
  <si>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</si>
  <si>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</si>
  <si>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</si>
  <si>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</si>
  <si>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</si>
  <si>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</si>
  <si>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</si>
  <si>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</si>
  <si>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</si>
  <si>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</si>
  <si>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</si>
  <si>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</si>
  <si>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</si>
  <si>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</si>
  <si>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</si>
  <si>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</si>
  <si>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</si>
  <si>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</si>
  <si>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</si>
  <si>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</si>
  <si>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</si>
  <si>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</si>
  <si>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</si>
  <si>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</si>
  <si>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</si>
  <si>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</si>
  <si>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</si>
  <si>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</si>
  <si>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</si>
  <si>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</si>
  <si>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</si>
  <si>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</si>
  <si>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</si>
  <si>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</si>
  <si>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</si>
  <si>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</si>
  <si>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</si>
  <si>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</si>
  <si>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</si>
  <si>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</si>
  <si>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</si>
  <si>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</si>
  <si>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</si>
  <si>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</si>
  <si>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</si>
  <si>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</si>
  <si>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</si>
  <si>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</si>
  <si>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</si>
  <si>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</si>
  <si>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</si>
  <si>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</si>
  <si>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</si>
  <si>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</si>
  <si>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</si>
  <si>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</si>
  <si>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</si>
  <si>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</si>
  <si>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</si>
  <si>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</si>
  <si>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</si>
  <si>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</si>
  <si>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</si>
  <si>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</si>
  <si>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</si>
  <si>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</si>
  <si>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</si>
  <si>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</si>
  <si>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</si>
  <si>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</si>
  <si>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</si>
  <si>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</si>
  <si>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</si>
  <si>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</si>
  <si>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</si>
  <si>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</si>
  <si>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</si>
  <si>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</si>
  <si>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</si>
  <si>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</si>
  <si>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</si>
  <si>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</si>
  <si>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</si>
  <si>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</si>
  <si>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</si>
  <si>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</si>
  <si>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</si>
  <si>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</si>
  <si>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</si>
  <si>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</si>
  <si>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</si>
  <si>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</si>
  <si>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</si>
  <si>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</si>
  <si>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</si>
  <si>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</si>
  <si>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</si>
  <si>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</si>
  <si>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</si>
  <si>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</si>
  <si>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</si>
  <si>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</si>
  <si>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</si>
  <si>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</si>
  <si>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</si>
  <si>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</si>
  <si>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</si>
  <si>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</si>
  <si>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</si>
  <si>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</si>
  <si>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</si>
  <si>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</si>
  <si>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</si>
  <si>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</si>
  <si>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</si>
  <si>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</si>
  <si>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</si>
  <si>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</si>
  <si>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</si>
  <si>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</si>
  <si>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</si>
  <si>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</si>
  <si>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</si>
  <si>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</si>
  <si>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</si>
  <si>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</si>
  <si>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</si>
  <si>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</si>
  <si>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</si>
  <si>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</si>
  <si>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</si>
  <si>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</si>
  <si>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</si>
  <si>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</si>
  <si>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</si>
  <si>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</si>
  <si>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</si>
  <si>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</si>
  <si>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</si>
  <si>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</si>
  <si>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</si>
  <si>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</si>
  <si>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</si>
  <si>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</si>
  <si>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</si>
  <si>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</si>
  <si>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</si>
  <si>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</si>
  <si>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</si>
  <si>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</si>
  <si>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</si>
  <si>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</si>
  <si>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</si>
  <si>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</si>
  <si>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</si>
  <si>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</si>
  <si>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</si>
  <si>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</si>
  <si>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</si>
  <si>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</si>
  <si>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</si>
  <si>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</si>
  <si>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</si>
  <si>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</si>
  <si>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</si>
  <si>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</si>
  <si>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</si>
  <si>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</si>
  <si>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</si>
  <si>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</si>
  <si>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</si>
  <si>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</si>
  <si>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</si>
  <si>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</si>
  <si>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</si>
  <si>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</si>
  <si>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</si>
  <si>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</si>
  <si>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</si>
  <si>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</si>
  <si>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</si>
  <si>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</si>
  <si>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</si>
  <si>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</si>
  <si>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</si>
  <si>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</si>
  <si>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</si>
  <si>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</si>
  <si>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</si>
  <si>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</si>
  <si>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</si>
  <si>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</si>
  <si>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</si>
  <si>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</si>
  <si>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</si>
  <si>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</si>
  <si>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</si>
  <si>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</si>
  <si>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rPr>
        <sz val="10"/>
        <rFont val="Tahoma"/>
        <charset val="1"/>
      </rP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</si>
  <si>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</si>
  <si>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</si>
  <si>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</si>
  <si>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</si>
  <si>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</si>
  <si>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</si>
  <si>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</si>
  <si>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</si>
  <si>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</si>
  <si>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</si>
  <si>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</si>
  <si>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</si>
  <si>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</si>
  <si>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</si>
  <si>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</si>
  <si>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</si>
  <si>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</si>
  <si>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</si>
  <si>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</si>
  <si>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</si>
  <si>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</si>
  <si>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</si>
  <si>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</si>
  <si>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</si>
  <si>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</si>
  <si>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</si>
  <si>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</si>
  <si>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</si>
  <si>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</si>
  <si>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</si>
  <si>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</si>
  <si>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</si>
  <si>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</si>
  <si>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</si>
  <si>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</si>
  <si>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</si>
  <si>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</si>
  <si>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</si>
  <si>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</si>
  <si>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</si>
  <si>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</si>
  <si>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</si>
  <si>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</si>
  <si>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</si>
  <si>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</si>
  <si>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</si>
  <si>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</si>
  <si>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</si>
  <si>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</si>
  <si>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</si>
  <si>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</si>
  <si>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</si>
  <si>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</si>
  <si>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</si>
  <si>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</si>
  <si>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</si>
  <si>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</si>
  <si>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</si>
  <si>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</si>
  <si>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</si>
  <si>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</si>
  <si>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</si>
  <si>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</si>
  <si>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</si>
  <si>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</si>
  <si>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</si>
  <si>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</si>
  <si>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</si>
  <si>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</si>
  <si>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</si>
  <si>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</si>
  <si>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</si>
  <si>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</si>
  <si>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</si>
  <si>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</si>
  <si>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</si>
  <si>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</si>
  <si>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</si>
  <si>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</si>
  <si>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</si>
  <si>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</si>
  <si>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</si>
  <si>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</si>
  <si>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</si>
  <si>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</si>
  <si>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</si>
  <si>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</si>
  <si>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</si>
  <si>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</si>
  <si>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</si>
  <si>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</si>
  <si>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</si>
  <si>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</si>
  <si>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</si>
  <si>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</si>
  <si>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30943132</t>
  </si>
  <si>
    <t>АО «ОЭЗ «Титановая долина», г. Екатеринбург</t>
  </si>
  <si>
    <t>6670376352</t>
  </si>
  <si>
    <t>31006321</t>
  </si>
  <si>
    <t>АО «Сосновское»</t>
  </si>
  <si>
    <t>6658344587</t>
  </si>
  <si>
    <t>26479351</t>
  </si>
  <si>
    <t>Акционерное общество "5 центральный автомобильный ремонтный завод", г. Екатеринбург</t>
  </si>
  <si>
    <t>6659192672</t>
  </si>
  <si>
    <t>665901001</t>
  </si>
  <si>
    <t>09-01-2023 00:00:00</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</si>
  <si>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</si>
  <si>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</si>
  <si>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</si>
  <si>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</si>
  <si>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</si>
  <si>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</si>
  <si>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</si>
  <si>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663901001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</si>
  <si>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</si>
  <si>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</si>
  <si>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</si>
  <si>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</si>
  <si>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</si>
  <si>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</si>
  <si>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</si>
  <si>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</si>
  <si>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</si>
  <si>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</si>
  <si>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</si>
  <si>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</si>
  <si>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</si>
  <si>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</si>
  <si>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</si>
  <si>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</si>
  <si>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</si>
  <si>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</si>
  <si>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</si>
  <si>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</si>
  <si>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661401001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</si>
  <si>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</si>
  <si>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</si>
  <si>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</si>
  <si>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</si>
  <si>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</si>
  <si>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</si>
  <si>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</si>
  <si>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</si>
  <si>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</si>
  <si>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</si>
  <si>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</si>
  <si>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</si>
  <si>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</si>
  <si>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</si>
  <si>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</si>
  <si>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</si>
  <si>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</si>
  <si>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</si>
  <si>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</si>
  <si>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</si>
  <si>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</si>
  <si>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</si>
  <si>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</si>
  <si>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</si>
  <si>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</si>
  <si>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667901001</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</si>
  <si>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</si>
  <si>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</si>
  <si>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</si>
  <si>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</si>
  <si>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</si>
  <si>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</si>
  <si>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</si>
  <si>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</si>
  <si>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</si>
  <si>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</si>
  <si>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</si>
  <si>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</si>
  <si>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</si>
  <si>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</si>
  <si>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</si>
  <si>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</si>
  <si>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</si>
  <si>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</si>
  <si>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</si>
  <si>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</si>
  <si>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</si>
  <si>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</si>
  <si>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</si>
  <si>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</si>
  <si>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</si>
  <si>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</si>
  <si>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</si>
  <si>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</si>
  <si>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</si>
  <si>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</si>
  <si>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</si>
  <si>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</si>
  <si>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</si>
  <si>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</si>
  <si>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</si>
  <si>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</si>
  <si>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</si>
  <si>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</si>
  <si>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</si>
  <si>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</si>
  <si>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</si>
  <si>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</si>
  <si>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</si>
  <si>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</si>
  <si>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</si>
  <si>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</si>
  <si>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</si>
  <si>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</si>
  <si>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</si>
  <si>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</si>
  <si>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</si>
  <si>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</si>
  <si>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</si>
  <si>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</si>
  <si>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</si>
  <si>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</si>
  <si>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</si>
  <si>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</si>
  <si>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</si>
  <si>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</si>
  <si>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</si>
  <si>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</si>
  <si>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</si>
  <si>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</si>
  <si>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</si>
  <si>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</si>
  <si>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</si>
  <si>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</si>
  <si>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</si>
  <si>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</si>
  <si>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</si>
  <si>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</si>
  <si>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</si>
  <si>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</si>
  <si>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</si>
  <si>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</si>
  <si>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</si>
  <si>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</si>
  <si>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</si>
  <si>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</si>
  <si>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</si>
  <si>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</si>
  <si>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</si>
  <si>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</si>
  <si>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</si>
  <si>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</si>
  <si>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</si>
  <si>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</si>
  <si>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</si>
  <si>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</si>
  <si>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</si>
  <si>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</si>
  <si>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</si>
  <si>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</si>
  <si>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</si>
  <si>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</si>
  <si>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</si>
  <si>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</si>
  <si>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</si>
  <si>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</si>
  <si>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</si>
  <si>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</si>
  <si>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</si>
  <si>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</si>
  <si>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</si>
  <si>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</si>
  <si>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</si>
  <si>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</si>
  <si>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</si>
  <si>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</si>
  <si>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</si>
  <si>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</si>
  <si>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</si>
  <si>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</si>
  <si>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</si>
  <si>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</si>
  <si>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</si>
  <si>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</si>
  <si>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</si>
  <si>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</si>
  <si>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</si>
  <si>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</si>
  <si>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</si>
  <si>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</si>
  <si>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</si>
  <si>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</si>
  <si>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</si>
  <si>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</si>
  <si>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</si>
  <si>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</si>
  <si>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</si>
  <si>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</si>
  <si>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</si>
  <si>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</si>
  <si>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</si>
  <si>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</si>
  <si>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</si>
  <si>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</si>
  <si>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</si>
  <si>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</si>
  <si>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</si>
  <si>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</si>
  <si>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</si>
  <si>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</si>
  <si>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</si>
  <si>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</si>
  <si>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</si>
  <si>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</si>
  <si>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</si>
  <si>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</si>
  <si>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</si>
  <si>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</si>
  <si>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</si>
  <si>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</si>
  <si>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</si>
  <si>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</si>
  <si>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</si>
  <si>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</si>
  <si>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</si>
  <si>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</si>
  <si>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</si>
  <si>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</si>
  <si>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</si>
  <si>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</si>
  <si>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</si>
  <si>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</si>
  <si>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</si>
  <si>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</si>
  <si>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</si>
  <si>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</si>
  <si>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</si>
  <si>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</si>
  <si>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</si>
  <si>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</si>
  <si>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</si>
  <si>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</si>
  <si>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</si>
  <si>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</si>
  <si>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</si>
  <si>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</si>
  <si>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</si>
  <si>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</si>
  <si>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</si>
  <si>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</si>
  <si>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</si>
  <si>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</si>
  <si>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</si>
  <si>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</si>
  <si>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</si>
  <si>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</si>
  <si>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</si>
  <si>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</si>
  <si>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</si>
  <si>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</si>
  <si>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</si>
  <si>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</si>
  <si>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</si>
  <si>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</si>
  <si>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</si>
  <si>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</si>
  <si>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</si>
  <si>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</si>
  <si>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</si>
  <si>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</si>
  <si>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</si>
  <si>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</si>
  <si>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</si>
  <si>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</si>
  <si>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</si>
  <si>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</si>
  <si>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</si>
  <si>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</si>
  <si>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</si>
  <si>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</si>
  <si>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</si>
  <si>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</si>
  <si>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</si>
  <si>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</si>
  <si>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</si>
  <si>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</si>
  <si>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</si>
  <si>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</si>
  <si>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</si>
  <si>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</si>
  <si>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</si>
  <si>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</si>
  <si>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</si>
  <si>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</si>
  <si>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</si>
  <si>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</si>
  <si>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</si>
  <si>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</si>
  <si>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</si>
  <si>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</si>
  <si>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</si>
  <si>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</si>
  <si>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</si>
  <si>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</si>
  <si>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</si>
  <si>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</si>
  <si>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</si>
  <si>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</si>
  <si>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</si>
  <si>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</si>
  <si>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</si>
  <si>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</si>
  <si>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</si>
  <si>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</si>
  <si>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</si>
  <si>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</si>
  <si>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</si>
  <si>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</si>
  <si>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</si>
  <si>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</si>
  <si>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</si>
  <si>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</si>
  <si>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</si>
  <si>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</si>
  <si>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</si>
  <si>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</si>
  <si>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</si>
  <si>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</si>
  <si>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</si>
  <si>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</si>
  <si>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</si>
  <si>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</si>
  <si>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</si>
  <si>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</si>
  <si>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</si>
  <si>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</si>
  <si>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</si>
  <si>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</si>
  <si>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</si>
  <si>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</si>
  <si>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</si>
  <si>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</si>
  <si>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</si>
  <si>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</si>
  <si>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</si>
  <si>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</si>
  <si>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</si>
  <si>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</si>
  <si>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</si>
  <si>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</si>
  <si>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</si>
  <si>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</si>
  <si>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</si>
  <si>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</si>
  <si>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</si>
  <si>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</si>
  <si>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</si>
  <si>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</si>
  <si>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</si>
  <si>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</si>
  <si>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</si>
  <si>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</si>
  <si>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</si>
  <si>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</si>
  <si>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</si>
  <si>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</si>
  <si>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</si>
  <si>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</si>
  <si>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</si>
  <si>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</si>
  <si>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</si>
  <si>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</si>
  <si>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</si>
  <si>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</si>
  <si>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</si>
  <si>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</si>
  <si>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</si>
  <si>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</si>
  <si>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</si>
  <si>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</si>
  <si>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</si>
  <si>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</si>
  <si>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</si>
  <si>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</si>
  <si>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</si>
  <si>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</si>
  <si>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</si>
  <si>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</si>
  <si>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</si>
  <si>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</si>
  <si>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</si>
  <si>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</si>
  <si>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</si>
  <si>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</si>
  <si>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</si>
  <si>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26851338</t>
  </si>
  <si>
    <t>Государственное казенное учреждение Свердловской области "Дом ребенка", г.Екатеринбург</t>
  </si>
  <si>
    <t>6673226267</t>
  </si>
  <si>
    <t>667301001</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</si>
  <si>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</si>
  <si>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</si>
  <si>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</si>
  <si>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</si>
  <si>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</si>
  <si>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</si>
  <si>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</si>
  <si>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</si>
  <si>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</si>
  <si>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</si>
  <si>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</si>
  <si>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</si>
  <si>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</si>
  <si>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</si>
  <si>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</si>
  <si>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</si>
  <si>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</si>
  <si>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</si>
  <si>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</si>
  <si>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</si>
  <si>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</si>
  <si>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</si>
  <si>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</si>
  <si>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</si>
  <si>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</si>
  <si>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</si>
  <si>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</si>
  <si>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</si>
  <si>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</si>
  <si>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</si>
  <si>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</si>
  <si>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</si>
  <si>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</si>
  <si>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</si>
  <si>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</si>
  <si>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</si>
  <si>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</si>
  <si>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</si>
  <si>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</si>
  <si>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</si>
  <si>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</si>
  <si>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</si>
  <si>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</si>
  <si>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</si>
  <si>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</si>
  <si>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</si>
  <si>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</si>
  <si>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</si>
  <si>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</si>
  <si>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</si>
  <si>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</si>
  <si>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</si>
  <si>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</si>
  <si>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</si>
  <si>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</si>
  <si>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</si>
  <si>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</si>
  <si>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</si>
  <si>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</si>
  <si>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</si>
  <si>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</si>
  <si>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</si>
  <si>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</si>
  <si>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</si>
  <si>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</si>
  <si>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</si>
  <si>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</si>
  <si>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</si>
  <si>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</si>
  <si>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</si>
  <si>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</si>
  <si>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</si>
  <si>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</si>
  <si>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</si>
  <si>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</si>
  <si>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</si>
  <si>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</si>
  <si>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</si>
  <si>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</si>
  <si>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</si>
  <si>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</si>
  <si>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</si>
  <si>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</si>
  <si>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</si>
  <si>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</si>
  <si>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</si>
  <si>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</si>
  <si>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</si>
  <si>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</si>
  <si>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</si>
  <si>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</si>
  <si>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</si>
  <si>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</si>
  <si>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</si>
  <si>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</si>
  <si>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</si>
  <si>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</si>
  <si>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</si>
  <si>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</si>
  <si>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28270878</t>
  </si>
  <si>
    <t>Индивидуальный предприниматель Орлова Наталья Владимировна</t>
  </si>
  <si>
    <t>662501406666</t>
  </si>
  <si>
    <t>25-09-2013 00:00:00</t>
  </si>
  <si>
    <t>25-01-2023 00:00:00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</si>
  <si>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</si>
  <si>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</si>
  <si>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</si>
  <si>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</si>
  <si>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</si>
  <si>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</si>
  <si>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</si>
  <si>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</si>
  <si>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</si>
  <si>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</si>
  <si>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</si>
  <si>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</si>
  <si>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</si>
  <si>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661101001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</si>
  <si>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</si>
  <si>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</si>
  <si>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</si>
  <si>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</si>
  <si>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</si>
  <si>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</si>
  <si>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</si>
  <si>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</si>
  <si>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</si>
  <si>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</si>
  <si>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</si>
  <si>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</si>
  <si>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</si>
  <si>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</si>
  <si>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</si>
  <si>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</si>
  <si>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</si>
  <si>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</si>
  <si>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</si>
  <si>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</si>
  <si>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</si>
  <si>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</si>
  <si>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</si>
  <si>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</si>
  <si>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668301001</t>
  </si>
  <si>
    <t>31603781</t>
  </si>
  <si>
    <t>МУП "ТеплоСевер-Плюс"</t>
  </si>
  <si>
    <t>6617029138</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</si>
  <si>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</si>
  <si>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</si>
  <si>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</si>
  <si>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</si>
  <si>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</si>
  <si>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</si>
  <si>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</si>
  <si>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</si>
  <si>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</si>
  <si>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</si>
  <si>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</si>
  <si>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</si>
  <si>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</si>
  <si>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</si>
  <si>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</si>
  <si>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</si>
  <si>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</si>
  <si>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</si>
  <si>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</si>
  <si>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</si>
  <si>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</si>
  <si>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</si>
  <si>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</si>
  <si>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</si>
  <si>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</si>
  <si>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</si>
  <si>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</si>
  <si>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</si>
  <si>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</si>
  <si>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</si>
  <si>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</si>
  <si>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</si>
  <si>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</si>
  <si>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</si>
  <si>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</si>
  <si>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</si>
  <si>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</si>
  <si>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</si>
  <si>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</si>
  <si>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</si>
  <si>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</si>
  <si>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</si>
  <si>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</si>
  <si>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</si>
  <si>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</si>
  <si>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</si>
  <si>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</si>
  <si>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</si>
  <si>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</si>
  <si>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</si>
  <si>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</si>
  <si>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</si>
  <si>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</si>
  <si>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</si>
  <si>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</si>
  <si>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</si>
  <si>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</si>
  <si>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</si>
  <si>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</si>
  <si>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</si>
  <si>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</si>
  <si>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</si>
  <si>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</si>
  <si>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</si>
  <si>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</si>
  <si>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</si>
  <si>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</si>
  <si>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</si>
  <si>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</si>
  <si>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</si>
  <si>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</si>
  <si>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</si>
  <si>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</si>
  <si>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</si>
  <si>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</si>
  <si>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</si>
  <si>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</si>
  <si>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</si>
  <si>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</si>
  <si>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</si>
  <si>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</si>
  <si>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</si>
  <si>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</si>
  <si>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</si>
  <si>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</si>
  <si>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</si>
  <si>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</si>
  <si>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</si>
  <si>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</si>
  <si>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</si>
  <si>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</si>
  <si>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</si>
  <si>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</si>
  <si>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</si>
  <si>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</si>
  <si>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</si>
  <si>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</si>
  <si>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</si>
  <si>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</si>
  <si>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</si>
  <si>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</si>
  <si>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</si>
  <si>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</si>
  <si>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</si>
  <si>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</si>
  <si>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</si>
  <si>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</si>
  <si>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</si>
  <si>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</si>
  <si>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</si>
  <si>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</si>
  <si>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</si>
  <si>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</si>
  <si>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</si>
  <si>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</si>
  <si>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</si>
  <si>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</si>
  <si>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</si>
  <si>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</si>
  <si>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</si>
  <si>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</si>
  <si>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</si>
  <si>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</si>
  <si>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</si>
  <si>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</si>
  <si>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</si>
  <si>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</si>
  <si>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</si>
  <si>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</si>
  <si>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665601001</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</si>
  <si>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</si>
  <si>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</si>
  <si>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</si>
  <si>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</si>
  <si>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</si>
  <si>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</si>
  <si>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</si>
  <si>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</si>
  <si>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</si>
  <si>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</si>
  <si>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</si>
  <si>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</si>
  <si>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</si>
  <si>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</si>
  <si>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</si>
  <si>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</si>
  <si>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</si>
  <si>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</si>
  <si>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</si>
  <si>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</si>
  <si>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</si>
  <si>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</si>
  <si>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</si>
  <si>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</si>
  <si>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</si>
  <si>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</si>
  <si>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</si>
  <si>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</si>
  <si>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</si>
  <si>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</si>
  <si>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</si>
  <si>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</si>
  <si>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</si>
  <si>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</si>
  <si>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</si>
  <si>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</si>
  <si>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</si>
  <si>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</si>
  <si>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</si>
  <si>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</si>
  <si>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</si>
  <si>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</si>
  <si>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</si>
  <si>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</si>
  <si>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</si>
  <si>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</si>
  <si>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</si>
  <si>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</si>
  <si>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</si>
  <si>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</si>
  <si>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</si>
  <si>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</si>
  <si>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</si>
  <si>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</si>
  <si>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</si>
  <si>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</si>
  <si>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</si>
  <si>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</si>
  <si>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</si>
  <si>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</si>
  <si>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</si>
  <si>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</si>
  <si>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</si>
  <si>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</si>
  <si>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</si>
  <si>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</si>
  <si>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</si>
  <si>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</si>
  <si>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</si>
  <si>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</si>
  <si>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</si>
  <si>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</si>
  <si>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26359713</t>
  </si>
  <si>
    <t>Муниципальное унитарное предприятие "Тепловые сети п.Верхние Серги", п.Верхние Серги</t>
  </si>
  <si>
    <t>6646010156</t>
  </si>
  <si>
    <t>10-04-2023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</si>
  <si>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</si>
  <si>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</si>
  <si>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</si>
  <si>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</si>
  <si>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</si>
  <si>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</si>
  <si>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</si>
  <si>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</si>
  <si>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</si>
  <si>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</si>
  <si>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</si>
  <si>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</si>
  <si>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</si>
  <si>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</si>
  <si>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</si>
  <si>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</si>
  <si>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</si>
  <si>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</si>
  <si>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</si>
  <si>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</si>
  <si>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</si>
  <si>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</si>
  <si>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</si>
  <si>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</si>
  <si>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</si>
  <si>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</si>
  <si>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</si>
  <si>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</si>
  <si>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</si>
  <si>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</si>
  <si>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</si>
  <si>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</si>
  <si>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</si>
  <si>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</si>
  <si>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</si>
  <si>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</si>
  <si>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</si>
  <si>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</si>
  <si>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</si>
  <si>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</si>
  <si>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</si>
  <si>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</si>
  <si>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</si>
  <si>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</si>
  <si>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</si>
  <si>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</si>
  <si>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</si>
  <si>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</si>
  <si>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</si>
  <si>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</si>
  <si>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</si>
  <si>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</si>
  <si>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</si>
  <si>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</si>
  <si>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</si>
  <si>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</si>
  <si>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</si>
  <si>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</si>
  <si>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</si>
  <si>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</si>
  <si>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</si>
  <si>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</si>
  <si>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</si>
  <si>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</si>
  <si>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</si>
  <si>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</si>
  <si>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</si>
  <si>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</si>
  <si>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</si>
  <si>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</si>
  <si>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</si>
  <si>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</si>
  <si>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</si>
  <si>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</si>
  <si>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</si>
  <si>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</si>
  <si>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</si>
  <si>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</si>
  <si>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</si>
  <si>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19-06-2023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</si>
  <si>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</si>
  <si>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</si>
  <si>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</si>
  <si>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</si>
  <si>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</si>
  <si>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</si>
  <si>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</si>
  <si>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</si>
  <si>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</si>
  <si>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</si>
  <si>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</si>
  <si>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</si>
  <si>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</si>
  <si>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</si>
  <si>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</si>
  <si>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</si>
  <si>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</si>
  <si>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</si>
  <si>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</si>
  <si>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</si>
  <si>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</si>
  <si>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662501001</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</si>
  <si>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</si>
  <si>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</si>
  <si>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</si>
  <si>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</si>
  <si>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</si>
  <si>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</si>
  <si>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</si>
  <si>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</si>
  <si>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</si>
  <si>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</si>
  <si>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</si>
  <si>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</si>
  <si>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</si>
  <si>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</si>
  <si>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</si>
  <si>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</si>
  <si>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</si>
  <si>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</si>
  <si>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</si>
  <si>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</si>
  <si>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</si>
  <si>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</si>
  <si>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</si>
  <si>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</si>
  <si>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</si>
  <si>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</si>
  <si>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</si>
  <si>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</si>
  <si>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</si>
  <si>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</si>
  <si>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</si>
  <si>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</si>
  <si>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</si>
  <si>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</si>
  <si>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</si>
  <si>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</si>
  <si>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</si>
  <si>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</si>
  <si>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</si>
  <si>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</si>
  <si>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</si>
  <si>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</si>
  <si>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</si>
  <si>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</si>
  <si>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</si>
  <si>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</si>
  <si>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</si>
  <si>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</si>
  <si>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</si>
  <si>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</si>
  <si>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</si>
  <si>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</si>
  <si>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</si>
  <si>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</si>
  <si>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</si>
  <si>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</si>
  <si>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</si>
  <si>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</si>
  <si>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</si>
  <si>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</si>
  <si>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</si>
  <si>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</si>
  <si>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</si>
  <si>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</si>
  <si>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</si>
  <si>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</si>
  <si>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</si>
  <si>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</si>
  <si>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</si>
  <si>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</si>
  <si>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</si>
  <si>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</si>
  <si>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</si>
  <si>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</si>
  <si>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</si>
  <si>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</si>
  <si>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</si>
  <si>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</si>
  <si>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663501001</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</si>
  <si>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</si>
  <si>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</si>
  <si>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</si>
  <si>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</si>
  <si>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</si>
  <si>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</si>
  <si>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</si>
  <si>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</si>
  <si>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</si>
  <si>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</si>
  <si>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</si>
  <si>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</si>
  <si>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</si>
  <si>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</si>
  <si>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</si>
  <si>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</si>
  <si>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</si>
  <si>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</si>
  <si>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</si>
  <si>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</si>
  <si>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</si>
  <si>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</si>
  <si>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</si>
  <si>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</si>
  <si>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</si>
  <si>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</si>
  <si>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</si>
  <si>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</si>
  <si>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</si>
  <si>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</si>
  <si>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</si>
  <si>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</si>
  <si>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</si>
  <si>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</si>
  <si>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</si>
  <si>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</si>
  <si>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</si>
  <si>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</si>
  <si>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</si>
  <si>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</si>
  <si>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</si>
  <si>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</si>
  <si>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</si>
  <si>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</si>
  <si>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</si>
  <si>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</si>
  <si>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</si>
  <si>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</si>
  <si>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</si>
  <si>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</si>
  <si>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</si>
  <si>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</si>
  <si>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</si>
  <si>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</si>
  <si>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</si>
  <si>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</si>
  <si>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</si>
  <si>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</si>
  <si>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</si>
  <si>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</si>
  <si>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</si>
  <si>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</si>
  <si>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</si>
  <si>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</si>
  <si>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</si>
  <si>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</si>
  <si>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</si>
  <si>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</si>
  <si>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</si>
  <si>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</si>
  <si>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</si>
  <si>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</si>
  <si>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</si>
  <si>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</si>
  <si>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</si>
  <si>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</si>
  <si>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</si>
  <si>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</si>
  <si>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</si>
  <si>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</si>
  <si>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</si>
  <si>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</si>
  <si>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</si>
  <si>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</si>
  <si>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</si>
  <si>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</si>
  <si>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</si>
  <si>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</si>
  <si>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</si>
  <si>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28150178</t>
  </si>
  <si>
    <t>ООО "Пермьэнергосервис"</t>
  </si>
  <si>
    <t>5907048268</t>
  </si>
  <si>
    <t>10-05-2023 00:00:00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</si>
  <si>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</si>
  <si>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</si>
  <si>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</si>
  <si>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</si>
  <si>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</si>
  <si>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</si>
  <si>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</si>
  <si>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</si>
  <si>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</si>
  <si>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</si>
  <si>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</si>
  <si>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</si>
  <si>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</si>
  <si>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</si>
  <si>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</si>
  <si>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</si>
  <si>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</si>
  <si>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</si>
  <si>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</si>
  <si>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</si>
  <si>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</si>
  <si>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</si>
  <si>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</si>
  <si>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</si>
  <si>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</si>
  <si>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</si>
  <si>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</si>
  <si>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</si>
  <si>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</si>
  <si>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</si>
  <si>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</si>
  <si>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</si>
  <si>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</si>
  <si>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31393893</t>
  </si>
  <si>
    <t>ООО "Тепло-Вик"</t>
  </si>
  <si>
    <t>6677013460</t>
  </si>
  <si>
    <t>28-06-2023 00:00:00</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</si>
  <si>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</si>
  <si>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</si>
  <si>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</si>
  <si>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</si>
  <si>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</si>
  <si>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</si>
  <si>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</si>
  <si>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</si>
  <si>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</si>
  <si>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</si>
  <si>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</si>
  <si>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</si>
  <si>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</si>
  <si>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</si>
  <si>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</si>
  <si>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</si>
  <si>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</si>
  <si>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</si>
  <si>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</si>
  <si>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31171552</t>
  </si>
  <si>
    <t>ООО "Территориальная генерирующая компания "Стройком", г. Каменск-Уральский</t>
  </si>
  <si>
    <t>6612053377</t>
  </si>
  <si>
    <t>31667251</t>
  </si>
  <si>
    <t>ООО "ТоргПласт"</t>
  </si>
  <si>
    <t>6673165590</t>
  </si>
  <si>
    <t>26632558</t>
  </si>
  <si>
    <t>ООО "УВМ Урал", г.Екатеринбург</t>
  </si>
  <si>
    <t>6674342481</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</si>
  <si>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</si>
  <si>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</si>
  <si>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</si>
  <si>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</si>
  <si>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</si>
  <si>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</si>
  <si>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</si>
  <si>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</si>
  <si>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</si>
  <si>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</si>
  <si>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</si>
  <si>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</si>
  <si>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</si>
  <si>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</si>
  <si>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</si>
  <si>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</si>
  <si>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</si>
  <si>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</si>
  <si>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</si>
  <si>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</si>
  <si>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</si>
  <si>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</si>
  <si>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</si>
  <si>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</si>
  <si>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</si>
  <si>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</si>
  <si>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</si>
  <si>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</si>
  <si>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</si>
  <si>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</si>
  <si>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</si>
  <si>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</si>
  <si>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</si>
  <si>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</si>
  <si>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</si>
  <si>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</si>
  <si>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</si>
  <si>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</si>
  <si>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</si>
  <si>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</si>
  <si>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</si>
  <si>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</si>
  <si>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</si>
  <si>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</si>
  <si>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</si>
  <si>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</si>
  <si>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</si>
  <si>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</si>
  <si>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</si>
  <si>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</si>
  <si>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</si>
  <si>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</si>
  <si>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</si>
  <si>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</si>
  <si>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</si>
  <si>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</si>
  <si>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</si>
  <si>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</si>
  <si>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</si>
  <si>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</si>
  <si>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</si>
  <si>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</si>
  <si>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</si>
  <si>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</si>
  <si>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</si>
  <si>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</si>
  <si>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</si>
  <si>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</si>
  <si>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</si>
  <si>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</si>
  <si>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</si>
  <si>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</si>
  <si>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</si>
  <si>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</si>
  <si>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</si>
  <si>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</si>
  <si>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</si>
  <si>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</si>
  <si>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</si>
  <si>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</si>
  <si>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</si>
  <si>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</si>
  <si>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</si>
  <si>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</si>
  <si>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</si>
  <si>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</si>
  <si>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</si>
  <si>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</si>
  <si>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</si>
  <si>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</si>
  <si>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</si>
  <si>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</si>
  <si>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</si>
  <si>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</si>
  <si>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</si>
  <si>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</si>
  <si>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</si>
  <si>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</si>
  <si>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</si>
  <si>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</si>
  <si>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</si>
  <si>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</si>
  <si>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</si>
  <si>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</si>
  <si>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</si>
  <si>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</si>
  <si>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</si>
  <si>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</si>
  <si>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</si>
  <si>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</si>
  <si>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</si>
  <si>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</si>
  <si>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</si>
  <si>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</si>
  <si>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</si>
  <si>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</si>
  <si>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</si>
  <si>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</si>
  <si>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</si>
  <si>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</si>
  <si>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</si>
  <si>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</si>
  <si>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</si>
  <si>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</si>
  <si>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</si>
  <si>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</si>
  <si>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</si>
  <si>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</si>
  <si>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</si>
  <si>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</si>
  <si>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</si>
  <si>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</si>
  <si>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</si>
  <si>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</si>
  <si>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</si>
  <si>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</si>
  <si>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</si>
  <si>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30344901</t>
  </si>
  <si>
    <t>Общество с ограниченной ответственностью "Алапаевская ТГК", г. Алапаевск</t>
  </si>
  <si>
    <t>6670353193</t>
  </si>
  <si>
    <t>27-10-2023 00:00:00</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</si>
  <si>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</si>
  <si>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</si>
  <si>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</si>
  <si>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</si>
  <si>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</si>
  <si>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</si>
  <si>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</si>
  <si>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</si>
  <si>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</si>
  <si>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</si>
  <si>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</si>
  <si>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</si>
  <si>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</si>
  <si>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</si>
  <si>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</si>
  <si>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</si>
  <si>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</si>
  <si>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</si>
  <si>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</si>
  <si>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</si>
  <si>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</si>
  <si>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</si>
  <si>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</si>
  <si>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</si>
  <si>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</si>
  <si>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</si>
  <si>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</si>
  <si>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</si>
  <si>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</si>
  <si>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</si>
  <si>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</si>
  <si>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</si>
  <si>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</si>
  <si>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</si>
  <si>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</si>
  <si>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</si>
  <si>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</si>
  <si>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</si>
  <si>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26479239</t>
  </si>
  <si>
    <t>Общество с ограниченной ответственностью "Газ-сервис Энерго", г.Екатеринбург</t>
  </si>
  <si>
    <t>6672174175</t>
  </si>
  <si>
    <t>667201001</t>
  </si>
  <si>
    <t>22-03-2023 00:00:00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</si>
  <si>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</si>
  <si>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</si>
  <si>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</si>
  <si>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</si>
  <si>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</si>
  <si>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</si>
  <si>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</si>
  <si>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</si>
  <si>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</si>
  <si>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</si>
  <si>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</si>
  <si>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</si>
  <si>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</si>
  <si>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АРП 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</si>
  <si>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</si>
  <si>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</si>
  <si>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</si>
  <si>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</si>
  <si>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</si>
  <si>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</si>
  <si>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</si>
  <si>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</si>
  <si>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</si>
  <si>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</si>
  <si>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</si>
  <si>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</si>
  <si>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</si>
  <si>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</si>
  <si>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</si>
  <si>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</si>
  <si>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</si>
  <si>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</si>
  <si>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</si>
  <si>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</si>
  <si>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</si>
  <si>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</si>
  <si>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</si>
  <si>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</si>
  <si>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</si>
  <si>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</si>
  <si>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</si>
  <si>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</si>
  <si>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</si>
  <si>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</si>
  <si>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</si>
  <si>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</si>
  <si>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</si>
  <si>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</si>
  <si>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</si>
  <si>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28813978</t>
  </si>
  <si>
    <t>Общество с ограниченной ответственностью "Городская энергосервисная компания", г. Нижняя Тура</t>
  </si>
  <si>
    <t>6670007965</t>
  </si>
  <si>
    <t>16-09-2014 00:00:00</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</si>
  <si>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</si>
  <si>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</si>
  <si>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</si>
  <si>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</si>
  <si>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</si>
  <si>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</si>
  <si>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</si>
  <si>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</si>
  <si>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</si>
  <si>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</si>
  <si>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</si>
  <si>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</si>
  <si>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</si>
  <si>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</si>
  <si>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</si>
  <si>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</si>
  <si>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</si>
  <si>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</si>
  <si>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</si>
  <si>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</si>
  <si>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</si>
  <si>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</si>
  <si>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26479227</t>
  </si>
  <si>
    <t>Общество с ограниченной ответственностью "Западные Окраины", г. Первоуральск</t>
  </si>
  <si>
    <t>6625046673</t>
  </si>
  <si>
    <t>31-10-2023 00:00:00</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</si>
  <si>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</si>
  <si>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</si>
  <si>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</si>
  <si>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</si>
  <si>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</si>
  <si>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</si>
  <si>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</si>
  <si>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</si>
  <si>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</si>
  <si>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</si>
  <si>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</si>
  <si>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</si>
  <si>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</si>
  <si>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</si>
  <si>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</si>
  <si>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</si>
  <si>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</si>
  <si>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</si>
  <si>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</si>
  <si>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</si>
  <si>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</si>
  <si>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</si>
  <si>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</si>
  <si>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</si>
  <si>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</si>
  <si>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</si>
  <si>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</si>
  <si>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</si>
  <si>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</si>
  <si>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</si>
  <si>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</si>
  <si>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</si>
  <si>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</si>
  <si>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</si>
  <si>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</si>
  <si>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</si>
  <si>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</si>
  <si>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26850841</t>
  </si>
  <si>
    <t>Общество с ограниченной ответственностью "Косулинское производственное предприятие", с.Косулино</t>
  </si>
  <si>
    <t>6639016608</t>
  </si>
  <si>
    <t>30-06-2023 00:00:00</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</si>
  <si>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</si>
  <si>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</si>
  <si>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</si>
  <si>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</si>
  <si>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</si>
  <si>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</si>
  <si>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</si>
  <si>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</si>
  <si>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</si>
  <si>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</si>
  <si>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</si>
  <si>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</si>
  <si>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</si>
  <si>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</si>
  <si>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</si>
  <si>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</si>
  <si>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</si>
  <si>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</si>
  <si>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</si>
  <si>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</si>
  <si>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</si>
  <si>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</si>
  <si>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</si>
  <si>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</si>
  <si>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</si>
  <si>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</si>
  <si>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</si>
  <si>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</si>
  <si>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</si>
  <si>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</si>
  <si>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</si>
  <si>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</si>
  <si>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</si>
  <si>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</si>
  <si>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</si>
  <si>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</si>
  <si>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</si>
  <si>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</si>
  <si>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</si>
  <si>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</si>
  <si>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</si>
  <si>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</si>
  <si>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</si>
  <si>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</si>
  <si>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</si>
  <si>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</si>
  <si>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</si>
  <si>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</si>
  <si>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</si>
  <si>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</si>
  <si>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</si>
  <si>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</si>
  <si>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</si>
  <si>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</si>
  <si>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</si>
  <si>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</si>
  <si>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</si>
  <si>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</si>
  <si>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</si>
  <si>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</si>
  <si>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</si>
  <si>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</si>
  <si>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</si>
  <si>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</si>
  <si>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</si>
  <si>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</si>
  <si>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</si>
  <si>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</si>
  <si>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</si>
  <si>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</si>
  <si>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</si>
  <si>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</si>
  <si>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</si>
  <si>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</si>
  <si>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</si>
  <si>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</si>
  <si>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</si>
  <si>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</si>
  <si>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</si>
  <si>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16-08-2013 00:00:00</t>
  </si>
  <si>
    <t>28-09-2023 00:00:00</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</si>
  <si>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</si>
  <si>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</si>
  <si>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</si>
  <si>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</si>
  <si>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</si>
  <si>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</si>
  <si>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</si>
  <si>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</si>
  <si>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</si>
  <si>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</si>
  <si>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</si>
  <si>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</si>
  <si>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</si>
  <si>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</si>
  <si>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</si>
  <si>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</si>
  <si>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</si>
  <si>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</si>
  <si>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</si>
  <si>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</si>
  <si>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</si>
  <si>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</si>
  <si>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</si>
  <si>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</si>
  <si>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</si>
  <si>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</si>
  <si>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</si>
  <si>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</si>
  <si>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</si>
  <si>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</si>
  <si>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</si>
  <si>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</si>
  <si>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</si>
  <si>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</si>
  <si>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</si>
  <si>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</si>
  <si>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</si>
  <si>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</si>
  <si>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</si>
  <si>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</si>
  <si>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</si>
  <si>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</si>
  <si>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</si>
  <si>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</si>
  <si>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</si>
  <si>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</si>
  <si>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</si>
  <si>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</si>
  <si>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</si>
  <si>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</si>
  <si>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</si>
  <si>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</si>
  <si>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</si>
  <si>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</si>
  <si>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</si>
  <si>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</si>
  <si>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</si>
  <si>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</si>
  <si>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</si>
  <si>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</si>
  <si>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</si>
  <si>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</si>
  <si>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</si>
  <si>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</si>
  <si>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</si>
  <si>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</si>
  <si>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</si>
  <si>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</si>
  <si>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</si>
  <si>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</si>
  <si>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</si>
  <si>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</si>
  <si>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</si>
  <si>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</si>
  <si>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</si>
  <si>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</si>
  <si>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</si>
  <si>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</si>
  <si>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</si>
  <si>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28056901</t>
  </si>
  <si>
    <t>Общество с ограниченной ответственностью "ТеплоГенерация", г. Екатеринбург</t>
  </si>
  <si>
    <t>6658411392</t>
  </si>
  <si>
    <t>21-04-2023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</si>
  <si>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</si>
  <si>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</si>
  <si>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</si>
  <si>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</si>
  <si>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</si>
  <si>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</si>
  <si>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</si>
  <si>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</si>
  <si>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</si>
  <si>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</si>
  <si>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</si>
  <si>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</si>
  <si>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</si>
  <si>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</si>
  <si>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26-12-2013 00:00:00</t>
  </si>
  <si>
    <t>31319755</t>
  </si>
  <si>
    <t>Общество с ограниченной ответственностью "Теплосеть", п. Буланаш</t>
  </si>
  <si>
    <t>6677012844</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</si>
  <si>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</si>
  <si>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</si>
  <si>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</si>
  <si>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</si>
  <si>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</si>
  <si>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</si>
  <si>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</si>
  <si>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</si>
  <si>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</si>
  <si>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</si>
  <si>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</si>
  <si>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</si>
  <si>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</si>
  <si>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</si>
  <si>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</si>
  <si>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</si>
  <si>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</si>
  <si>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</si>
  <si>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</si>
  <si>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</si>
  <si>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</si>
  <si>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</si>
  <si>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</si>
  <si>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</si>
  <si>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</si>
  <si>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</si>
  <si>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</si>
  <si>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</si>
  <si>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</si>
  <si>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</si>
  <si>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</si>
  <si>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</si>
  <si>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</si>
  <si>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</si>
  <si>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</si>
  <si>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27569476</t>
  </si>
  <si>
    <t>Общество с ограниченной ответственностью "Управляющая компания "Белореченское", с.Кочневское</t>
  </si>
  <si>
    <t>6639020516</t>
  </si>
  <si>
    <t>10-03-2010 00:00:00</t>
  </si>
  <si>
    <t>05-12-2023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</si>
  <si>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</si>
  <si>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</si>
  <si>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</si>
  <si>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</si>
  <si>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</si>
  <si>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</si>
  <si>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</si>
  <si>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</si>
  <si>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</si>
  <si>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</si>
  <si>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</si>
  <si>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</si>
  <si>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</si>
  <si>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</si>
  <si>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</si>
  <si>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</si>
  <si>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</si>
  <si>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</si>
  <si>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</si>
  <si>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</si>
  <si>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</si>
  <si>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</si>
  <si>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</si>
  <si>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</si>
  <si>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</si>
  <si>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</si>
  <si>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</si>
  <si>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</si>
  <si>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</si>
  <si>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</si>
  <si>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</si>
  <si>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</si>
  <si>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</si>
  <si>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</si>
  <si>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</si>
  <si>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</si>
  <si>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</si>
  <si>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</si>
  <si>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</si>
  <si>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</si>
  <si>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</si>
  <si>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</si>
  <si>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</si>
  <si>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</si>
  <si>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</si>
  <si>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</si>
  <si>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</si>
  <si>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</si>
  <si>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</si>
  <si>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</si>
  <si>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</si>
  <si>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</si>
  <si>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</si>
  <si>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</si>
  <si>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</si>
  <si>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</si>
  <si>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</si>
  <si>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</si>
  <si>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</si>
  <si>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</si>
  <si>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</si>
  <si>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</si>
  <si>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</si>
  <si>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</si>
  <si>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</si>
  <si>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</si>
  <si>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</si>
  <si>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</si>
  <si>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</si>
  <si>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</si>
  <si>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</si>
  <si>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</si>
  <si>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</si>
  <si>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</si>
  <si>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</si>
  <si>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</si>
  <si>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</si>
  <si>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</si>
  <si>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</si>
  <si>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</si>
  <si>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</si>
  <si>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</si>
  <si>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</si>
  <si>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</si>
  <si>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</si>
  <si>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</si>
  <si>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</si>
  <si>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</si>
  <si>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</si>
  <si>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27361322</t>
  </si>
  <si>
    <t>Общество с ограниченной ответственностью "Энергосервис"</t>
  </si>
  <si>
    <t>4505200827</t>
  </si>
  <si>
    <t>12-04-2011 00:00:00</t>
  </si>
  <si>
    <t>23-06-2023 00:00:00</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</si>
  <si>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</si>
  <si>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</si>
  <si>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</si>
  <si>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</si>
  <si>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</si>
  <si>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</si>
  <si>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</si>
  <si>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</si>
  <si>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</si>
  <si>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</si>
  <si>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</si>
  <si>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</si>
  <si>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</si>
  <si>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</si>
  <si>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</si>
  <si>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</si>
  <si>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</si>
  <si>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</si>
  <si>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</si>
  <si>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</si>
  <si>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</si>
  <si>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</si>
  <si>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</si>
  <si>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</si>
  <si>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</si>
  <si>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</si>
  <si>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</si>
  <si>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</si>
  <si>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</si>
  <si>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</si>
  <si>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</si>
  <si>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</si>
  <si>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26851284</t>
  </si>
  <si>
    <t>Общество с ограниченной ответственностью Сетевая Компания "Новая Энергетика", г.Екатеринбург</t>
  </si>
  <si>
    <t>6659208869</t>
  </si>
  <si>
    <t>17-01-2023 00:00:00</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</si>
  <si>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</si>
  <si>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</si>
  <si>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</si>
  <si>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</si>
  <si>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</si>
  <si>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</si>
  <si>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</si>
  <si>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</si>
  <si>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</si>
  <si>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</si>
  <si>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</si>
  <si>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</si>
  <si>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</si>
  <si>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</si>
  <si>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</si>
  <si>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</si>
  <si>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</si>
  <si>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</si>
  <si>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</si>
  <si>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</si>
  <si>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</si>
  <si>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</si>
  <si>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</si>
  <si>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</si>
  <si>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</si>
  <si>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</si>
  <si>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</si>
  <si>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</si>
  <si>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</si>
  <si>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</si>
  <si>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</si>
  <si>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</si>
  <si>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</si>
  <si>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</si>
  <si>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</si>
  <si>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</si>
  <si>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</si>
  <si>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</si>
  <si>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</si>
  <si>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</si>
  <si>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</si>
  <si>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</si>
  <si>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</si>
  <si>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</si>
  <si>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</si>
  <si>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</si>
  <si>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</si>
  <si>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</si>
  <si>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</si>
  <si>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</si>
  <si>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</si>
  <si>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</si>
  <si>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</si>
  <si>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</si>
  <si>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</si>
  <si>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</si>
  <si>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</si>
  <si>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</si>
  <si>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</si>
  <si>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</si>
  <si>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</si>
  <si>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</si>
  <si>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</si>
  <si>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</si>
  <si>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</si>
  <si>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</si>
  <si>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</si>
  <si>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</si>
  <si>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</si>
  <si>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</si>
  <si>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</si>
  <si>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</si>
  <si>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</si>
  <si>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</si>
  <si>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</si>
  <si>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</si>
  <si>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</si>
  <si>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</si>
  <si>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</si>
  <si>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</si>
  <si>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</si>
  <si>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</si>
  <si>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</si>
  <si>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</si>
  <si>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</si>
  <si>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</si>
  <si>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</si>
  <si>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</si>
  <si>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</si>
  <si>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</si>
  <si>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</si>
  <si>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</si>
  <si>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</si>
  <si>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</si>
  <si>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</si>
  <si>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</si>
  <si>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</si>
  <si>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</si>
  <si>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</si>
  <si>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</si>
  <si>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</si>
  <si>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</si>
  <si>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</si>
  <si>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</si>
  <si>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</si>
  <si>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</si>
  <si>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</si>
  <si>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</si>
  <si>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</si>
  <si>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</si>
  <si>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</si>
  <si>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</si>
  <si>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</si>
  <si>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</si>
  <si>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</si>
  <si>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</si>
  <si>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</si>
  <si>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</si>
  <si>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</si>
  <si>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</si>
  <si>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</si>
  <si>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</si>
  <si>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</si>
  <si>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</si>
  <si>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</si>
  <si>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26322623</t>
  </si>
  <si>
    <t>ПАО "Уралхиммаш", г.Екатеринбург</t>
  </si>
  <si>
    <t>6664013880</t>
  </si>
  <si>
    <t>28-06-1996 00:00:00</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</si>
  <si>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</si>
  <si>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</si>
  <si>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</si>
  <si>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</si>
  <si>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</si>
  <si>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</si>
  <si>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</si>
  <si>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</si>
  <si>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</si>
  <si>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</si>
  <si>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26359689</t>
  </si>
  <si>
    <t>Привокзальное территориальное управление Администрации городского округа Верхотурский, п.Привокзальный</t>
  </si>
  <si>
    <t>6640001050</t>
  </si>
  <si>
    <t>26-10-2023 00:00:00</t>
  </si>
  <si>
    <t>26479609</t>
  </si>
  <si>
    <t>Прокоп-Салдинское территориальное управление Администрации городского округа Верхотурский, с.Прокопьевская Салда</t>
  </si>
  <si>
    <t>6640001363</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</si>
  <si>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</si>
  <si>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</si>
  <si>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</si>
  <si>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</si>
  <si>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</si>
  <si>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</si>
  <si>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</si>
  <si>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</si>
  <si>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</si>
  <si>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</si>
  <si>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</si>
  <si>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</si>
  <si>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</si>
  <si>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</si>
  <si>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</si>
  <si>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</si>
  <si>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</si>
  <si>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</si>
  <si>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</si>
  <si>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</si>
  <si>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</si>
  <si>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</si>
  <si>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</si>
  <si>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</si>
  <si>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</si>
  <si>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</si>
  <si>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</si>
  <si>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</si>
  <si>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</si>
  <si>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</si>
  <si>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</si>
  <si>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</si>
  <si>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</si>
  <si>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</si>
  <si>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</si>
  <si>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</si>
  <si>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</si>
  <si>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</si>
  <si>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</si>
  <si>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</si>
  <si>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</si>
  <si>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</si>
  <si>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</si>
  <si>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</si>
  <si>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</si>
  <si>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</si>
  <si>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</si>
  <si>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</si>
  <si>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</si>
  <si>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</si>
  <si>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</si>
  <si>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</si>
  <si>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</si>
  <si>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</si>
  <si>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</si>
  <si>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</si>
  <si>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</si>
  <si>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</si>
  <si>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</si>
  <si>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</si>
  <si>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</si>
  <si>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</si>
  <si>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</si>
  <si>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</si>
  <si>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</si>
  <si>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</si>
  <si>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</si>
  <si>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</si>
  <si>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</si>
  <si>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</si>
  <si>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</si>
  <si>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</si>
  <si>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</si>
  <si>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</si>
  <si>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</si>
  <si>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</si>
  <si>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</si>
  <si>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</si>
  <si>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</si>
  <si>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</si>
  <si>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</si>
  <si>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</si>
  <si>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</si>
  <si>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</si>
  <si>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</si>
  <si>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</si>
  <si>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</si>
  <si>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</si>
  <si>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</si>
  <si>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</si>
  <si>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</si>
  <si>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</si>
  <si>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</si>
  <si>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</si>
  <si>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</si>
  <si>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</si>
  <si>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</si>
  <si>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</si>
  <si>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</si>
  <si>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</si>
  <si>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</si>
  <si>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</si>
  <si>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</si>
  <si>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</si>
  <si>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</si>
  <si>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</si>
  <si>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</si>
  <si>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</si>
  <si>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</si>
  <si>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</si>
  <si>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</si>
  <si>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</si>
  <si>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</si>
  <si>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</si>
  <si>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</si>
  <si>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</si>
  <si>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</si>
  <si>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</si>
  <si>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</si>
  <si>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</si>
  <si>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</si>
  <si>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</si>
  <si>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</si>
  <si>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</si>
  <si>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</si>
  <si>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</si>
  <si>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</si>
  <si>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</si>
  <si>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</si>
  <si>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</si>
  <si>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</si>
  <si>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</si>
  <si>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</si>
  <si>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</si>
  <si>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</si>
  <si>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</si>
  <si>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</si>
  <si>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</si>
  <si>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</si>
  <si>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</si>
  <si>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</si>
  <si>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6679041135</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</si>
  <si>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</si>
  <si>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</si>
  <si>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</si>
  <si>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</si>
  <si>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</si>
  <si>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</si>
  <si>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</si>
  <si>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</si>
  <si>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</si>
  <si>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</si>
  <si>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</si>
  <si>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</si>
  <si>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</si>
  <si>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</si>
  <si>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</si>
  <si>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</si>
  <si>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660301001</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</si>
  <si>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</si>
  <si>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</si>
  <si>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</si>
  <si>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</si>
  <si>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</si>
  <si>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</si>
  <si>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</si>
  <si>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</si>
  <si>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</si>
  <si>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</si>
  <si>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</si>
  <si>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</si>
  <si>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</si>
  <si>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</si>
  <si>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</si>
  <si>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</si>
  <si>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</si>
  <si>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</si>
  <si>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</si>
  <si>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26481098</t>
  </si>
  <si>
    <t>Дочернее федеральное государственное унитарное сельскохозяйственное предприятие "Таёжный", г.Лесной</t>
  </si>
  <si>
    <t>6630008521</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</si>
  <si>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</si>
  <si>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</si>
  <si>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</si>
  <si>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</si>
  <si>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</si>
  <si>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</si>
  <si>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</si>
  <si>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</si>
  <si>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</si>
  <si>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</si>
  <si>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</si>
  <si>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</si>
  <si>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</si>
  <si>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</si>
  <si>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</si>
  <si>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</si>
  <si>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</si>
  <si>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</si>
  <si>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</si>
  <si>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</si>
  <si>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</si>
  <si>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</si>
  <si>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</si>
  <si>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</si>
  <si>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</si>
  <si>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</si>
  <si>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</si>
  <si>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</si>
  <si>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</si>
  <si>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</si>
  <si>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</si>
  <si>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</si>
  <si>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</si>
  <si>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</si>
  <si>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</si>
  <si>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</si>
  <si>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</si>
  <si>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</si>
  <si>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</si>
  <si>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</si>
  <si>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</si>
  <si>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</si>
  <si>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</si>
  <si>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</si>
  <si>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</si>
  <si>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</si>
  <si>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</si>
  <si>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</si>
  <si>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</si>
  <si>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</si>
  <si>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</si>
  <si>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</si>
  <si>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</si>
  <si>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</si>
  <si>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</si>
  <si>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</si>
  <si>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</si>
  <si>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</si>
  <si>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</si>
  <si>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</si>
  <si>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</si>
  <si>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</si>
  <si>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</si>
  <si>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</si>
  <si>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</si>
  <si>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</si>
  <si>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</si>
  <si>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</si>
  <si>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</si>
  <si>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</si>
  <si>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</si>
  <si>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</si>
  <si>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</si>
  <si>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</si>
  <si>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</si>
  <si>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</si>
  <si>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</si>
  <si>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</si>
  <si>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</si>
  <si>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</si>
  <si>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</si>
  <si>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</si>
  <si>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</si>
  <si>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</si>
  <si>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</si>
  <si>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</si>
  <si>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</si>
  <si>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</si>
  <si>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</si>
  <si>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</si>
  <si>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28821229</t>
  </si>
  <si>
    <t>Муниципальное унитарное предприятие "Водоканал городского округа Дегтярск", г. Дегтярск</t>
  </si>
  <si>
    <t>6684016590</t>
  </si>
  <si>
    <t>18-05-2023 00:00:00</t>
  </si>
  <si>
    <t>27572361</t>
  </si>
  <si>
    <t>Муниципальное унитарное предприятие "Водоканал", г.Реж</t>
  </si>
  <si>
    <t>6628015708</t>
  </si>
  <si>
    <t>27-06-2023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</si>
  <si>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</si>
  <si>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</si>
  <si>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</si>
  <si>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</si>
  <si>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</si>
  <si>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</si>
  <si>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</si>
  <si>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</si>
  <si>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</si>
  <si>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</si>
  <si>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</si>
  <si>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</si>
  <si>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</si>
  <si>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</si>
  <si>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</si>
  <si>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26629934</t>
  </si>
  <si>
    <t>Муниципальное унитарное предприятие "Городской водоканал Алапаевска", г.Алапаевск</t>
  </si>
  <si>
    <t>6601014859</t>
  </si>
  <si>
    <t>16-12-2009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</si>
  <si>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</si>
  <si>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</si>
  <si>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</si>
  <si>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</si>
  <si>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</si>
  <si>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</si>
  <si>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</si>
  <si>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</si>
  <si>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</si>
  <si>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</si>
  <si>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28891382</t>
  </si>
  <si>
    <t>Муниципальное унитарное предприятие "Пригородная управляющая компания", с. Покровское</t>
  </si>
  <si>
    <t>6623094664</t>
  </si>
  <si>
    <t>12-02-2015 00:00:00</t>
  </si>
  <si>
    <t>26648012</t>
  </si>
  <si>
    <t>Муниципальное унитарное предприятие "Режевское водопроводно-канализационное предприятие", г. Реж</t>
  </si>
  <si>
    <t>6628016211</t>
  </si>
  <si>
    <t>27918060</t>
  </si>
  <si>
    <t>Муниципальное унитарное предприятие "Тепловодоканал", г. Богданович</t>
  </si>
  <si>
    <t>6633019419</t>
  </si>
  <si>
    <t>07-09-2012 00:00:00</t>
  </si>
  <si>
    <t>27-04-2023 00:00:00</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</si>
  <si>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</si>
  <si>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</si>
  <si>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</si>
  <si>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</si>
  <si>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</si>
  <si>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</si>
  <si>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</si>
  <si>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</si>
  <si>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</si>
  <si>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</si>
  <si>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</si>
  <si>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</si>
  <si>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</si>
  <si>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26481066</t>
  </si>
  <si>
    <t>Муниципальное унитарное предприятие Новолялинского городского округа "Водоканал города Новая Ляля", г.Новая Ляля</t>
  </si>
  <si>
    <t>6647004300</t>
  </si>
  <si>
    <t>03-03-2023 00:00:00</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</si>
  <si>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</si>
  <si>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</si>
  <si>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</si>
  <si>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</si>
  <si>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</si>
  <si>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</si>
  <si>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</si>
  <si>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664901001</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</si>
  <si>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</si>
  <si>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</si>
  <si>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</si>
  <si>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</si>
  <si>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</si>
  <si>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</si>
  <si>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</si>
  <si>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</si>
  <si>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</si>
  <si>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</si>
  <si>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</si>
  <si>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</si>
  <si>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</si>
  <si>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</si>
  <si>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</si>
  <si>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</si>
  <si>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</si>
  <si>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</si>
  <si>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30335441</t>
  </si>
  <si>
    <t>Муниципальное унитарное сельскохозяйственное предприятие "Каменская машинно-технологическая станция", пгт. Мартюш</t>
  </si>
  <si>
    <t>6643008832</t>
  </si>
  <si>
    <t>10-07-2023 00:00:00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</si>
  <si>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</si>
  <si>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</si>
  <si>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</si>
  <si>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</si>
  <si>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</si>
  <si>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</si>
  <si>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</si>
  <si>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</si>
  <si>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</si>
  <si>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</si>
  <si>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</si>
  <si>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</si>
  <si>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</si>
  <si>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</si>
  <si>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</si>
  <si>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</si>
  <si>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</si>
  <si>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</si>
  <si>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</si>
  <si>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</si>
  <si>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</si>
  <si>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</si>
  <si>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</si>
  <si>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</si>
  <si>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</si>
  <si>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</si>
  <si>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</si>
  <si>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</si>
  <si>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</si>
  <si>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</si>
  <si>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</si>
  <si>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</si>
  <si>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</si>
  <si>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</si>
  <si>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</si>
  <si>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</si>
  <si>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27-04-2006 00:00:00</t>
  </si>
  <si>
    <t>26481121</t>
  </si>
  <si>
    <t>Общество с ограниченной ответственностью "Агрофирма "Ницинская", с.Ницинское</t>
  </si>
  <si>
    <t>6651004479</t>
  </si>
  <si>
    <t>19-09-2023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</si>
  <si>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</si>
  <si>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</si>
  <si>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</si>
  <si>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</si>
  <si>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</si>
  <si>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</si>
  <si>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</si>
  <si>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</si>
  <si>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</si>
  <si>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</si>
  <si>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</si>
  <si>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</si>
  <si>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</si>
  <si>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</si>
  <si>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28955483</t>
  </si>
  <si>
    <t>Общество с ограниченной ответственностью "Водоканал-Ирбит", г. Ирбит</t>
  </si>
  <si>
    <t>6676003950</t>
  </si>
  <si>
    <t>23-04-2015 00:00:00</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</si>
  <si>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</si>
  <si>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</si>
  <si>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</si>
  <si>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</si>
  <si>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</si>
  <si>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</si>
  <si>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</si>
  <si>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</si>
  <si>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</si>
  <si>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</si>
  <si>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</si>
  <si>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</si>
  <si>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</si>
  <si>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</si>
  <si>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</si>
  <si>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</si>
  <si>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28818964</t>
  </si>
  <si>
    <t>Общество с ограниченной ответственностью "Дирекция жилого комплекса "Золотая горка", г. Екатеринбург</t>
  </si>
  <si>
    <t>6685035570</t>
  </si>
  <si>
    <t>16-10-2014 00:00:00</t>
  </si>
  <si>
    <t>20-01-2023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</si>
  <si>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</si>
  <si>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</si>
  <si>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</si>
  <si>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</si>
  <si>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</si>
  <si>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</si>
  <si>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</si>
  <si>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</si>
  <si>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</si>
  <si>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</si>
  <si>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26631814</t>
  </si>
  <si>
    <t>Общество с ограниченной ответственностью "Родник", п.Баранчинский</t>
  </si>
  <si>
    <t>6620014117</t>
  </si>
  <si>
    <t>20-10-2023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</si>
  <si>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</si>
  <si>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</si>
  <si>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</si>
  <si>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</si>
  <si>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</si>
  <si>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</si>
  <si>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</si>
  <si>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</si>
  <si>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</si>
  <si>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</si>
  <si>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</si>
  <si>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</si>
  <si>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</si>
  <si>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</si>
  <si>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</si>
  <si>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</si>
  <si>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</si>
  <si>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</si>
  <si>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</si>
  <si>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</si>
  <si>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</si>
  <si>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</si>
  <si>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</si>
  <si>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</si>
  <si>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</si>
  <si>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</si>
  <si>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</si>
  <si>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</si>
  <si>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</si>
  <si>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</si>
  <si>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</si>
  <si>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</si>
  <si>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</si>
  <si>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</si>
  <si>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</si>
  <si>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</si>
  <si>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</si>
  <si>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</si>
  <si>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</si>
  <si>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</si>
  <si>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</si>
  <si>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</si>
  <si>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</si>
  <si>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</si>
  <si>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</si>
  <si>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</si>
  <si>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</si>
  <si>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</si>
  <si>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</si>
  <si>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</si>
  <si>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</si>
  <si>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</si>
  <si>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</si>
  <si>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</si>
  <si>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</si>
  <si>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</si>
  <si>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</si>
  <si>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</si>
  <si>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</si>
  <si>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</si>
  <si>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</si>
  <si>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</si>
  <si>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</si>
  <si>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</si>
  <si>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</si>
  <si>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</si>
  <si>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</si>
  <si>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</si>
  <si>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</si>
  <si>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</si>
  <si>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</si>
  <si>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</si>
  <si>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</si>
  <si>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</si>
  <si>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</si>
  <si>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</si>
  <si>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</si>
  <si>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</si>
  <si>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</si>
  <si>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</si>
  <si>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</si>
  <si>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</si>
  <si>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</si>
  <si>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</si>
  <si>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</si>
  <si>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</si>
  <si>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</si>
  <si>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</si>
  <si>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</si>
  <si>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</si>
  <si>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</si>
  <si>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</si>
  <si>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</si>
  <si>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</si>
  <si>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</si>
  <si>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</si>
  <si>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</si>
  <si>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</si>
  <si>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</si>
  <si>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</si>
  <si>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28827826</t>
  </si>
  <si>
    <t>Муниципальное унитарное предприятие "Муниципальный заказчик", г. Красноуральск</t>
  </si>
  <si>
    <t>6620014269</t>
  </si>
  <si>
    <t>26-01-2023 00:00:00</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</si>
  <si>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</si>
  <si>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</si>
  <si>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</si>
  <si>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</si>
  <si>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</si>
  <si>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</si>
  <si>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</si>
  <si>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</si>
  <si>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</si>
  <si>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</si>
  <si>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</si>
  <si>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</si>
  <si>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</si>
  <si>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</si>
  <si>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</si>
  <si>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</si>
  <si>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</si>
  <si>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30895171</t>
  </si>
  <si>
    <t>Общество с ограниченной ответственностью "Гарант", г. Талица</t>
  </si>
  <si>
    <t>6633023045</t>
  </si>
  <si>
    <t>11-07-2023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</si>
  <si>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</si>
  <si>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</si>
  <si>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</si>
  <si>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</si>
  <si>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</si>
  <si>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</si>
  <si>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</si>
  <si>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</si>
  <si>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</si>
  <si>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</si>
  <si>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</si>
  <si>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</si>
  <si>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</si>
  <si>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</si>
  <si>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</si>
  <si>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</si>
  <si>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</si>
  <si>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</si>
  <si>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</si>
  <si>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</si>
  <si>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</si>
  <si>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</si>
  <si>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</si>
  <si>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</si>
  <si>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</si>
  <si>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</si>
  <si>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</si>
  <si>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</si>
  <si>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</si>
  <si>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</si>
  <si>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</si>
  <si>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</si>
  <si>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</si>
  <si>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</si>
  <si>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</si>
  <si>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</si>
  <si>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</si>
  <si>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</si>
  <si>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</si>
  <si>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</si>
  <si>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</si>
  <si>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</si>
  <si>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28796382</t>
  </si>
  <si>
    <t>Государственное унитарное предприятие Свердловской области "Свердловсквторресурсы", г. Первоуральск</t>
  </si>
  <si>
    <t>6625004673</t>
  </si>
  <si>
    <t>19-08-2014 00:00:00</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</si>
  <si>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</si>
  <si>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</si>
  <si>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</si>
  <si>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</si>
  <si>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</si>
  <si>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</si>
  <si>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</si>
  <si>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</si>
  <si>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</si>
  <si>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</si>
  <si>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</si>
  <si>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</si>
  <si>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</si>
  <si>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</si>
  <si>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</si>
  <si>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</si>
  <si>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</si>
  <si>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</si>
  <si>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</si>
  <si>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</si>
  <si>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</si>
  <si>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</si>
  <si>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</si>
  <si>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</si>
  <si>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</si>
  <si>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</si>
  <si>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</si>
  <si>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</si>
  <si>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</si>
  <si>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</si>
  <si>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</si>
  <si>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</si>
  <si>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</si>
  <si>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</si>
  <si>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</si>
  <si>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</si>
  <si>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</si>
  <si>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</si>
  <si>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</si>
  <si>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</si>
  <si>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</si>
  <si>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</si>
  <si>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</si>
  <si>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</si>
  <si>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</si>
  <si>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</si>
  <si>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</si>
  <si>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</si>
  <si>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</si>
  <si>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</si>
  <si>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</si>
  <si>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</si>
  <si>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</si>
  <si>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</si>
  <si>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</si>
  <si>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</si>
  <si>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</si>
  <si>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</si>
  <si>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</si>
  <si>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</si>
  <si>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</si>
  <si>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</si>
  <si>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</si>
  <si>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</si>
  <si>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</si>
  <si>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</si>
  <si>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</si>
  <si>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</si>
  <si>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</si>
  <si>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</si>
  <si>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</si>
  <si>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</si>
  <si>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</si>
  <si>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</si>
  <si>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</si>
  <si>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</si>
  <si>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</si>
  <si>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</si>
  <si>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</si>
  <si>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</si>
  <si>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</si>
  <si>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</si>
  <si>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</si>
  <si>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</si>
  <si>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</si>
  <si>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</si>
  <si>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</si>
  <si>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</si>
  <si>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</si>
  <si>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</si>
  <si>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</si>
  <si>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</si>
  <si>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</si>
  <si>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</si>
  <si>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</si>
  <si>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</si>
  <si>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</si>
  <si>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</si>
  <si>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</si>
  <si>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</si>
  <si>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</si>
  <si>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</si>
  <si>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</si>
  <si>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</si>
  <si>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</si>
  <si>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</si>
  <si>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</si>
  <si>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</si>
  <si>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</si>
  <si>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</si>
  <si>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</si>
  <si>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</si>
  <si>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</si>
  <si>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</si>
  <si>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</si>
  <si>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</si>
  <si>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</si>
  <si>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</si>
  <si>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</si>
  <si>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</si>
  <si>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</si>
  <si>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</si>
  <si>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</si>
  <si>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</si>
  <si>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</si>
  <si>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</si>
  <si>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</si>
  <si>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</si>
  <si>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</si>
  <si>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</si>
  <si>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</si>
  <si>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</si>
  <si>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</si>
  <si>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</si>
  <si>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</si>
  <si>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</si>
  <si>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</si>
  <si>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</si>
  <si>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</si>
  <si>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</si>
  <si>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</si>
  <si>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</si>
  <si>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</si>
  <si>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</si>
  <si>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</si>
  <si>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</si>
  <si>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</si>
  <si>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</si>
  <si>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</si>
  <si>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</si>
  <si>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</si>
  <si>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</si>
  <si>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</si>
  <si>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</si>
  <si>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</si>
  <si>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</si>
  <si>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</si>
  <si>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</si>
  <si>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</si>
  <si>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</si>
  <si>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</si>
  <si>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</si>
  <si>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</si>
  <si>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</si>
  <si>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</si>
  <si>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</si>
  <si>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</si>
  <si>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</si>
  <si>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</si>
  <si>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</si>
  <si>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</si>
  <si>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</si>
  <si>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</si>
  <si>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</si>
  <si>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</si>
  <si>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</si>
  <si>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</si>
  <si>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</si>
  <si>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</si>
  <si>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</si>
  <si>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</si>
  <si>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</si>
  <si>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</si>
  <si>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</si>
  <si>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</si>
  <si>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</si>
  <si>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</si>
  <si>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</si>
  <si>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</si>
  <si>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</si>
  <si>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</si>
  <si>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</si>
  <si>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</si>
  <si>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</si>
  <si>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</si>
  <si>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</si>
  <si>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</si>
  <si>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</si>
  <si>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</si>
  <si>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</si>
  <si>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</si>
  <si>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</si>
  <si>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</si>
  <si>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</si>
  <si>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</si>
  <si>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</si>
  <si>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</si>
  <si>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</si>
  <si>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</si>
  <si>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</si>
  <si>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</si>
  <si>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</si>
  <si>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</si>
  <si>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</si>
  <si>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</si>
  <si>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</si>
  <si>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</si>
  <si>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</si>
  <si>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</si>
  <si>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</si>
  <si>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</si>
  <si>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</si>
  <si>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</si>
  <si>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</si>
  <si>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</si>
  <si>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</si>
  <si>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</si>
  <si>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</si>
  <si>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</si>
  <si>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</si>
  <si>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</si>
  <si>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</si>
  <si>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</si>
  <si>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</si>
  <si>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</si>
  <si>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</si>
  <si>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</si>
  <si>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</si>
  <si>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</si>
  <si>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</si>
  <si>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</si>
  <si>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</si>
  <si>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</si>
  <si>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</si>
  <si>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</si>
  <si>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</si>
  <si>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</si>
  <si>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</si>
  <si>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</si>
  <si>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</si>
  <si>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</si>
  <si>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</si>
  <si>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</si>
  <si>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</si>
  <si>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</si>
  <si>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</si>
  <si>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</si>
  <si>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</si>
  <si>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</si>
  <si>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</si>
  <si>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</si>
  <si>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</si>
  <si>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</si>
  <si>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</si>
  <si>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</si>
  <si>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</si>
  <si>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</si>
  <si>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</si>
  <si>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</si>
  <si>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</si>
  <si>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</si>
  <si>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</si>
  <si>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</si>
  <si>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</si>
  <si>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</si>
  <si>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</si>
  <si>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</si>
  <si>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</si>
  <si>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</si>
  <si>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</si>
  <si>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</si>
  <si>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</si>
  <si>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</si>
  <si>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</si>
  <si>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</si>
  <si>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</si>
  <si>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</si>
  <si>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</si>
  <si>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</si>
  <si>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</si>
  <si>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</si>
  <si>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</si>
  <si>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</si>
  <si>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</si>
  <si>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</si>
  <si>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</si>
  <si>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</si>
  <si>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</si>
  <si>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</si>
  <si>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</si>
  <si>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</si>
  <si>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</si>
  <si>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</si>
  <si>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</si>
  <si>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</si>
  <si>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</si>
  <si>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</si>
  <si>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</si>
  <si>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</si>
  <si>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</si>
  <si>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</si>
  <si>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</si>
  <si>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</si>
  <si>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</si>
  <si>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</si>
  <si>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</si>
  <si>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</si>
  <si>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</si>
  <si>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</si>
  <si>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</si>
  <si>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</si>
  <si>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</si>
  <si>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</si>
  <si>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</si>
  <si>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</si>
  <si>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</si>
  <si>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</si>
  <si>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</si>
  <si>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</si>
  <si>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</si>
  <si>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</si>
  <si>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</si>
  <si>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</si>
  <si>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</si>
  <si>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</si>
  <si>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</si>
  <si>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</si>
  <si>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</si>
  <si>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</si>
  <si>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</si>
  <si>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</si>
  <si>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</si>
  <si>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</si>
  <si>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</si>
  <si>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</si>
  <si>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</si>
  <si>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</si>
  <si>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</si>
  <si>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</si>
  <si>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</si>
  <si>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</si>
  <si>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</si>
  <si>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</si>
  <si>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</si>
  <si>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</si>
  <si>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</si>
  <si>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</si>
  <si>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</si>
  <si>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</si>
  <si>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</si>
  <si>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</si>
  <si>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</si>
  <si>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</si>
  <si>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</si>
  <si>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</si>
  <si>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</si>
  <si>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</si>
  <si>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</si>
  <si>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</si>
  <si>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</si>
  <si>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</si>
  <si>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</si>
  <si>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</si>
  <si>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</si>
  <si>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</si>
  <si>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</si>
  <si>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</si>
  <si>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</si>
  <si>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</si>
  <si>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</si>
  <si>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</si>
  <si>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</si>
  <si>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</si>
  <si>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</si>
  <si>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</si>
  <si>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</si>
  <si>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</si>
  <si>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</si>
  <si>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</si>
  <si>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</si>
  <si>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</si>
  <si>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</si>
  <si>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</si>
  <si>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</si>
  <si>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</si>
  <si>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</si>
  <si>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</si>
  <si>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</si>
  <si>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</si>
  <si>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</si>
  <si>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</si>
  <si>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</si>
  <si>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</si>
  <si>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</si>
  <si>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</si>
  <si>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</si>
  <si>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</si>
  <si>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</si>
  <si>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</si>
  <si>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</si>
  <si>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</si>
  <si>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</si>
  <si>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</si>
  <si>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</si>
  <si>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</si>
  <si>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</si>
  <si>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</si>
  <si>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L_NAME</t>
  </si>
  <si>
    <t>L_START_DATE</t>
  </si>
  <si>
    <t>L_END_DATE</t>
  </si>
  <si>
    <t>Инвестиционная программа № 1075-РП от 30.07.2013 Унитарное муниципальное предприятие жилищно-коммунального хозяйства п.Бобровский, п.Бобровский в сфере водоотведения по развитию системы водоотведения, на территории городского округа Сысертский на 2014-2023 годы</t>
  </si>
  <si>
    <t>01.01.2014</t>
  </si>
  <si>
    <t>31.12.2023</t>
  </si>
  <si>
    <t>Инвестиционная программа № 273 от 10.06.2022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водоcнабжения и водоотведения, на территории городского округа муниципальное образование Екатеринбург на 2022-2025 годы</t>
  </si>
  <si>
    <t>10.06.2022</t>
  </si>
  <si>
    <t>31.12.2025</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</si>
  <si>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 год</t>
  </si>
  <si>
    <t>06.09.2021</t>
  </si>
  <si>
    <t>31.12.2021</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</si>
  <si>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2021-2023 годы</t>
  </si>
  <si>
    <t>Инвестиционная программа № 376 от 30.09.2019 Публичное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2020-2024 годы</t>
  </si>
  <si>
    <t>01.01.2020</t>
  </si>
  <si>
    <t>31.12.2024</t>
  </si>
  <si>
    <t>Инвестиционная программа № 396 от 14.08.2020 Унитарное муниципальное предприятие "Водоканал" городского округа Ревда, г.Ревда в сфере водоотведения по развитию систем водоотведения, на территории городского округа Ревда на 2020-2035 годы</t>
  </si>
  <si>
    <t>14.08.2020</t>
  </si>
  <si>
    <t>31.12.2035</t>
  </si>
  <si>
    <t>Инвестиционная программа № 410 от 03.09.2020 Открытое акционерное общество "Полевская коммунальная компания", г.Полевской в сфере водоотведения по развитию систем водоотведения, на территории городского округа Полевской на 2020-2025 годы</t>
  </si>
  <si>
    <t>03.09.2020</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</si>
  <si>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оборудования, на территории городского округа Качканарский на 2021-2025 годы</t>
  </si>
  <si>
    <t>01.01.2021</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</si>
  <si>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2020-2025 годы</t>
  </si>
  <si>
    <t>29.10.2020</t>
  </si>
  <si>
    <t>Инвестиционная программа № 486 от 18.10.2023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2023-2029 годы</t>
  </si>
  <si>
    <t>18.10.2023</t>
  </si>
  <si>
    <t>31.12.2029</t>
  </si>
  <si>
    <t>Инвестиционная программа № 505 от 19.11.2019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водоcнабжения и водоотведения, на территории городского округа Первоуральск на 2019-2027 годы</t>
  </si>
  <si>
    <t>19.11.2019</t>
  </si>
  <si>
    <t>31.12.2027</t>
  </si>
  <si>
    <t>Инвестиционная программа № 509 от 19.11.2019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2019-2030 годы</t>
  </si>
  <si>
    <t>31.12.2030</t>
  </si>
  <si>
    <t>Инвестиционная программа № 511 от 19.11.2019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инфраструктуры, на территории городского округа муниципальное образование Екатеринбург на 2019-2025 годы</t>
  </si>
  <si>
    <t>Инвестиционная программа № 512 от 18.11.2021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2021-2025 годы</t>
  </si>
  <si>
    <t>18.11.2021</t>
  </si>
  <si>
    <t>Инвестиционная программа № 512 от 19.11.2019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2019-2029 годы</t>
  </si>
  <si>
    <t>Инвестиционная программа № 532 от 02.11.2023 в сфере водоотведения по реконструкции систем водоотведения, на территории городского округа Нижний Тагил на 2023-2025 годы</t>
  </si>
  <si>
    <t>02.11.2023</t>
  </si>
  <si>
    <t>Инвестиционная программа № 533 от 17.10.2022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2022-2023 годы</t>
  </si>
  <si>
    <t>17.10.2022</t>
  </si>
  <si>
    <t>Инвестиционная программа № 537 от 19.11.2020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водоcнабжения и водоотведения, на территории городского округа муниципальное образование Екатеринбург на 2020-2025 годы</t>
  </si>
  <si>
    <t>19.11.2020</t>
  </si>
  <si>
    <t>Инвестиционная программа № 538 от 19.11.2020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развитию систем водоотведения, на территории городского округа Верхняя Пышма на 2020-2023 годы</t>
  </si>
  <si>
    <t>Инвестиционная программа № 544 от 21.10.2022 Акционерное общество "Водоканал Каменск-Уральский", г.Каменск-Уральский в сфере водоотведения по модернизации и реконструкции централизованных систем холодного водоснабжения и водоотведения, на территории городского округа Каменск-Уральский на 2023-2025 годы</t>
  </si>
  <si>
    <t>01.01.2023</t>
  </si>
  <si>
    <t>Инвестиционная программа № 550 от 24.10.2022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2022-2029 годы</t>
  </si>
  <si>
    <t>24.10.2022</t>
  </si>
  <si>
    <t>Инвестиционная программа № 554 от 16.11.2023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2023-2025 годы</t>
  </si>
  <si>
    <t>16.11.2023</t>
  </si>
  <si>
    <t>Инвестиционная программа № 559 от 17.11.2023 в сфере водоотведения по модернизации систем водоотведения, на территории городского округа Березовский на 2023-2026 годы</t>
  </si>
  <si>
    <t>17.11.2023</t>
  </si>
  <si>
    <t>31.12.2026</t>
  </si>
  <si>
    <t>Инвестиционная программа № 560 от 17.11.2023 Акционерное общество "Водоканал Каменск-Уральский", г.Каменск-Уральский в сфере водоотведения по модернизации и реконструкции систем водоотведения, на территории городского округа Каменск-Уральский на 2023-2025 годы</t>
  </si>
  <si>
    <t>Инвестиционная программа № 562 от 17.11.2023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2023-2030 годы</t>
  </si>
  <si>
    <t>Инвестиционная программа № 565 от 27.10.2022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2023-2025 годы</t>
  </si>
  <si>
    <t>Инвестиционная программа № 566 от 27.10.2022 Публичное акционерное общество "Уралхимпласт", г.Нижний Тагил в сфере водоотведения по реконструкции систем водоотведения, на территории городского округа Нижний Тагил на 2023-2025 годы</t>
  </si>
  <si>
    <t>Инвестиционная программа № 573 от 28.10.2022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2022-2025 годы</t>
  </si>
  <si>
    <t>28.10.2022</t>
  </si>
  <si>
    <t>Инвестиционная программа № 581 от 24.11.2023 в сфере водоотведения по реконструкции систем водоотведения, на территории городского округа Качканарский на 2024-2025 годы</t>
  </si>
  <si>
    <t>01.01.2024</t>
  </si>
  <si>
    <t>Инвестиционная программа № 613 от 14.11.2022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водоcнабжения и водоотведения, на территории городского округа Первоуральск на 2022-2030 годы</t>
  </si>
  <si>
    <t>14.11.2022</t>
  </si>
  <si>
    <t>Инвестиционная программа № 614 от 14.11.2022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2022-2032 годы</t>
  </si>
  <si>
    <t>31.12.2032</t>
  </si>
  <si>
    <t>Инвестиционная программа МУП "Водоканал" город Екатеринбург по развитию инфраструктуры водоснабжения и водоотведения на 2017-2025 годы</t>
  </si>
  <si>
    <t>01.01.2017</t>
  </si>
  <si>
    <t>Инвестиционная программа МУП "Водопроводно-канализационного хозяйства" в сфере водоотведения на территории городского округа Верхняя Пышма на 2017-2020 годы</t>
  </si>
  <si>
    <t>31.12.2020</t>
  </si>
  <si>
    <t>Инвестиционная программа МУП "Водопроводно-канализационного хозяйства" городского округа Верхняя Пышма в сфере водоотведения на 2017-2020 годы</t>
  </si>
  <si>
    <t>01.07.2017</t>
  </si>
  <si>
    <t>Инвестиционная программа МУП "Водопроводно-канализационного хозяйства" городского округа Верхняя Пышма по развитию централизованных систем водоотведения на 2017-2023 годы</t>
  </si>
  <si>
    <t>Инвестиционная программа МУП "Водопроводно-канализационного хозяйства" по развитию системы водоотведения городского округа Верхняя Пышма на 2017-2023 годы</t>
  </si>
  <si>
    <t>Инвестиционная программа МУП "Екатеринбургского муниципального унитарного предприятия водопроводно-канализационного хозяйства" по развитию централизованных систем водоснабжения и водоотведения на период 2017-2025 годы</t>
  </si>
  <si>
    <t>Инвестиционная программа МУП ЖКХ п. Бобровский Сысертского городского округа на 2014-2020 годы, реализуемая за счёт платы за подключение к сетям водоотведения</t>
  </si>
  <si>
    <t>Инвестиционная программа ОАО "Полевская коммунальная компмания" по развитию системы водоотведения города Полевской на 2017-2025 годы</t>
  </si>
  <si>
    <t>Инвестиционная программа ОАО "Полевская коммунальная компмания" по развитию централизованных систем водоотведения на 2017-2025 годы</t>
  </si>
  <si>
    <t>Инвестиционная программа ОАО "Предприятие водопроводно-канализационного хозяйства Свердловской области" по модернизации и реконструкции системы коммунальной инфраструктуры в сфере водоотведения на территории городского округа Арамильский на 2016-2020 годы</t>
  </si>
  <si>
    <t>01.01.2016</t>
  </si>
  <si>
    <t>Инвестиционная программа ООО "Тепловодоканал" по развитию системы водоотведения на 2018-2020 годы</t>
  </si>
  <si>
    <t>01.01.2018</t>
  </si>
  <si>
    <t>Инвестиционная программа на 2015-2031 годы по развитию систем водоотведения на территории Арамильского городского округа</t>
  </si>
  <si>
    <t>01.01.2015</t>
  </si>
  <si>
    <t>31.12.2031</t>
  </si>
  <si>
    <t>Инвестиционная программа по развитию инфраструктуры водоснабжения и водоотведения Екатеринбургского муниципального унитарного предприятия водопроводно-канализационного хозяйства (МУП "Водоканал") на 2014–2025 годы</t>
  </si>
  <si>
    <t>Инвестиционная программа по развитию системы водоотведения МУП "Алапаевский горводоканал" муниципального образования город Алапаевск на 2017-2022 годы</t>
  </si>
  <si>
    <t>31.12.2022</t>
  </si>
  <si>
    <t>Инвестиционная программа по развитию системы водоотведения МУП "Комэнергоресурс" Североуральского городского округа на 2017–2023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</si>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</sst>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000000"/>
    <numFmt numFmtId="166" formatCode="#,##0.000"/>
    <numFmt numFmtId="167" formatCode="#,##0.0000"/>
  </numFmts>
  <fonts count="107">
    <font>
      <sz val="9"/>
      <color rgb="FF000000"/>
      <name val="Tahoma"/>
      <charset val="1"/>
    </font>
    <font>
      <sz val="10"/>
      <name val="Arial Cyr"/>
      <charset val="1"/>
    </font>
    <font>
      <b/>
      <u/>
      <sz val="11"/>
      <color rgb="FF0000FF"/>
      <name val="Tahoma"/>
      <charset val="1"/>
    </font>
    <font>
      <sz val="11"/>
      <color rgb="FF000000"/>
      <name val="Tahoma"/>
      <charset val="1"/>
    </font>
    <font>
      <sz val="11"/>
      <color rgb="FFFFFFFF"/>
      <name val="Tahoma"/>
      <charset val="1"/>
    </font>
    <font>
      <b/>
      <sz val="10"/>
      <name val="Tahoma"/>
      <charset val="1"/>
    </font>
    <font>
      <u/>
      <sz val="20"/>
      <color rgb="FF003366"/>
      <name val="Tahoma"/>
      <charset val="1"/>
    </font>
    <font>
      <sz val="10"/>
      <name val="Tahoma"/>
      <charset val="1"/>
    </font>
    <font>
      <sz val="9"/>
      <name val="Tahoma"/>
      <charset val="1"/>
    </font>
    <font>
      <b/>
      <sz val="10"/>
      <color rgb="FF000000"/>
      <name val="Tahoma"/>
      <charset val="1"/>
    </font>
    <font>
      <sz val="11"/>
      <color rgb="FF000000"/>
      <name val="Marlett"/>
      <charset val="1"/>
    </font>
    <font>
      <sz val="10"/>
      <color rgb="FF000000"/>
      <name val="Tahoma"/>
      <charset val="1"/>
    </font>
    <font>
      <sz val="7"/>
      <name val="Tahoma"/>
      <charset val="1"/>
    </font>
    <font>
      <sz val="9"/>
      <color rgb="FFFFFFFF"/>
      <name val="Tahoma"/>
      <charset val="1"/>
    </font>
    <font>
      <sz val="9"/>
      <color rgb="FFCC0000"/>
      <name val="Tahoma"/>
      <charset val="1"/>
    </font>
    <font>
      <sz val="9"/>
      <color theme="0"/>
      <name val="Tahoma"/>
      <charset val="1"/>
    </font>
    <font>
      <sz val="1"/>
      <color rgb="FFFFFFFF"/>
      <name val="Tahoma"/>
      <charset val="1"/>
    </font>
    <font>
      <sz val="1"/>
      <color theme="0"/>
      <name val="Tahoma"/>
      <charset val="1"/>
    </font>
    <font>
      <sz val="3"/>
      <color rgb="FFFFFFFF"/>
      <name val="Tahoma"/>
      <charset val="1"/>
    </font>
    <font>
      <sz val="3"/>
      <color rgb="FFCC0000"/>
      <name val="Tahoma"/>
      <charset val="1"/>
    </font>
    <font>
      <sz val="3"/>
      <name val="Tahoma"/>
      <charset val="1"/>
    </font>
    <font>
      <sz val="3"/>
      <color theme="0"/>
      <name val="Tahoma"/>
      <charset val="1"/>
    </font>
    <font>
      <sz val="16"/>
      <name val="Tahoma"/>
      <charset val="1"/>
    </font>
    <font>
      <b/>
      <sz val="9"/>
      <name val="Tahoma"/>
      <charset val="1"/>
    </font>
    <font>
      <b/>
      <sz val="9"/>
      <color theme="0"/>
      <name val="Tahoma"/>
      <charset val="1"/>
    </font>
    <font>
      <sz val="3"/>
      <color rgb="FF993300"/>
      <name val="Tahoma"/>
      <charset val="1"/>
    </font>
    <font>
      <sz val="7"/>
      <color theme="0" tint="-0.499984740745262"/>
      <name val="Tahoma"/>
      <charset val="1"/>
    </font>
    <font>
      <sz val="9"/>
      <name val="Tahoma"/>
      <charset val="1"/>
    </font>
    <font>
      <u/>
      <sz val="9"/>
      <color rgb="FF333399"/>
      <name val="Tahoma"/>
      <charset val="1"/>
    </font>
    <font>
      <sz val="16"/>
      <color rgb="FFFFFFFF"/>
      <name val="Tahoma"/>
      <charset val="1"/>
    </font>
    <font>
      <sz val="3"/>
      <color rgb="FF000000"/>
      <name val="Tahoma"/>
      <charset val="1"/>
    </font>
    <font>
      <u/>
      <sz val="9"/>
      <color rgb="FF000080"/>
      <name val="Tahoma"/>
      <charset val="1"/>
    </font>
    <font>
      <b/>
      <sz val="9"/>
      <name val="Tahoma"/>
      <family val="2"/>
      <charset val="204"/>
    </font>
    <font>
      <sz val="9"/>
      <name val="Tahoma"/>
      <family val="2"/>
      <charset val="204"/>
    </font>
    <font>
      <sz val="7"/>
      <color rgb="FFFFFFFF"/>
      <name val="Tahoma"/>
      <charset val="1"/>
    </font>
    <font>
      <sz val="12"/>
      <name val="Tahoma"/>
      <charset val="1"/>
    </font>
    <font>
      <sz val="10"/>
      <name val="Open Sans"/>
      <family val="2"/>
    </font>
    <font>
      <sz val="11"/>
      <color rgb="FFBCBCBC"/>
      <name val="Wingdings 2"/>
      <charset val="1"/>
    </font>
    <font>
      <sz val="5"/>
      <color rgb="FFFF0000"/>
      <name val="Tahoma"/>
      <charset val="1"/>
    </font>
    <font>
      <sz val="1"/>
      <name val="Tahoma"/>
      <charset val="1"/>
    </font>
    <font>
      <sz val="11"/>
      <color theme="0"/>
      <name val="Wingdings 2"/>
      <charset val="1"/>
    </font>
    <font>
      <sz val="5"/>
      <color theme="0"/>
      <name val="Tahoma"/>
      <charset val="1"/>
    </font>
    <font>
      <sz val="11"/>
      <name val="Wingdings 2"/>
      <charset val="1"/>
    </font>
    <font>
      <sz val="9"/>
      <color rgb="FFBCBCBC"/>
      <name val="Tahoma"/>
      <charset val="1"/>
    </font>
    <font>
      <sz val="9"/>
      <color rgb="FFFF0000"/>
      <name val="Tahoma"/>
      <charset val="1"/>
    </font>
    <font>
      <sz val="12"/>
      <color theme="0"/>
      <name val="Tahoma"/>
      <charset val="1"/>
    </font>
    <font>
      <sz val="9"/>
      <color rgb="FF000080"/>
      <name val="Tahoma"/>
      <charset val="1"/>
    </font>
    <font>
      <sz val="8"/>
      <name val="Tahoma"/>
      <charset val="1"/>
    </font>
    <font>
      <sz val="8"/>
      <color theme="0"/>
      <name val="Tahoma"/>
      <charset val="1"/>
    </font>
    <font>
      <sz val="8"/>
      <color rgb="FFBCBCBC"/>
      <name val="Tahoma"/>
      <charset val="1"/>
    </font>
    <font>
      <b/>
      <sz val="11"/>
      <color theme="0"/>
      <name val="Calibri"/>
      <charset val="1"/>
    </font>
    <font>
      <b/>
      <sz val="1"/>
      <color theme="0"/>
      <name val="Calibri"/>
      <charset val="1"/>
    </font>
    <font>
      <b/>
      <sz val="9"/>
      <name val="Calibri"/>
      <charset val="1"/>
    </font>
    <font>
      <b/>
      <sz val="11"/>
      <color rgb="FF000000"/>
      <name val="Calibri"/>
      <charset val="1"/>
    </font>
    <font>
      <sz val="11"/>
      <color rgb="FF000000"/>
      <name val="Calibri"/>
      <charset val="1"/>
    </font>
    <font>
      <sz val="9"/>
      <color theme="1"/>
      <name val="Tahoma"/>
      <charset val="1"/>
    </font>
    <font>
      <sz val="9"/>
      <color rgb="FFBCBCBC"/>
      <name val="Wingdings 2"/>
      <charset val="1"/>
    </font>
    <font>
      <sz val="12"/>
      <name val="Marlett"/>
      <charset val="1"/>
    </font>
    <font>
      <sz val="18"/>
      <name val="Tahoma"/>
      <charset val="1"/>
    </font>
    <font>
      <sz val="1"/>
      <color rgb="FF000000"/>
      <name val="Tahoma"/>
      <charset val="1"/>
    </font>
    <font>
      <sz val="9"/>
      <name val="Wingdings 2"/>
      <charset val="1"/>
    </font>
    <font>
      <sz val="9"/>
      <color rgb="FFFFFFFF"/>
      <name val="Wingdings 2"/>
      <charset val="1"/>
    </font>
    <font>
      <b/>
      <sz val="9"/>
      <color rgb="FF0070C0"/>
      <name val="Tahoma"/>
      <charset val="1"/>
    </font>
    <font>
      <b/>
      <sz val="3"/>
      <name val="Tahoma"/>
      <charset val="1"/>
    </font>
    <font>
      <b/>
      <sz val="9"/>
      <color rgb="FF000080"/>
      <name val="Tahoma"/>
      <charset val="1"/>
    </font>
    <font>
      <sz val="18"/>
      <color rgb="FF000000"/>
      <name val="Tahoma"/>
      <charset val="1"/>
    </font>
    <font>
      <sz val="12"/>
      <color rgb="FF000000"/>
      <name val="Tahoma"/>
      <charset val="1"/>
    </font>
    <font>
      <sz val="9"/>
      <color rgb="FF0066CC"/>
      <name val="Tahoma"/>
      <charset val="1"/>
    </font>
    <font>
      <b/>
      <sz val="10"/>
      <color theme="1"/>
      <name val="Tahoma"/>
      <charset val="1"/>
    </font>
    <font>
      <sz val="10"/>
      <color theme="1"/>
      <name val="Tahoma"/>
      <charset val="1"/>
    </font>
    <font>
      <sz val="3"/>
      <color rgb="FFBCBCBC"/>
      <name val="Tahoma"/>
      <charset val="1"/>
    </font>
    <font>
      <sz val="1"/>
      <color rgb="FFBCBCBC"/>
      <name val="Tahoma"/>
      <charset val="1"/>
    </font>
    <font>
      <sz val="11"/>
      <name val="Webdings2"/>
      <charset val="1"/>
    </font>
    <font>
      <sz val="8"/>
      <name val="Tahoma"/>
      <charset val="1"/>
    </font>
    <font>
      <sz val="1"/>
      <color theme="0"/>
      <name val="Webdings2"/>
      <charset val="1"/>
    </font>
    <font>
      <b/>
      <sz val="1"/>
      <color theme="0"/>
      <name val="Tahoma"/>
      <charset val="1"/>
    </font>
    <font>
      <sz val="11"/>
      <color theme="0"/>
      <name val="Webdings2"/>
      <charset val="1"/>
    </font>
    <font>
      <sz val="15"/>
      <color rgb="FF000000"/>
      <name val="Tahoma"/>
      <charset val="1"/>
    </font>
    <font>
      <sz val="1"/>
      <name val="Webdings2"/>
      <charset val="1"/>
    </font>
    <font>
      <sz val="1"/>
      <color theme="0"/>
      <name val="Wingdings 2"/>
      <charset val="1"/>
    </font>
    <font>
      <sz val="9"/>
      <color theme="0"/>
      <name val="Webdings2"/>
      <charset val="1"/>
    </font>
    <font>
      <sz val="15"/>
      <color theme="0"/>
      <name val="Tahoma"/>
      <charset val="1"/>
    </font>
    <font>
      <sz val="1"/>
      <color rgb="FFFF0000"/>
      <name val="Tahoma"/>
      <charset val="1"/>
    </font>
    <font>
      <b/>
      <sz val="1"/>
      <name val="Tahoma"/>
      <charset val="1"/>
    </font>
    <font>
      <b/>
      <sz val="1"/>
      <color rgb="FF000080"/>
      <name val="Tahoma"/>
      <charset val="1"/>
    </font>
    <font>
      <sz val="15"/>
      <name val="Tahoma"/>
      <charset val="1"/>
    </font>
    <font>
      <sz val="11"/>
      <color theme="0"/>
      <name val="Tahoma"/>
      <charset val="1"/>
    </font>
    <font>
      <sz val="19"/>
      <color theme="0"/>
      <name val="Tahoma"/>
      <charset val="1"/>
    </font>
    <font>
      <vertAlign val="superscript"/>
      <sz val="9"/>
      <name val="Tahoma"/>
      <family val="2"/>
      <charset val="204"/>
    </font>
    <font>
      <sz val="8"/>
      <color rgb="FFFFFFFF"/>
      <name val="Tahoma"/>
      <charset val="1"/>
    </font>
    <font>
      <b/>
      <u/>
      <sz val="9"/>
      <color rgb="FF000080"/>
      <name val="Tahoma"/>
      <charset val="1"/>
    </font>
    <font>
      <u/>
      <sz val="1"/>
      <color rgb="FF333399"/>
      <name val="Tahoma"/>
      <charset val="1"/>
    </font>
    <font>
      <sz val="14"/>
      <color rgb="FFBCBCBC"/>
      <name val="Calibri"/>
      <charset val="1"/>
    </font>
    <font>
      <b/>
      <sz val="9"/>
      <color rgb="FFFFFFFF"/>
      <name val="Tahoma"/>
      <charset val="1"/>
    </font>
    <font>
      <sz val="18"/>
      <color theme="0"/>
      <name val="Tahoma"/>
      <charset val="1"/>
    </font>
    <font>
      <sz val="9"/>
      <color rgb="FF333399"/>
      <name val="Tahoma"/>
      <charset val="1"/>
    </font>
    <font>
      <b/>
      <sz val="9"/>
      <color rgb="FF000000"/>
      <name val="Tahoma"/>
      <charset val="1"/>
    </font>
    <font>
      <sz val="8"/>
      <color rgb="FF000080"/>
      <name val="Tahoma"/>
      <charset val="1"/>
    </font>
    <font>
      <b/>
      <sz val="8"/>
      <color rgb="FFC0C0C0"/>
      <name val="Wingdings 2"/>
      <charset val="1"/>
    </font>
    <font>
      <sz val="10"/>
      <color rgb="FF000000"/>
      <name val="Arial"/>
      <charset val="1"/>
    </font>
    <font>
      <sz val="7"/>
      <color rgb="FF000000"/>
      <name val="Tahoma"/>
      <charset val="1"/>
    </font>
    <font>
      <sz val="7"/>
      <name val="Tahoma"/>
      <charset val="1"/>
    </font>
    <font>
      <sz val="1"/>
      <color rgb="FF000080"/>
      <name val="Tahoma"/>
      <charset val="1"/>
    </font>
    <font>
      <sz val="10"/>
      <name val="Tahoma"/>
      <charset val="1"/>
    </font>
    <font>
      <vertAlign val="superscript"/>
      <sz val="10"/>
      <name val="Tahoma"/>
      <family val="2"/>
      <charset val="204"/>
    </font>
    <font>
      <sz val="11"/>
      <color theme="1"/>
      <name val="Calibri"/>
      <charset val="1"/>
    </font>
    <font>
      <b/>
      <u/>
      <sz val="9"/>
      <name val="Tahoma"/>
      <charset val="1"/>
    </font>
  </fonts>
  <fills count="27">
    <fill>
      <patternFill patternType="none"/>
    </fill>
    <fill>
      <patternFill patternType="gray125"/>
    </fill>
    <fill>
      <patternFill patternType="solid">
        <fgColor rgb="FFBCBCBC"/>
        <bgColor rgb="FFBFBFBF"/>
      </patternFill>
    </fill>
    <fill>
      <patternFill patternType="solid">
        <fgColor theme="0" tint="-0.14999847407452621"/>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theme="2" tint="-9.9978637043366805E-2"/>
        <bgColor rgb="FFD9D9D9"/>
      </patternFill>
    </fill>
    <fill>
      <patternFill patternType="solid">
        <fgColor theme="5" tint="0.79998168889431442"/>
        <bgColor rgb="FFE6E0EC"/>
      </patternFill>
    </fill>
    <fill>
      <patternFill patternType="solid">
        <fgColor theme="9" tint="-0.249977111117893"/>
        <bgColor rgb="FFE26B0A"/>
      </patternFill>
    </fill>
    <fill>
      <patternFill patternType="solid">
        <fgColor theme="6" tint="0.39997558519241921"/>
        <bgColor rgb="FFDDD9C3"/>
      </patternFill>
    </fill>
    <fill>
      <patternFill patternType="solid">
        <fgColor theme="7" tint="0.79998168889431442"/>
        <bgColor rgb="FFEAEBEE"/>
      </patternFill>
    </fill>
  </fills>
  <borders count="61">
    <border>
      <left/>
      <right/>
      <top/>
      <bottom/>
      <diagonal/>
    </border>
    <border>
      <left style="thin">
        <color rgb="FF999999"/>
      </left>
      <right style="thin">
        <color rgb="FF999999"/>
      </right>
      <top style="thin">
        <color rgb="FF999999"/>
      </top>
      <bottom style="thin">
        <color rgb="FF999999"/>
      </bottom>
      <diagonal/>
    </border>
    <border>
      <left style="thin">
        <color rgb="FFBCBCBC"/>
      </left>
      <right style="thin">
        <color rgb="FFBCBCBC"/>
      </right>
      <top/>
      <bottom/>
      <diagonal/>
    </border>
    <border>
      <left style="thin">
        <color rgb="FFBCBCBC"/>
      </left>
      <right/>
      <top/>
      <bottom/>
      <diagonal/>
    </border>
    <border>
      <left style="thin">
        <color rgb="FFBCBCBC"/>
      </left>
      <right/>
      <top style="thin">
        <color rgb="FFBCBCBC"/>
      </top>
      <bottom/>
      <diagonal/>
    </border>
    <border>
      <left/>
      <right/>
      <top style="thin">
        <color rgb="FFBCBCBC"/>
      </top>
      <bottom/>
      <diagonal/>
    </border>
    <border>
      <left style="thin">
        <color rgb="FFBCBCBC"/>
      </left>
      <right style="thin">
        <color rgb="FFBCBCBC"/>
      </right>
      <top style="thin">
        <color rgb="FFBCBCBC"/>
      </top>
      <bottom/>
      <diagonal/>
    </border>
    <border>
      <left style="thin">
        <color rgb="FFBCBCBC"/>
      </left>
      <right style="thin">
        <color rgb="FFBCBCBC"/>
      </right>
      <top style="thin">
        <color rgb="FFBCBCBC"/>
      </top>
      <bottom style="thin">
        <color rgb="FFBCBCBC"/>
      </bottom>
      <diagonal/>
    </border>
    <border>
      <left style="thin">
        <color rgb="FFBCBCBC"/>
      </left>
      <right/>
      <top/>
      <bottom style="thin">
        <color rgb="FFBCBCBC"/>
      </bottom>
      <diagonal/>
    </border>
    <border>
      <left/>
      <right/>
      <top/>
      <bottom style="thin">
        <color rgb="FFBCBCBC"/>
      </bottom>
      <diagonal/>
    </border>
    <border>
      <left/>
      <right/>
      <top style="thin">
        <color rgb="FFC0C0C0"/>
      </top>
      <bottom style="thin">
        <color rgb="FFC0C0C0"/>
      </bottom>
      <diagonal/>
    </border>
    <border>
      <left style="hair">
        <color rgb="FFC0C0C0"/>
      </left>
      <right/>
      <top style="hair">
        <color rgb="FFC0C0C0"/>
      </top>
      <bottom style="hair">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style="thin">
        <color rgb="FFC0C0C0"/>
      </right>
      <top/>
      <bottom style="thin">
        <color rgb="FFC0C0C0"/>
      </bottom>
      <diagonal/>
    </border>
    <border>
      <left/>
      <right style="thin">
        <color rgb="FFC0C0C0"/>
      </right>
      <top style="thin">
        <color rgb="FFC0C0C0"/>
      </top>
      <bottom style="thin">
        <color rgb="FFC0C0C0"/>
      </bottom>
      <diagonal/>
    </border>
    <border>
      <left/>
      <right/>
      <top style="thin">
        <color rgb="FFD3DBDB"/>
      </top>
      <bottom/>
      <diagonal/>
    </border>
    <border>
      <left/>
      <right/>
      <top/>
      <bottom style="thin">
        <color rgb="FFC0C0C0"/>
      </bottom>
      <diagonal/>
    </border>
    <border>
      <left style="thin">
        <color rgb="FFC0C0C0"/>
      </left>
      <right/>
      <top style="thin">
        <color rgb="FFC0C0C0"/>
      </top>
      <bottom/>
      <diagonal/>
    </border>
    <border>
      <left style="thin">
        <color rgb="FFC0C0C0"/>
      </left>
      <right style="thin">
        <color rgb="FFC0C0C0"/>
      </right>
      <top style="thin">
        <color rgb="FFBCBCBC"/>
      </top>
      <bottom style="thin">
        <color rgb="FFBCBCBC"/>
      </bottom>
      <diagonal/>
    </border>
    <border>
      <left/>
      <right/>
      <top style="thin">
        <color rgb="FFBCBCBC"/>
      </top>
      <bottom style="thin">
        <color rgb="FFBCBCBC"/>
      </bottom>
      <diagonal/>
    </border>
    <border>
      <left style="thin">
        <color rgb="FFC0C0C0"/>
      </left>
      <right style="thin">
        <color rgb="FFC0C0C0"/>
      </right>
      <top style="thin">
        <color rgb="FFC0C0C0"/>
      </top>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style="thin">
        <color rgb="FFC0C0C0"/>
      </left>
      <right style="thin">
        <color rgb="FFC0C0C0"/>
      </right>
      <top/>
      <bottom/>
      <diagonal/>
    </border>
    <border>
      <left style="thin">
        <color theme="0" tint="-0.249977111117893"/>
      </left>
      <right style="thin">
        <color rgb="FFC0C0C0"/>
      </right>
      <top style="thin">
        <color rgb="FFC0C0C0"/>
      </top>
      <bottom style="thin">
        <color rgb="FFC0C0C0"/>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theme="0" tint="-0.249977111117893"/>
      </left>
      <right style="thin">
        <color rgb="FFC0C0C0"/>
      </right>
      <top style="thin">
        <color rgb="FFC0C0C0"/>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thin">
        <color rgb="FFC0C0C0"/>
      </left>
      <right style="thin">
        <color rgb="FFC0C0C0"/>
      </right>
      <top style="thin">
        <color rgb="FFC0C0C0"/>
      </top>
      <bottom style="thin">
        <color rgb="FFBCBCBC"/>
      </bottom>
      <diagonal/>
    </border>
    <border>
      <left style="thin">
        <color rgb="FFBCBCBC"/>
      </left>
      <right/>
      <top style="medium">
        <color rgb="FFBCBCBC"/>
      </top>
      <bottom/>
      <diagonal/>
    </border>
    <border>
      <left/>
      <right/>
      <top style="medium">
        <color rgb="FFBCBCBC"/>
      </top>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style="thin">
        <color theme="0" tint="-0.249977111117893"/>
      </right>
      <top style="thin">
        <color rgb="FFC0C0C0"/>
      </top>
      <bottom style="thin">
        <color rgb="FFC0C0C0"/>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medium">
        <color rgb="FFC0C0C0"/>
      </bottom>
      <diagonal/>
    </border>
    <border>
      <left style="thin">
        <color rgb="FFBCBCBC"/>
      </left>
      <right/>
      <top style="medium">
        <color rgb="FFBCBCBC"/>
      </top>
      <bottom style="thin">
        <color rgb="FFC0C0C0"/>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rgb="FFD3DBDB"/>
      </left>
      <right style="thin">
        <color rgb="FFD3DBDB"/>
      </right>
      <top style="thin">
        <color rgb="FFD3DBDB"/>
      </top>
      <bottom style="thin">
        <color rgb="FFD3DBDB"/>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dotted">
        <color auto="1"/>
      </top>
      <bottom style="dotted">
        <color auto="1"/>
      </bottom>
      <diagonal/>
    </border>
  </borders>
  <cellStyleXfs count="1">
    <xf numFmtId="49" fontId="0" fillId="0" borderId="0">
      <alignment vertical="top"/>
    </xf>
  </cellStyleXfs>
  <cellXfs count="1317">
    <xf numFmtId="49" fontId="0" fillId="0" borderId="0" xfId="0">
      <alignment vertical="top"/>
    </xf>
    <xf numFmtId="0" fontId="8" fillId="0" borderId="10" xfId="0" applyNumberFormat="1" applyFont="1" applyBorder="1" applyAlignment="1">
      <alignment horizontal="left" vertical="center" wrapText="1" indent="1"/>
    </xf>
    <xf numFmtId="0" fontId="24" fillId="0" borderId="0" xfId="0" applyNumberFormat="1" applyFont="1" applyBorder="1" applyAlignment="1">
      <alignment horizontal="left" vertical="center" wrapText="1"/>
    </xf>
    <xf numFmtId="14" fontId="26" fillId="0" borderId="12"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11" fillId="0" borderId="0" xfId="0" applyNumberFormat="1" applyFont="1" applyBorder="1" applyAlignment="1">
      <alignment vertical="top" wrapText="1"/>
    </xf>
    <xf numFmtId="0" fontId="7" fillId="3" borderId="7" xfId="0" applyNumberFormat="1" applyFont="1" applyFill="1" applyBorder="1" applyAlignment="1">
      <alignment horizontal="right" vertical="center" wrapText="1" indent="1"/>
    </xf>
    <xf numFmtId="0" fontId="11" fillId="0" borderId="0" xfId="0" applyNumberFormat="1" applyFont="1" applyBorder="1" applyAlignment="1">
      <alignment vertical="center" wrapText="1"/>
    </xf>
    <xf numFmtId="0" fontId="7" fillId="3" borderId="6" xfId="0" applyNumberFormat="1" applyFont="1" applyFill="1" applyBorder="1" applyAlignment="1">
      <alignment horizontal="right" vertical="center" wrapText="1" indent="1"/>
    </xf>
    <xf numFmtId="0" fontId="11" fillId="0" borderId="3" xfId="0" applyNumberFormat="1" applyFont="1" applyBorder="1" applyAlignment="1">
      <alignment horizontal="left" vertical="center" wrapText="1"/>
    </xf>
    <xf numFmtId="0" fontId="11" fillId="0" borderId="3" xfId="0" applyNumberFormat="1" applyFont="1" applyBorder="1" applyAlignment="1">
      <alignment vertical="center" wrapText="1"/>
    </xf>
    <xf numFmtId="0" fontId="7" fillId="3" borderId="2" xfId="0" applyNumberFormat="1" applyFont="1" applyFill="1" applyBorder="1" applyAlignment="1">
      <alignment horizontal="right" vertical="center" wrapText="1" indent="1"/>
    </xf>
    <xf numFmtId="0" fontId="7" fillId="2" borderId="1" xfId="0" applyNumberFormat="1" applyFont="1" applyFill="1" applyBorder="1" applyAlignment="1">
      <alignment horizontal="center" vertical="center" wrapText="1"/>
    </xf>
    <xf numFmtId="0" fontId="5" fillId="0" borderId="0" xfId="0" applyNumberFormat="1" applyFont="1" applyBorder="1" applyAlignment="1">
      <alignment vertical="center"/>
    </xf>
    <xf numFmtId="0" fontId="5" fillId="0" borderId="0" xfId="0" applyNumberFormat="1" applyFont="1" applyBorder="1" applyAlignment="1">
      <alignment vertical="center" wrapText="1"/>
    </xf>
    <xf numFmtId="0" fontId="1" fillId="0" borderId="0" xfId="0" applyNumberFormat="1" applyFont="1" applyBorder="1" applyAlignment="1"/>
    <xf numFmtId="0" fontId="2" fillId="0" borderId="0" xfId="0" applyNumberFormat="1" applyFont="1" applyBorder="1" applyAlignment="1">
      <alignment wrapText="1"/>
    </xf>
    <xf numFmtId="49" fontId="3" fillId="0" borderId="0" xfId="0" applyFont="1" applyBorder="1" applyAlignment="1">
      <alignment wrapText="1"/>
    </xf>
    <xf numFmtId="49" fontId="3" fillId="0" borderId="0" xfId="0" applyFont="1" applyBorder="1" applyAlignment="1">
      <alignment vertical="center" wrapText="1"/>
    </xf>
    <xf numFmtId="49" fontId="4" fillId="0" borderId="0" xfId="0" applyFont="1" applyBorder="1" applyAlignment="1">
      <alignment wrapText="1"/>
    </xf>
    <xf numFmtId="0" fontId="5" fillId="0" borderId="0" xfId="0" applyNumberFormat="1" applyFont="1" applyBorder="1" applyAlignment="1">
      <alignment horizontal="left" vertical="center" wrapText="1"/>
    </xf>
    <xf numFmtId="49" fontId="6" fillId="0" borderId="0" xfId="0" applyFont="1" applyBorder="1" applyAlignment="1">
      <alignment wrapText="1"/>
    </xf>
    <xf numFmtId="0" fontId="7" fillId="0" borderId="0" xfId="0" applyNumberFormat="1" applyFont="1" applyBorder="1" applyAlignment="1">
      <alignment horizontal="left" vertical="top" wrapText="1"/>
    </xf>
    <xf numFmtId="49" fontId="8" fillId="0" borderId="0" xfId="0" applyFont="1" applyBorder="1" applyAlignment="1">
      <alignment vertical="top" wrapText="1"/>
    </xf>
    <xf numFmtId="0" fontId="3" fillId="0" borderId="0" xfId="0" applyNumberFormat="1" applyFont="1" applyBorder="1" applyAlignment="1">
      <alignment wrapText="1"/>
    </xf>
    <xf numFmtId="0" fontId="9" fillId="0" borderId="0" xfId="0" applyNumberFormat="1" applyFont="1" applyBorder="1" applyAlignment="1">
      <alignment horizontal="left" vertical="center" wrapText="1"/>
    </xf>
    <xf numFmtId="0" fontId="10" fillId="0" borderId="0" xfId="0" applyNumberFormat="1" applyFont="1" applyBorder="1" applyAlignment="1">
      <alignment vertical="center" wrapText="1"/>
    </xf>
    <xf numFmtId="0" fontId="3" fillId="0" borderId="3" xfId="0" applyNumberFormat="1" applyFont="1" applyBorder="1" applyAlignment="1">
      <alignment wrapText="1"/>
    </xf>
    <xf numFmtId="0" fontId="3" fillId="0" borderId="0" xfId="0" applyNumberFormat="1" applyFont="1" applyBorder="1" applyAlignment="1"/>
    <xf numFmtId="0" fontId="9" fillId="0" borderId="0" xfId="0" applyNumberFormat="1" applyFont="1" applyBorder="1" applyAlignment="1"/>
    <xf numFmtId="0" fontId="11" fillId="0" borderId="0" xfId="0" applyNumberFormat="1" applyFont="1" applyBorder="1" applyAlignment="1">
      <alignment wrapText="1"/>
    </xf>
    <xf numFmtId="0" fontId="0" fillId="4" borderId="4" xfId="0" applyNumberFormat="1" applyFont="1" applyFill="1" applyBorder="1" applyAlignment="1">
      <alignment horizontal="center" vertical="center" wrapText="1"/>
    </xf>
    <xf numFmtId="0" fontId="0" fillId="5" borderId="4"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0" fillId="7" borderId="4" xfId="0" applyNumberFormat="1" applyFont="1" applyFill="1" applyBorder="1" applyAlignment="1">
      <alignment horizontal="center" vertical="center" wrapText="1"/>
    </xf>
    <xf numFmtId="0" fontId="9" fillId="0" borderId="3"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11" fillId="0" borderId="0" xfId="0" applyNumberFormat="1" applyFont="1" applyBorder="1" applyAlignment="1"/>
    <xf numFmtId="0" fontId="11" fillId="0" borderId="3" xfId="0" applyNumberFormat="1" applyFont="1" applyBorder="1" applyAlignment="1">
      <alignment wrapText="1"/>
    </xf>
    <xf numFmtId="0" fontId="3" fillId="0" borderId="8" xfId="0" applyNumberFormat="1" applyFont="1" applyBorder="1" applyAlignment="1">
      <alignment wrapText="1"/>
    </xf>
    <xf numFmtId="0" fontId="3" fillId="0" borderId="9" xfId="0" applyNumberFormat="1" applyFont="1" applyBorder="1" applyAlignment="1">
      <alignment wrapText="1"/>
    </xf>
    <xf numFmtId="0" fontId="3" fillId="0" borderId="9" xfId="0" applyNumberFormat="1" applyFont="1" applyBorder="1" applyAlignment="1">
      <alignment vertical="center" wrapText="1"/>
    </xf>
    <xf numFmtId="0" fontId="4" fillId="0" borderId="0" xfId="0" applyNumberFormat="1" applyFont="1" applyBorder="1" applyAlignment="1"/>
    <xf numFmtId="0" fontId="12" fillId="0" borderId="0" xfId="0" applyNumberFormat="1" applyFont="1" applyBorder="1" applyAlignment="1">
      <alignment horizontal="left" vertical="center" wrapText="1"/>
    </xf>
    <xf numFmtId="0" fontId="13" fillId="0" borderId="0" xfId="0" applyNumberFormat="1" applyFont="1" applyBorder="1" applyAlignment="1">
      <alignment horizontal="left" vertical="center" wrapText="1"/>
    </xf>
    <xf numFmtId="0" fontId="14" fillId="0" borderId="0" xfId="0" applyNumberFormat="1" applyFont="1" applyBorder="1" applyAlignment="1">
      <alignment vertical="center" wrapText="1"/>
    </xf>
    <xf numFmtId="0" fontId="8" fillId="0" borderId="0" xfId="0" applyNumberFormat="1" applyFont="1" applyBorder="1" applyAlignment="1">
      <alignment vertical="center" wrapText="1"/>
    </xf>
    <xf numFmtId="0" fontId="8" fillId="0" borderId="0"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5" fillId="0" borderId="0" xfId="0" applyNumberFormat="1" applyFont="1" applyBorder="1" applyAlignment="1">
      <alignment vertical="center" wrapText="1"/>
    </xf>
    <xf numFmtId="0" fontId="16" fillId="0" borderId="0" xfId="0" applyNumberFormat="1" applyFont="1" applyBorder="1" applyAlignment="1">
      <alignment horizontal="left" vertical="center" wrapText="1"/>
    </xf>
    <xf numFmtId="0" fontId="16" fillId="0" borderId="0" xfId="0" applyNumberFormat="1" applyFont="1" applyBorder="1" applyAlignment="1">
      <alignment vertical="center" wrapText="1"/>
    </xf>
    <xf numFmtId="0" fontId="13" fillId="0" borderId="0" xfId="0" applyNumberFormat="1" applyFont="1" applyBorder="1" applyAlignment="1">
      <alignment vertical="center" wrapText="1"/>
    </xf>
    <xf numFmtId="0" fontId="17" fillId="0" borderId="0" xfId="0" applyNumberFormat="1" applyFont="1" applyBorder="1" applyAlignment="1">
      <alignment vertical="center" wrapText="1"/>
    </xf>
    <xf numFmtId="0" fontId="8" fillId="0" borderId="0" xfId="0" applyNumberFormat="1" applyFont="1" applyBorder="1" applyAlignment="1">
      <alignment horizontal="left" vertical="top" indent="1"/>
    </xf>
    <xf numFmtId="49" fontId="3" fillId="0" borderId="0" xfId="0" applyFont="1" applyBorder="1" applyAlignment="1">
      <alignment vertical="top"/>
    </xf>
    <xf numFmtId="49" fontId="8" fillId="0" borderId="0" xfId="0" applyFont="1" applyBorder="1" applyAlignment="1">
      <alignment vertical="center" wrapText="1"/>
    </xf>
    <xf numFmtId="49" fontId="15" fillId="0" borderId="0" xfId="0" applyFont="1" applyBorder="1" applyAlignment="1">
      <alignment vertical="center" wrapText="1"/>
    </xf>
    <xf numFmtId="0" fontId="0" fillId="0" borderId="0" xfId="0" applyNumberFormat="1" applyFont="1" applyBorder="1" applyAlignment="1">
      <alignment horizontal="left" vertical="center" indent="1"/>
    </xf>
    <xf numFmtId="49" fontId="0" fillId="0" borderId="0" xfId="0" applyFont="1" applyBorder="1" applyAlignment="1">
      <alignment vertical="top"/>
    </xf>
    <xf numFmtId="49" fontId="15" fillId="0" borderId="0" xfId="0" applyFont="1" applyBorder="1" applyAlignment="1">
      <alignment vertical="top"/>
    </xf>
    <xf numFmtId="0" fontId="18" fillId="0" borderId="0" xfId="0" applyNumberFormat="1" applyFont="1" applyBorder="1" applyAlignment="1">
      <alignment horizontal="left" vertical="center" wrapText="1"/>
    </xf>
    <xf numFmtId="0" fontId="19" fillId="0" borderId="0" xfId="0" applyNumberFormat="1" applyFont="1" applyBorder="1" applyAlignment="1">
      <alignment vertical="center" wrapText="1"/>
    </xf>
    <xf numFmtId="0" fontId="20" fillId="8" borderId="0" xfId="0" applyNumberFormat="1" applyFont="1" applyFill="1" applyBorder="1" applyAlignment="1">
      <alignment vertical="center" wrapText="1"/>
    </xf>
    <xf numFmtId="0" fontId="20" fillId="0" borderId="0" xfId="0" applyNumberFormat="1" applyFont="1" applyBorder="1" applyAlignment="1">
      <alignment vertical="center" wrapText="1"/>
    </xf>
    <xf numFmtId="0" fontId="20" fillId="0" borderId="0" xfId="0" applyNumberFormat="1" applyFont="1" applyBorder="1" applyAlignment="1">
      <alignment horizontal="right" vertical="center"/>
    </xf>
    <xf numFmtId="0" fontId="21" fillId="0" borderId="0" xfId="0" applyNumberFormat="1" applyFont="1" applyBorder="1" applyAlignment="1">
      <alignment vertical="center" wrapText="1"/>
    </xf>
    <xf numFmtId="0" fontId="22" fillId="8" borderId="0" xfId="0" applyNumberFormat="1" applyFont="1" applyFill="1" applyBorder="1" applyAlignment="1">
      <alignment vertical="center" wrapText="1"/>
    </xf>
    <xf numFmtId="0" fontId="23" fillId="8" borderId="0" xfId="0" applyNumberFormat="1" applyFont="1" applyFill="1" applyBorder="1" applyAlignment="1">
      <alignment vertical="center" wrapText="1"/>
    </xf>
    <xf numFmtId="0" fontId="24" fillId="0" borderId="0" xfId="0" applyNumberFormat="1" applyFont="1" applyBorder="1" applyAlignment="1">
      <alignment vertical="center" wrapText="1"/>
    </xf>
    <xf numFmtId="0" fontId="20" fillId="8" borderId="0" xfId="0" applyNumberFormat="1" applyFont="1" applyFill="1" applyBorder="1" applyAlignment="1">
      <alignment horizontal="right" vertical="center" wrapText="1" indent="1"/>
    </xf>
    <xf numFmtId="0" fontId="25" fillId="8" borderId="0" xfId="0" applyNumberFormat="1" applyFont="1" applyFill="1" applyBorder="1" applyAlignment="1">
      <alignment horizontal="center" vertical="center" wrapText="1"/>
    </xf>
    <xf numFmtId="0" fontId="8" fillId="8" borderId="11" xfId="0" applyNumberFormat="1" applyFont="1" applyFill="1" applyBorder="1" applyAlignment="1">
      <alignment horizontal="right" vertical="center" wrapText="1" indent="1"/>
    </xf>
    <xf numFmtId="0" fontId="0" fillId="6" borderId="12" xfId="0" applyNumberFormat="1" applyFont="1" applyFill="1" applyBorder="1" applyAlignment="1">
      <alignment horizontal="left" vertical="center" wrapText="1" indent="1"/>
    </xf>
    <xf numFmtId="14" fontId="12" fillId="8" borderId="0" xfId="0" applyNumberFormat="1" applyFont="1" applyFill="1" applyBorder="1" applyAlignment="1">
      <alignment horizontal="left" vertical="center" wrapText="1"/>
    </xf>
    <xf numFmtId="0" fontId="18" fillId="8" borderId="0" xfId="0" applyNumberFormat="1" applyFont="1" applyFill="1" applyBorder="1" applyAlignment="1">
      <alignment horizontal="center" vertical="center" wrapText="1"/>
    </xf>
    <xf numFmtId="0" fontId="20" fillId="8" borderId="0" xfId="0" applyNumberFormat="1" applyFont="1" applyFill="1" applyBorder="1" applyAlignment="1">
      <alignment horizontal="left" vertical="center" wrapText="1" indent="1"/>
    </xf>
    <xf numFmtId="0" fontId="8" fillId="8" borderId="0" xfId="0" applyNumberFormat="1" applyFont="1" applyFill="1" applyBorder="1" applyAlignment="1">
      <alignment horizontal="center" vertical="center" wrapText="1"/>
    </xf>
    <xf numFmtId="0" fontId="21" fillId="0" borderId="0" xfId="0" applyNumberFormat="1" applyFont="1" applyBorder="1" applyAlignment="1">
      <alignment horizontal="center" vertical="center" wrapText="1"/>
    </xf>
    <xf numFmtId="0" fontId="8" fillId="7" borderId="12" xfId="0" applyNumberFormat="1" applyFont="1" applyFill="1" applyBorder="1" applyAlignment="1" applyProtection="1">
      <alignment horizontal="left" vertical="center" wrapText="1" indent="1"/>
      <protection locked="0"/>
    </xf>
    <xf numFmtId="0" fontId="27" fillId="8" borderId="11" xfId="0" applyNumberFormat="1" applyFont="1" applyFill="1" applyBorder="1" applyAlignment="1">
      <alignment horizontal="right" vertical="center" wrapText="1" indent="1"/>
    </xf>
    <xf numFmtId="164" fontId="0" fillId="7" borderId="12" xfId="0" applyNumberFormat="1" applyFont="1" applyFill="1" applyBorder="1" applyAlignment="1" applyProtection="1">
      <alignment horizontal="left" vertical="center" wrapText="1" indent="1"/>
      <protection locked="0"/>
    </xf>
    <xf numFmtId="0" fontId="28" fillId="0" borderId="0" xfId="0" applyNumberFormat="1" applyFont="1" applyBorder="1" applyAlignment="1">
      <alignment horizontal="left" vertical="center" indent="1"/>
    </xf>
    <xf numFmtId="0" fontId="8" fillId="8" borderId="0" xfId="0" applyNumberFormat="1" applyFont="1" applyFill="1" applyBorder="1" applyAlignment="1">
      <alignment vertical="center" wrapText="1"/>
    </xf>
    <xf numFmtId="14" fontId="26" fillId="0" borderId="12" xfId="0" applyNumberFormat="1" applyFont="1" applyBorder="1" applyAlignment="1">
      <alignment horizontal="left" vertical="center" wrapText="1"/>
    </xf>
    <xf numFmtId="49" fontId="27" fillId="8" borderId="11" xfId="0" applyFont="1" applyFill="1" applyBorder="1" applyAlignment="1">
      <alignment horizontal="right" vertical="center" wrapText="1" indent="1"/>
    </xf>
    <xf numFmtId="0" fontId="0" fillId="7" borderId="12" xfId="0" applyNumberFormat="1" applyFont="1" applyFill="1" applyBorder="1" applyAlignment="1" applyProtection="1">
      <alignment horizontal="left" vertical="center" wrapText="1" indent="1"/>
      <protection locked="0"/>
    </xf>
    <xf numFmtId="49" fontId="8" fillId="7" borderId="12" xfId="0" applyFont="1" applyFill="1" applyBorder="1" applyAlignment="1" applyProtection="1">
      <alignment horizontal="left" vertical="center" wrapText="1" indent="1"/>
      <protection locked="0"/>
    </xf>
    <xf numFmtId="49" fontId="8" fillId="8" borderId="11" xfId="0" applyFont="1" applyFill="1" applyBorder="1" applyAlignment="1">
      <alignment horizontal="right" vertical="center" wrapText="1" indent="1"/>
    </xf>
    <xf numFmtId="164" fontId="0" fillId="0" borderId="12" xfId="0" applyNumberFormat="1" applyFont="1" applyBorder="1" applyAlignment="1">
      <alignment horizontal="left" vertical="center" wrapText="1" indent="1"/>
    </xf>
    <xf numFmtId="0" fontId="0" fillId="8" borderId="0" xfId="0" applyNumberFormat="1" applyFont="1" applyFill="1" applyBorder="1" applyAlignment="1">
      <alignment horizontal="right" vertical="center" wrapText="1" indent="1"/>
    </xf>
    <xf numFmtId="0" fontId="8" fillId="8" borderId="0" xfId="0" applyNumberFormat="1" applyFont="1" applyFill="1" applyBorder="1" applyAlignment="1">
      <alignment horizontal="right" vertical="center" wrapText="1" indent="1"/>
    </xf>
    <xf numFmtId="0" fontId="0" fillId="8" borderId="0" xfId="0" applyNumberFormat="1" applyFont="1" applyFill="1" applyBorder="1" applyAlignment="1">
      <alignment horizontal="left" vertical="center" wrapText="1" indent="1"/>
    </xf>
    <xf numFmtId="49" fontId="8" fillId="0" borderId="12" xfId="0" applyFont="1" applyBorder="1" applyAlignment="1">
      <alignment horizontal="left" vertical="center" wrapText="1" indent="1"/>
    </xf>
    <xf numFmtId="0" fontId="14" fillId="0" borderId="0" xfId="0" applyNumberFormat="1" applyFont="1" applyBorder="1" applyAlignment="1">
      <alignment horizontal="center" vertical="center" wrapText="1"/>
    </xf>
    <xf numFmtId="0" fontId="29" fillId="8" borderId="0" xfId="0" applyNumberFormat="1" applyFont="1" applyFill="1" applyBorder="1" applyAlignment="1">
      <alignment horizontal="center" vertical="center" wrapText="1"/>
    </xf>
    <xf numFmtId="49" fontId="8" fillId="6" borderId="12" xfId="0" applyFont="1" applyFill="1" applyBorder="1" applyAlignment="1">
      <alignment horizontal="left" vertical="center" wrapText="1" indent="1"/>
    </xf>
    <xf numFmtId="14" fontId="8" fillId="8" borderId="0" xfId="0" applyNumberFormat="1" applyFont="1" applyFill="1" applyBorder="1" applyAlignment="1">
      <alignment horizontal="center" vertical="center" wrapText="1"/>
    </xf>
    <xf numFmtId="0" fontId="0" fillId="8" borderId="11" xfId="0" applyNumberFormat="1" applyFont="1" applyFill="1" applyBorder="1" applyAlignment="1">
      <alignment horizontal="right" vertical="center" wrapText="1" indent="1"/>
    </xf>
    <xf numFmtId="49" fontId="8" fillId="4" borderId="12" xfId="0" applyFont="1" applyFill="1" applyBorder="1" applyAlignment="1" applyProtection="1">
      <alignment horizontal="left" vertical="center" wrapText="1" indent="1"/>
      <protection locked="0"/>
    </xf>
    <xf numFmtId="0" fontId="8" fillId="0" borderId="0" xfId="0" applyNumberFormat="1" applyFont="1" applyBorder="1" applyAlignment="1">
      <alignment vertical="center"/>
    </xf>
    <xf numFmtId="14" fontId="8" fillId="8" borderId="0" xfId="0" applyNumberFormat="1" applyFont="1" applyFill="1" applyBorder="1" applyAlignment="1">
      <alignment horizontal="left" vertical="center" wrapText="1"/>
    </xf>
    <xf numFmtId="0" fontId="30" fillId="8" borderId="0" xfId="0" applyNumberFormat="1" applyFont="1" applyFill="1" applyBorder="1" applyAlignment="1">
      <alignment horizontal="right" vertical="center" wrapText="1" indent="1"/>
    </xf>
    <xf numFmtId="0" fontId="30" fillId="8" borderId="0" xfId="0" applyNumberFormat="1" applyFont="1" applyFill="1" applyBorder="1" applyAlignment="1">
      <alignment horizontal="left" vertical="center" wrapText="1" indent="1"/>
    </xf>
    <xf numFmtId="49" fontId="8" fillId="9" borderId="12" xfId="0" applyFont="1" applyFill="1" applyBorder="1" applyAlignment="1">
      <alignment horizontal="left" vertical="center" wrapText="1" indent="1"/>
    </xf>
    <xf numFmtId="49" fontId="31" fillId="0" borderId="12" xfId="0" applyFont="1" applyBorder="1" applyAlignment="1">
      <alignment horizontal="left" vertical="center" wrapText="1" indent="1"/>
    </xf>
    <xf numFmtId="14" fontId="34" fillId="0" borderId="0"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35" fillId="0" borderId="0" xfId="0" applyNumberFormat="1" applyFont="1" applyBorder="1" applyAlignment="1">
      <alignment vertical="center" wrapText="1"/>
    </xf>
    <xf numFmtId="0" fontId="8" fillId="9" borderId="12" xfId="0" applyNumberFormat="1" applyFont="1" applyFill="1" applyBorder="1" applyAlignment="1">
      <alignment horizontal="left" vertical="center" wrapText="1" indent="1"/>
    </xf>
    <xf numFmtId="164" fontId="0" fillId="0" borderId="7" xfId="0" applyNumberFormat="1" applyFont="1" applyBorder="1" applyAlignment="1">
      <alignment horizontal="left" vertical="center" wrapText="1" indent="1"/>
    </xf>
    <xf numFmtId="49" fontId="13" fillId="0" borderId="0" xfId="0" applyFont="1" applyBorder="1" applyAlignment="1">
      <alignment horizontal="left" vertical="center" wrapText="1"/>
    </xf>
    <xf numFmtId="49" fontId="22" fillId="8" borderId="0" xfId="0" applyFont="1" applyFill="1" applyBorder="1" applyAlignment="1">
      <alignment horizontal="center" vertical="center" wrapText="1"/>
    </xf>
    <xf numFmtId="0" fontId="8" fillId="0" borderId="0" xfId="0" applyNumberFormat="1" applyFont="1" applyBorder="1" applyAlignment="1">
      <alignment horizontal="left" vertical="center" wrapText="1" indent="4"/>
    </xf>
    <xf numFmtId="0" fontId="8" fillId="0" borderId="0" xfId="0" applyNumberFormat="1" applyFont="1" applyBorder="1" applyAlignment="1">
      <alignment horizontal="left" vertical="center" wrapText="1" indent="1"/>
    </xf>
    <xf numFmtId="0" fontId="0" fillId="0" borderId="0" xfId="0" applyNumberFormat="1" applyFont="1" applyBorder="1" applyAlignment="1">
      <alignment horizontal="center" vertical="center" wrapText="1"/>
    </xf>
    <xf numFmtId="49" fontId="8" fillId="8" borderId="0" xfId="0" applyFont="1" applyFill="1" applyBorder="1" applyAlignment="1">
      <alignment horizontal="right" vertical="center" wrapText="1" indent="1"/>
    </xf>
    <xf numFmtId="49" fontId="8" fillId="0" borderId="0" xfId="0" applyFont="1" applyBorder="1" applyAlignment="1">
      <alignment horizontal="center" vertical="center" wrapText="1"/>
    </xf>
    <xf numFmtId="49" fontId="0" fillId="8" borderId="0" xfId="0" applyFont="1" applyFill="1" applyBorder="1" applyAlignment="1">
      <alignment horizontal="right" vertical="center" wrapText="1" indent="1"/>
    </xf>
    <xf numFmtId="0" fontId="23" fillId="0" borderId="0" xfId="0" applyNumberFormat="1" applyFont="1" applyBorder="1" applyAlignment="1">
      <alignment vertical="top" wrapText="1"/>
    </xf>
    <xf numFmtId="0" fontId="37" fillId="0" borderId="0" xfId="0" applyNumberFormat="1" applyFont="1" applyBorder="1" applyAlignment="1">
      <alignment horizontal="center" vertical="center" wrapText="1"/>
    </xf>
    <xf numFmtId="0" fontId="17" fillId="0" borderId="0" xfId="0" applyNumberFormat="1" applyFont="1" applyBorder="1" applyAlignment="1">
      <alignment vertical="center"/>
    </xf>
    <xf numFmtId="0" fontId="38" fillId="0" borderId="0" xfId="0" applyNumberFormat="1" applyFont="1" applyBorder="1" applyAlignment="1">
      <alignment vertical="center"/>
    </xf>
    <xf numFmtId="0" fontId="39" fillId="0" borderId="0" xfId="0" applyNumberFormat="1" applyFont="1" applyBorder="1" applyAlignment="1">
      <alignment vertical="center" wrapText="1"/>
    </xf>
    <xf numFmtId="0" fontId="17" fillId="0" borderId="0" xfId="0" applyNumberFormat="1" applyFont="1" applyBorder="1" applyAlignment="1">
      <alignment horizontal="center" vertical="center" wrapText="1"/>
    </xf>
    <xf numFmtId="0" fontId="17" fillId="0" borderId="0" xfId="0" applyNumberFormat="1" applyFont="1" applyBorder="1" applyAlignment="1">
      <alignment horizontal="left" vertical="center" indent="1"/>
    </xf>
    <xf numFmtId="0" fontId="17" fillId="0" borderId="0" xfId="0" applyNumberFormat="1" applyFont="1" applyBorder="1" applyAlignment="1">
      <alignment horizontal="left" vertical="center" wrapText="1" indent="1"/>
    </xf>
    <xf numFmtId="0" fontId="15" fillId="0" borderId="0" xfId="0" applyNumberFormat="1" applyFont="1" applyBorder="1" applyAlignment="1">
      <alignment horizontal="left" vertical="center" wrapText="1" indent="1"/>
    </xf>
    <xf numFmtId="0" fontId="40" fillId="0" borderId="0" xfId="0" applyNumberFormat="1" applyFont="1" applyBorder="1" applyAlignment="1">
      <alignment horizontal="left" vertical="center" wrapText="1" indent="1"/>
    </xf>
    <xf numFmtId="0" fontId="41" fillId="0" borderId="0" xfId="0" applyNumberFormat="1" applyFont="1" applyBorder="1" applyAlignment="1">
      <alignment horizontal="left" vertical="center" indent="1"/>
    </xf>
    <xf numFmtId="0" fontId="40" fillId="0" borderId="0" xfId="0" applyNumberFormat="1" applyFont="1" applyBorder="1" applyAlignment="1">
      <alignment vertical="center" wrapText="1"/>
    </xf>
    <xf numFmtId="0" fontId="8" fillId="0" borderId="0" xfId="0" applyNumberFormat="1" applyFont="1" applyBorder="1" applyAlignment="1">
      <alignment horizontal="right" vertical="center" wrapText="1"/>
    </xf>
    <xf numFmtId="0" fontId="42" fillId="0" borderId="0" xfId="0" applyNumberFormat="1" applyFont="1" applyBorder="1" applyAlignment="1">
      <alignment vertical="center" wrapText="1"/>
    </xf>
    <xf numFmtId="4" fontId="8" fillId="0" borderId="0" xfId="0" applyNumberFormat="1" applyFont="1" applyBorder="1" applyAlignment="1">
      <alignment horizontal="right" vertical="center" wrapText="1"/>
    </xf>
    <xf numFmtId="49" fontId="8" fillId="0" borderId="0" xfId="0" applyFont="1" applyBorder="1" applyAlignment="1">
      <alignment vertical="top"/>
    </xf>
    <xf numFmtId="4" fontId="8" fillId="0" borderId="0"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 fontId="8" fillId="0" borderId="12" xfId="0" applyNumberFormat="1" applyFont="1" applyBorder="1" applyAlignment="1">
      <alignment horizontal="center" vertical="center" wrapText="1"/>
    </xf>
    <xf numFmtId="165" fontId="8" fillId="0" borderId="13" xfId="0" applyNumberFormat="1" applyFont="1" applyBorder="1" applyAlignment="1">
      <alignment horizontal="center" vertical="center" wrapText="1"/>
    </xf>
    <xf numFmtId="165" fontId="8" fillId="0" borderId="12" xfId="0" applyNumberFormat="1" applyFont="1" applyBorder="1" applyAlignment="1">
      <alignment horizontal="center" vertical="center" wrapText="1"/>
    </xf>
    <xf numFmtId="0" fontId="43" fillId="0" borderId="0" xfId="0" applyNumberFormat="1" applyFont="1" applyBorder="1" applyAlignment="1">
      <alignment horizontal="center" vertical="center" wrapText="1"/>
    </xf>
    <xf numFmtId="49" fontId="43" fillId="0" borderId="10" xfId="0" applyFont="1" applyBorder="1" applyAlignment="1">
      <alignment horizontal="center" vertical="center" wrapText="1"/>
    </xf>
    <xf numFmtId="0" fontId="15" fillId="0" borderId="0" xfId="0" applyNumberFormat="1" applyFont="1" applyBorder="1" applyAlignment="1">
      <alignment vertical="center"/>
    </xf>
    <xf numFmtId="0" fontId="44" fillId="0" borderId="0" xfId="0" applyNumberFormat="1" applyFont="1" applyBorder="1" applyAlignment="1">
      <alignment vertical="center"/>
    </xf>
    <xf numFmtId="49" fontId="8" fillId="10" borderId="14" xfId="0" applyFont="1" applyFill="1" applyBorder="1" applyAlignment="1">
      <alignment horizontal="center" vertical="center" wrapText="1"/>
    </xf>
    <xf numFmtId="49" fontId="15" fillId="10" borderId="14" xfId="0" applyFont="1" applyFill="1" applyBorder="1" applyAlignment="1">
      <alignment horizontal="left" vertical="center" wrapText="1"/>
    </xf>
    <xf numFmtId="49" fontId="15" fillId="10" borderId="15" xfId="0" applyFont="1" applyFill="1" applyBorder="1" applyAlignment="1">
      <alignment horizontal="left" vertical="center" wrapText="1"/>
    </xf>
    <xf numFmtId="0" fontId="17" fillId="0" borderId="16" xfId="0" applyNumberFormat="1" applyFont="1" applyBorder="1" applyAlignment="1">
      <alignment vertical="center"/>
    </xf>
    <xf numFmtId="0" fontId="8" fillId="0" borderId="12" xfId="0" applyNumberFormat="1" applyFont="1" applyBorder="1" applyAlignment="1">
      <alignment horizontal="center" vertical="center" wrapText="1"/>
    </xf>
    <xf numFmtId="0" fontId="17" fillId="0" borderId="12" xfId="0" applyNumberFormat="1" applyFont="1" applyBorder="1" applyAlignment="1">
      <alignment horizontal="center" vertical="center" wrapText="1"/>
    </xf>
    <xf numFmtId="49" fontId="8" fillId="7" borderId="12" xfId="0" applyFont="1" applyFill="1" applyBorder="1" applyAlignment="1" applyProtection="1">
      <alignment vertical="center" wrapText="1"/>
      <protection locked="0"/>
    </xf>
    <xf numFmtId="49" fontId="15" fillId="0" borderId="12" xfId="0" applyFont="1" applyBorder="1" applyAlignment="1">
      <alignment horizontal="left" vertical="center" wrapText="1"/>
    </xf>
    <xf numFmtId="0" fontId="43" fillId="0" borderId="17" xfId="0" applyNumberFormat="1" applyFont="1" applyBorder="1" applyAlignment="1">
      <alignment vertical="top" wrapText="1"/>
    </xf>
    <xf numFmtId="0" fontId="8" fillId="0" borderId="18" xfId="0" applyNumberFormat="1" applyFont="1" applyBorder="1" applyAlignment="1">
      <alignment horizontal="center" vertical="center" wrapText="1"/>
    </xf>
    <xf numFmtId="0" fontId="17" fillId="0" borderId="18" xfId="0" applyNumberFormat="1" applyFont="1" applyBorder="1" applyAlignment="1">
      <alignment horizontal="center" vertical="center" wrapText="1"/>
    </xf>
    <xf numFmtId="14" fontId="8" fillId="9" borderId="18" xfId="0" applyNumberFormat="1" applyFont="1" applyFill="1" applyBorder="1" applyAlignment="1">
      <alignment horizontal="left" vertical="center" wrapText="1" indent="1"/>
    </xf>
    <xf numFmtId="49" fontId="8" fillId="6" borderId="18" xfId="0" applyFont="1" applyFill="1" applyBorder="1" applyAlignment="1">
      <alignment horizontal="center" vertical="center" wrapText="1"/>
    </xf>
    <xf numFmtId="0" fontId="45" fillId="0" borderId="0" xfId="0" applyNumberFormat="1" applyFont="1" applyBorder="1" applyAlignment="1">
      <alignment vertical="center" wrapText="1"/>
    </xf>
    <xf numFmtId="49" fontId="17" fillId="0" borderId="0" xfId="0" applyFont="1" applyBorder="1" applyAlignment="1">
      <alignment vertical="top"/>
    </xf>
    <xf numFmtId="0" fontId="0" fillId="0" borderId="0" xfId="0" applyNumberFormat="1" applyFont="1" applyBorder="1" applyAlignment="1">
      <alignment vertical="center" wrapText="1"/>
    </xf>
    <xf numFmtId="0" fontId="43" fillId="0" borderId="0" xfId="0" applyNumberFormat="1" applyFont="1" applyBorder="1" applyAlignment="1">
      <alignment vertical="top" wrapText="1"/>
    </xf>
    <xf numFmtId="49" fontId="23" fillId="10" borderId="13" xfId="0" applyFont="1" applyFill="1" applyBorder="1" applyAlignment="1">
      <alignment horizontal="right" vertical="center" wrapText="1"/>
    </xf>
    <xf numFmtId="49" fontId="23" fillId="10" borderId="10" xfId="0" applyFont="1" applyFill="1" applyBorder="1" applyAlignment="1">
      <alignment horizontal="right" vertical="center" wrapText="1"/>
    </xf>
    <xf numFmtId="49" fontId="46" fillId="10" borderId="10" xfId="0" applyFont="1" applyFill="1" applyBorder="1" applyAlignment="1">
      <alignment horizontal="left" vertical="center" indent="1"/>
    </xf>
    <xf numFmtId="49" fontId="0" fillId="10" borderId="10" xfId="0" applyFont="1" applyFill="1" applyBorder="1" applyAlignment="1">
      <alignment horizontal="right" vertical="center" wrapText="1"/>
    </xf>
    <xf numFmtId="49" fontId="0" fillId="10" borderId="19" xfId="0" applyFont="1" applyFill="1" applyBorder="1" applyAlignment="1">
      <alignment horizontal="right" vertical="center" wrapText="1"/>
    </xf>
    <xf numFmtId="49" fontId="8" fillId="10" borderId="13" xfId="0" applyFont="1" applyFill="1" applyBorder="1" applyAlignment="1">
      <alignment horizontal="right" vertical="center" wrapText="1"/>
    </xf>
    <xf numFmtId="49" fontId="8" fillId="10" borderId="10" xfId="0" applyFont="1" applyFill="1" applyBorder="1" applyAlignment="1">
      <alignment horizontal="right" vertical="center" wrapText="1"/>
    </xf>
    <xf numFmtId="49" fontId="46" fillId="10" borderId="10" xfId="0" applyFont="1" applyFill="1" applyBorder="1" applyAlignment="1">
      <alignment horizontal="left" vertical="center"/>
    </xf>
    <xf numFmtId="49" fontId="8" fillId="10" borderId="19" xfId="0" applyFont="1" applyFill="1" applyBorder="1" applyAlignment="1">
      <alignment horizontal="right" vertical="center" wrapText="1"/>
    </xf>
    <xf numFmtId="0" fontId="8" fillId="0" borderId="20" xfId="0" applyNumberFormat="1" applyFont="1" applyBorder="1" applyAlignment="1">
      <alignment vertical="center" wrapText="1"/>
    </xf>
    <xf numFmtId="0" fontId="47" fillId="0" borderId="0" xfId="0" applyNumberFormat="1" applyFont="1" applyBorder="1" applyAlignment="1">
      <alignment vertical="center" wrapText="1"/>
    </xf>
    <xf numFmtId="0" fontId="48" fillId="0" borderId="0" xfId="0" applyNumberFormat="1" applyFont="1" applyBorder="1" applyAlignment="1">
      <alignment vertical="center" wrapText="1"/>
    </xf>
    <xf numFmtId="0" fontId="49" fillId="0" borderId="0" xfId="0" applyNumberFormat="1" applyFont="1" applyBorder="1" applyAlignment="1">
      <alignment horizontal="center" vertical="center" wrapText="1"/>
    </xf>
    <xf numFmtId="0" fontId="0" fillId="0" borderId="0" xfId="0" applyNumberFormat="1" applyFont="1" applyBorder="1" applyAlignment="1">
      <alignment vertical="center"/>
    </xf>
    <xf numFmtId="0" fontId="50" fillId="0" borderId="0" xfId="0" applyNumberFormat="1" applyFont="1" applyBorder="1" applyAlignment="1">
      <alignment vertical="center"/>
    </xf>
    <xf numFmtId="0" fontId="51" fillId="0" borderId="0" xfId="0" applyNumberFormat="1" applyFont="1" applyBorder="1" applyAlignment="1">
      <alignment vertical="center"/>
    </xf>
    <xf numFmtId="0" fontId="52" fillId="0" borderId="0" xfId="0" applyNumberFormat="1" applyFont="1" applyBorder="1" applyAlignment="1">
      <alignment vertical="center"/>
    </xf>
    <xf numFmtId="0" fontId="53" fillId="0" borderId="0" xfId="0" applyNumberFormat="1" applyFont="1" applyBorder="1" applyAlignment="1">
      <alignment vertical="center"/>
    </xf>
    <xf numFmtId="0" fontId="54" fillId="0" borderId="0" xfId="0" applyNumberFormat="1" applyFont="1" applyBorder="1" applyAlignment="1">
      <alignment vertical="center"/>
    </xf>
    <xf numFmtId="0" fontId="56" fillId="0" borderId="0" xfId="0" applyNumberFormat="1" applyFont="1" applyBorder="1" applyAlignment="1">
      <alignment horizontal="center" vertical="center" wrapText="1"/>
    </xf>
    <xf numFmtId="0" fontId="15" fillId="0" borderId="16" xfId="0" applyNumberFormat="1" applyFont="1" applyBorder="1" applyAlignment="1">
      <alignment vertical="center"/>
    </xf>
    <xf numFmtId="49" fontId="43" fillId="0" borderId="0" xfId="0" applyFont="1" applyBorder="1" applyAlignment="1">
      <alignment horizontal="center" vertical="center" wrapText="1"/>
    </xf>
    <xf numFmtId="49" fontId="43" fillId="0" borderId="12" xfId="0" applyFont="1" applyBorder="1" applyAlignment="1">
      <alignment horizontal="center" vertical="center" wrapText="1"/>
    </xf>
    <xf numFmtId="0" fontId="17" fillId="0" borderId="0" xfId="0" applyNumberFormat="1" applyFont="1" applyBorder="1" applyAlignment="1">
      <alignment horizontal="center" vertical="center"/>
    </xf>
    <xf numFmtId="0" fontId="8" fillId="10" borderId="13" xfId="0" applyNumberFormat="1" applyFont="1" applyFill="1" applyBorder="1" applyAlignment="1">
      <alignment horizontal="center" vertical="center" wrapText="1"/>
    </xf>
    <xf numFmtId="49" fontId="8" fillId="10" borderId="10" xfId="0" applyFont="1" applyFill="1" applyBorder="1" applyAlignment="1">
      <alignment horizontal="center" vertical="center" wrapText="1"/>
    </xf>
    <xf numFmtId="49" fontId="8" fillId="10" borderId="24" xfId="0" applyFont="1" applyFill="1" applyBorder="1" applyAlignment="1">
      <alignment horizontal="center" vertical="center" wrapText="1"/>
    </xf>
    <xf numFmtId="49" fontId="0" fillId="10" borderId="10" xfId="0" applyFont="1" applyFill="1" applyBorder="1" applyAlignment="1">
      <alignment horizontal="left" vertical="center"/>
    </xf>
    <xf numFmtId="0" fontId="0" fillId="10" borderId="19" xfId="0" applyNumberFormat="1" applyFont="1" applyFill="1" applyBorder="1" applyAlignment="1">
      <alignment vertical="center"/>
    </xf>
    <xf numFmtId="49" fontId="8" fillId="0" borderId="12" xfId="0" applyFont="1" applyBorder="1" applyAlignment="1">
      <alignment horizontal="center" vertical="center" wrapText="1"/>
    </xf>
    <xf numFmtId="49" fontId="8" fillId="9" borderId="12" xfId="0" applyFont="1" applyFill="1" applyBorder="1" applyAlignment="1">
      <alignment horizontal="center" vertical="center" wrapText="1"/>
    </xf>
    <xf numFmtId="49" fontId="8" fillId="0" borderId="25" xfId="0" applyFont="1" applyBorder="1" applyAlignment="1">
      <alignment horizontal="center" vertical="center" wrapText="1"/>
    </xf>
    <xf numFmtId="49" fontId="55" fillId="0" borderId="12" xfId="0" applyFont="1" applyBorder="1" applyAlignment="1">
      <alignment horizontal="left" vertical="center" wrapText="1" indent="1"/>
    </xf>
    <xf numFmtId="49" fontId="46" fillId="10" borderId="19" xfId="0" applyFont="1" applyFill="1" applyBorder="1" applyAlignment="1">
      <alignment horizontal="left" vertical="center" indent="1"/>
    </xf>
    <xf numFmtId="49" fontId="23" fillId="10" borderId="26" xfId="0" applyFont="1" applyFill="1" applyBorder="1" applyAlignment="1">
      <alignment horizontal="right" vertical="center" wrapText="1"/>
    </xf>
    <xf numFmtId="49" fontId="23" fillId="10" borderId="27" xfId="0" applyFont="1" applyFill="1" applyBorder="1" applyAlignment="1">
      <alignment horizontal="right" vertical="center" wrapText="1"/>
    </xf>
    <xf numFmtId="49" fontId="23" fillId="10" borderId="19" xfId="0" applyFont="1" applyFill="1" applyBorder="1" applyAlignment="1">
      <alignment horizontal="right" vertical="center" wrapText="1"/>
    </xf>
    <xf numFmtId="0" fontId="55" fillId="8" borderId="0" xfId="0" applyNumberFormat="1" applyFont="1" applyFill="1" applyBorder="1" applyAlignment="1">
      <alignment vertical="top"/>
    </xf>
    <xf numFmtId="49" fontId="46" fillId="10" borderId="10" xfId="0" applyFont="1" applyFill="1" applyBorder="1" applyAlignment="1">
      <alignment horizontal="left" vertical="center" indent="2"/>
    </xf>
    <xf numFmtId="0" fontId="58" fillId="0" borderId="0" xfId="0" applyNumberFormat="1" applyFont="1" applyBorder="1" applyAlignment="1">
      <alignment vertical="center" wrapText="1"/>
    </xf>
    <xf numFmtId="0" fontId="7" fillId="0" borderId="0" xfId="0" applyNumberFormat="1" applyFont="1" applyBorder="1" applyAlignment="1">
      <alignment vertical="center" wrapText="1"/>
    </xf>
    <xf numFmtId="0" fontId="59" fillId="0" borderId="0" xfId="0" applyNumberFormat="1" applyFont="1" applyBorder="1" applyAlignment="1">
      <alignment vertical="center"/>
    </xf>
    <xf numFmtId="0" fontId="0" fillId="0" borderId="12" xfId="0" applyNumberFormat="1" applyFont="1" applyBorder="1" applyAlignment="1">
      <alignment horizontal="center" vertical="center" wrapText="1"/>
    </xf>
    <xf numFmtId="49" fontId="17" fillId="8" borderId="0" xfId="0" applyFont="1" applyFill="1" applyBorder="1" applyAlignment="1">
      <alignment horizontal="center" vertical="center" wrapText="1"/>
    </xf>
    <xf numFmtId="0" fontId="17" fillId="0" borderId="12" xfId="0" applyNumberFormat="1" applyFont="1" applyBorder="1" applyAlignment="1">
      <alignment horizontal="center" vertical="center"/>
    </xf>
    <xf numFmtId="0" fontId="0" fillId="0" borderId="12" xfId="0" applyNumberFormat="1" applyFont="1" applyBorder="1" applyAlignment="1">
      <alignment horizontal="center" vertical="center"/>
    </xf>
    <xf numFmtId="49" fontId="0" fillId="0" borderId="12" xfId="0" applyFont="1" applyBorder="1" applyAlignment="1">
      <alignment horizontal="center" vertical="center"/>
    </xf>
    <xf numFmtId="49" fontId="0" fillId="0" borderId="12" xfId="0" applyFont="1" applyBorder="1" applyAlignment="1">
      <alignment horizontal="left" vertical="center"/>
    </xf>
    <xf numFmtId="49" fontId="0" fillId="0" borderId="0" xfId="0" applyFont="1" applyBorder="1" applyAlignment="1">
      <alignment vertical="center"/>
    </xf>
    <xf numFmtId="49" fontId="8" fillId="0" borderId="14" xfId="0" applyFont="1" applyBorder="1" applyAlignment="1">
      <alignment horizontal="left" vertical="center" wrapText="1"/>
    </xf>
    <xf numFmtId="49" fontId="8" fillId="0" borderId="14" xfId="0" applyFont="1" applyBorder="1" applyAlignment="1">
      <alignment horizontal="center" vertical="center" wrapText="1"/>
    </xf>
    <xf numFmtId="49" fontId="0" fillId="0" borderId="14" xfId="0" applyFont="1" applyBorder="1" applyAlignment="1">
      <alignment horizontal="left" vertical="center" wrapText="1"/>
    </xf>
    <xf numFmtId="49" fontId="8" fillId="0" borderId="15" xfId="0" applyFont="1" applyBorder="1" applyAlignment="1">
      <alignment horizontal="left" vertical="center" wrapText="1"/>
    </xf>
    <xf numFmtId="0" fontId="8" fillId="0" borderId="0" xfId="0" applyNumberFormat="1" applyFont="1" applyBorder="1" applyAlignment="1">
      <alignment horizontal="left" vertical="center" indent="1"/>
    </xf>
    <xf numFmtId="0" fontId="46" fillId="0" borderId="0" xfId="0" applyNumberFormat="1" applyFont="1" applyBorder="1" applyAlignment="1">
      <alignment horizontal="left" vertical="center"/>
    </xf>
    <xf numFmtId="0" fontId="46" fillId="0" borderId="17" xfId="0" applyNumberFormat="1" applyFont="1" applyBorder="1" applyAlignment="1">
      <alignment horizontal="left" vertical="center"/>
    </xf>
    <xf numFmtId="0" fontId="46" fillId="0" borderId="28" xfId="0" applyNumberFormat="1" applyFont="1" applyBorder="1" applyAlignment="1">
      <alignment horizontal="left" vertical="center"/>
    </xf>
    <xf numFmtId="0" fontId="46" fillId="0" borderId="21" xfId="0" applyNumberFormat="1" applyFont="1" applyBorder="1" applyAlignment="1">
      <alignment horizontal="left" vertical="center"/>
    </xf>
    <xf numFmtId="0" fontId="0" fillId="0" borderId="21" xfId="0" applyNumberFormat="1" applyFont="1" applyBorder="1" applyAlignment="1">
      <alignment vertical="center"/>
    </xf>
    <xf numFmtId="0" fontId="46" fillId="0" borderId="29" xfId="0" applyNumberFormat="1" applyFont="1" applyBorder="1" applyAlignment="1">
      <alignment horizontal="left" vertical="center"/>
    </xf>
    <xf numFmtId="49" fontId="8" fillId="0" borderId="0" xfId="0" applyFont="1" applyBorder="1" applyAlignment="1">
      <alignment horizontal="left" vertical="center" indent="1"/>
    </xf>
    <xf numFmtId="0" fontId="0" fillId="0" borderId="0" xfId="0" applyNumberFormat="1" applyFont="1" applyBorder="1" applyAlignment="1">
      <alignment horizontal="left" vertical="top" wrapText="1"/>
    </xf>
    <xf numFmtId="0" fontId="0" fillId="0" borderId="0" xfId="0" applyNumberFormat="1" applyFont="1" applyBorder="1" applyAlignment="1">
      <alignment vertical="top" wrapText="1"/>
    </xf>
    <xf numFmtId="49" fontId="8" fillId="4" borderId="12" xfId="0" applyFont="1" applyFill="1" applyBorder="1" applyAlignment="1" applyProtection="1">
      <alignment horizontal="left" vertical="center" wrapText="1"/>
      <protection locked="0"/>
    </xf>
    <xf numFmtId="49" fontId="17" fillId="0" borderId="12" xfId="0" applyFont="1" applyBorder="1" applyAlignment="1">
      <alignment horizontal="center" vertical="center" wrapText="1"/>
    </xf>
    <xf numFmtId="49" fontId="17" fillId="0" borderId="13" xfId="0" applyFont="1" applyBorder="1" applyAlignment="1">
      <alignment horizontal="left" vertical="center" wrapText="1"/>
    </xf>
    <xf numFmtId="0" fontId="17" fillId="0" borderId="13" xfId="0" applyNumberFormat="1" applyFont="1" applyBorder="1" applyAlignment="1">
      <alignment horizontal="left" vertical="center"/>
    </xf>
    <xf numFmtId="0" fontId="17" fillId="0" borderId="10" xfId="0" applyNumberFormat="1" applyFont="1" applyBorder="1" applyAlignment="1">
      <alignment horizontal="left" vertical="center"/>
    </xf>
    <xf numFmtId="0" fontId="46" fillId="10" borderId="13" xfId="0" applyNumberFormat="1" applyFont="1" applyFill="1" applyBorder="1" applyAlignment="1">
      <alignment horizontal="left" vertical="center"/>
    </xf>
    <xf numFmtId="0" fontId="46" fillId="10" borderId="10" xfId="0" applyNumberFormat="1" applyFont="1" applyFill="1" applyBorder="1" applyAlignment="1">
      <alignment horizontal="left" vertical="center"/>
    </xf>
    <xf numFmtId="0" fontId="0" fillId="10" borderId="10" xfId="0" applyNumberFormat="1" applyFont="1" applyFill="1" applyBorder="1" applyAlignment="1">
      <alignment vertical="center"/>
    </xf>
    <xf numFmtId="0" fontId="46" fillId="10" borderId="29" xfId="0" applyNumberFormat="1" applyFont="1" applyFill="1" applyBorder="1" applyAlignment="1">
      <alignment horizontal="left" vertical="center"/>
    </xf>
    <xf numFmtId="0" fontId="46" fillId="10" borderId="19" xfId="0" applyNumberFormat="1" applyFont="1" applyFill="1" applyBorder="1" applyAlignment="1">
      <alignment horizontal="left" vertical="center"/>
    </xf>
    <xf numFmtId="49" fontId="13" fillId="0" borderId="0" xfId="0" applyFont="1" applyBorder="1" applyAlignment="1">
      <alignment vertical="top"/>
    </xf>
    <xf numFmtId="49" fontId="17" fillId="0" borderId="0" xfId="0" applyFont="1" applyBorder="1" applyAlignment="1">
      <alignment horizontal="center" vertical="center"/>
    </xf>
    <xf numFmtId="49" fontId="15" fillId="0" borderId="0" xfId="0" applyFont="1" applyBorder="1" applyAlignment="1">
      <alignment horizontal="center" vertical="center"/>
    </xf>
    <xf numFmtId="49" fontId="59" fillId="0" borderId="0" xfId="0" applyFont="1" applyBorder="1" applyAlignment="1">
      <alignment vertical="top"/>
    </xf>
    <xf numFmtId="0" fontId="7" fillId="0" borderId="0" xfId="0" applyNumberFormat="1" applyFont="1" applyBorder="1" applyAlignment="1">
      <alignment horizontal="left" vertical="center" wrapText="1" indent="1"/>
    </xf>
    <xf numFmtId="0" fontId="42" fillId="0" borderId="0" xfId="0" applyNumberFormat="1" applyFont="1" applyBorder="1" applyAlignment="1">
      <alignment vertical="center"/>
    </xf>
    <xf numFmtId="0" fontId="60" fillId="0" borderId="0" xfId="0" applyNumberFormat="1" applyFont="1" applyBorder="1" applyAlignment="1">
      <alignment vertical="center" wrapText="1"/>
    </xf>
    <xf numFmtId="0" fontId="61" fillId="0" borderId="0" xfId="0" applyNumberFormat="1" applyFont="1" applyBorder="1" applyAlignment="1">
      <alignment vertical="center" wrapText="1"/>
    </xf>
    <xf numFmtId="0" fontId="8" fillId="0" borderId="25" xfId="0" applyNumberFormat="1" applyFont="1" applyBorder="1" applyAlignment="1">
      <alignment horizontal="center" vertical="center" wrapText="1"/>
    </xf>
    <xf numFmtId="0" fontId="8" fillId="0" borderId="30"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13"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49" fontId="8" fillId="0" borderId="25" xfId="0" applyFont="1" applyBorder="1" applyAlignment="1">
      <alignment horizontal="center" vertical="center"/>
    </xf>
    <xf numFmtId="0" fontId="8" fillId="0" borderId="25" xfId="0" applyNumberFormat="1" applyFont="1" applyBorder="1" applyAlignment="1">
      <alignment horizontal="left" vertical="center" wrapText="1"/>
    </xf>
    <xf numFmtId="49" fontId="8" fillId="0" borderId="22" xfId="0" applyFont="1" applyBorder="1" applyAlignment="1">
      <alignment vertical="center" wrapText="1"/>
    </xf>
    <xf numFmtId="49" fontId="8" fillId="0" borderId="14" xfId="0" applyFont="1" applyBorder="1" applyAlignment="1">
      <alignment vertical="center" wrapText="1"/>
    </xf>
    <xf numFmtId="49" fontId="37" fillId="0" borderId="14" xfId="0" applyFont="1" applyBorder="1" applyAlignment="1">
      <alignment vertical="center" wrapText="1"/>
    </xf>
    <xf numFmtId="0" fontId="8" fillId="0" borderId="14" xfId="0" applyNumberFormat="1" applyFont="1" applyBorder="1" applyAlignment="1">
      <alignment horizontal="left" vertical="center" wrapText="1"/>
    </xf>
    <xf numFmtId="49" fontId="8" fillId="0" borderId="16" xfId="0" applyFont="1" applyBorder="1" applyAlignment="1">
      <alignment vertical="center" wrapText="1"/>
    </xf>
    <xf numFmtId="0" fontId="8" fillId="0" borderId="0" xfId="0" applyNumberFormat="1" applyFont="1" applyBorder="1" applyAlignment="1">
      <alignment horizontal="left" vertical="center" wrapText="1"/>
    </xf>
    <xf numFmtId="49" fontId="8" fillId="0" borderId="0" xfId="0" applyFont="1" applyBorder="1" applyAlignment="1">
      <alignment horizontal="left" vertical="center" wrapText="1"/>
    </xf>
    <xf numFmtId="49" fontId="37" fillId="0" borderId="0" xfId="0" applyFont="1" applyBorder="1" applyAlignment="1">
      <alignment vertical="center" wrapText="1"/>
    </xf>
    <xf numFmtId="49" fontId="37" fillId="0" borderId="0" xfId="0" applyFont="1" applyBorder="1" applyAlignment="1">
      <alignment horizontal="center" vertical="center" wrapText="1"/>
    </xf>
    <xf numFmtId="0" fontId="46" fillId="0" borderId="0" xfId="0" applyNumberFormat="1" applyFont="1" applyBorder="1" applyAlignment="1">
      <alignment vertical="center"/>
    </xf>
    <xf numFmtId="0" fontId="46" fillId="0" borderId="16" xfId="0" applyNumberFormat="1" applyFont="1" applyBorder="1" applyAlignment="1">
      <alignment horizontal="left" vertical="center"/>
    </xf>
    <xf numFmtId="49" fontId="59" fillId="0" borderId="28" xfId="0" applyFont="1" applyBorder="1" applyAlignment="1">
      <alignment vertical="top"/>
    </xf>
    <xf numFmtId="49" fontId="59" fillId="0" borderId="21" xfId="0" applyFont="1" applyBorder="1" applyAlignment="1">
      <alignment vertical="top"/>
    </xf>
    <xf numFmtId="49" fontId="8" fillId="0" borderId="12" xfId="0" applyFont="1" applyBorder="1" applyAlignment="1">
      <alignment horizontal="center" vertical="center"/>
    </xf>
    <xf numFmtId="0" fontId="8" fillId="0" borderId="12" xfId="0" applyNumberFormat="1" applyFont="1" applyBorder="1" applyAlignment="1">
      <alignment horizontal="left" vertical="center" wrapText="1"/>
    </xf>
    <xf numFmtId="0" fontId="8" fillId="8" borderId="0" xfId="0" applyNumberFormat="1" applyFont="1" applyFill="1" applyBorder="1" applyAlignment="1"/>
    <xf numFmtId="0" fontId="17" fillId="8" borderId="0" xfId="0" applyNumberFormat="1" applyFont="1" applyFill="1" applyBorder="1" applyAlignment="1"/>
    <xf numFmtId="0" fontId="0" fillId="8" borderId="0" xfId="0" applyNumberFormat="1" applyFont="1" applyFill="1" applyBorder="1" applyAlignment="1"/>
    <xf numFmtId="0" fontId="0" fillId="8" borderId="0" xfId="0" applyNumberFormat="1" applyFont="1" applyFill="1" applyBorder="1" applyAlignment="1">
      <alignment horizontal="center"/>
    </xf>
    <xf numFmtId="0" fontId="30" fillId="8" borderId="0" xfId="0" applyNumberFormat="1" applyFont="1" applyFill="1" applyBorder="1" applyAlignment="1"/>
    <xf numFmtId="0" fontId="30" fillId="8" borderId="0" xfId="0" applyNumberFormat="1" applyFont="1" applyFill="1" applyBorder="1" applyAlignment="1">
      <alignment horizontal="center"/>
    </xf>
    <xf numFmtId="0" fontId="62" fillId="0" borderId="0" xfId="0" applyNumberFormat="1" applyFont="1" applyBorder="1" applyAlignment="1">
      <alignment vertical="center"/>
    </xf>
    <xf numFmtId="0" fontId="63" fillId="0" borderId="0" xfId="0" applyNumberFormat="1" applyFont="1" applyBorder="1" applyAlignment="1">
      <alignment vertical="center"/>
    </xf>
    <xf numFmtId="0" fontId="64" fillId="8" borderId="0" xfId="0" applyNumberFormat="1" applyFont="1" applyFill="1" applyBorder="1" applyAlignment="1">
      <alignment horizontal="right" vertical="center"/>
    </xf>
    <xf numFmtId="0" fontId="17" fillId="8" borderId="0" xfId="0" applyNumberFormat="1" applyFont="1" applyFill="1" applyBorder="1" applyAlignment="1">
      <alignment vertical="center" wrapText="1"/>
    </xf>
    <xf numFmtId="49" fontId="0" fillId="8" borderId="12" xfId="0" applyFont="1" applyFill="1" applyBorder="1" applyAlignment="1">
      <alignment horizontal="center" vertical="center" wrapText="1"/>
    </xf>
    <xf numFmtId="0" fontId="0" fillId="8" borderId="12" xfId="0" applyNumberFormat="1" applyFont="1" applyFill="1" applyBorder="1" applyAlignment="1">
      <alignment horizontal="center" vertical="center" wrapText="1"/>
    </xf>
    <xf numFmtId="49" fontId="8" fillId="8" borderId="12" xfId="0" applyFont="1" applyFill="1" applyBorder="1" applyAlignment="1">
      <alignment horizontal="center" vertical="center" wrapText="1"/>
    </xf>
    <xf numFmtId="0" fontId="43" fillId="8" borderId="0" xfId="0" applyNumberFormat="1" applyFont="1" applyFill="1" applyBorder="1" applyAlignment="1">
      <alignment horizontal="center" vertical="center"/>
    </xf>
    <xf numFmtId="49" fontId="17" fillId="0" borderId="12" xfId="0" applyFont="1" applyBorder="1" applyAlignment="1">
      <alignment horizontal="center" vertical="center"/>
    </xf>
    <xf numFmtId="0" fontId="17" fillId="0" borderId="12" xfId="0" applyNumberFormat="1" applyFont="1" applyBorder="1" applyAlignment="1">
      <alignment vertical="center" wrapText="1"/>
    </xf>
    <xf numFmtId="0" fontId="17" fillId="0" borderId="12" xfId="0" applyNumberFormat="1" applyFont="1" applyBorder="1" applyAlignment="1">
      <alignment horizontal="left" vertical="center" wrapText="1"/>
    </xf>
    <xf numFmtId="0" fontId="65" fillId="8" borderId="0" xfId="0" applyNumberFormat="1" applyFont="1" applyFill="1" applyBorder="1" applyAlignment="1"/>
    <xf numFmtId="49" fontId="0" fillId="8" borderId="12" xfId="0" applyFont="1" applyFill="1" applyBorder="1" applyAlignment="1">
      <alignment horizontal="center" vertical="center"/>
    </xf>
    <xf numFmtId="0" fontId="0" fillId="8" borderId="12" xfId="0" applyNumberFormat="1" applyFont="1" applyFill="1" applyBorder="1" applyAlignment="1">
      <alignment vertical="center" wrapText="1"/>
    </xf>
    <xf numFmtId="0" fontId="8" fillId="8" borderId="12" xfId="0" applyNumberFormat="1" applyFont="1" applyFill="1" applyBorder="1" applyAlignment="1">
      <alignment vertical="center" wrapText="1"/>
    </xf>
    <xf numFmtId="0" fontId="0" fillId="8" borderId="12" xfId="0" applyNumberFormat="1" applyFont="1" applyFill="1" applyBorder="1" applyAlignment="1">
      <alignment horizontal="left" vertical="center" wrapText="1" indent="1"/>
    </xf>
    <xf numFmtId="49" fontId="0" fillId="7" borderId="12" xfId="0" applyFont="1" applyFill="1" applyBorder="1" applyAlignment="1" applyProtection="1">
      <alignment horizontal="left" vertical="center" wrapText="1"/>
      <protection locked="0"/>
    </xf>
    <xf numFmtId="0" fontId="17" fillId="0" borderId="12" xfId="0" applyNumberFormat="1" applyFont="1" applyBorder="1" applyAlignment="1">
      <alignment horizontal="left" vertical="center" wrapText="1" indent="1"/>
    </xf>
    <xf numFmtId="0" fontId="8" fillId="8" borderId="17" xfId="0" applyNumberFormat="1" applyFont="1" applyFill="1" applyBorder="1" applyAlignment="1">
      <alignment horizontal="center" vertical="center" wrapText="1"/>
    </xf>
    <xf numFmtId="0" fontId="0" fillId="8" borderId="12" xfId="0" applyNumberFormat="1" applyFont="1" applyFill="1" applyBorder="1" applyAlignment="1">
      <alignment horizontal="center" vertical="center"/>
    </xf>
    <xf numFmtId="0" fontId="62" fillId="0" borderId="0" xfId="0" applyNumberFormat="1" applyFont="1" applyBorder="1" applyAlignment="1">
      <alignment vertical="center" wrapText="1"/>
    </xf>
    <xf numFmtId="0" fontId="0" fillId="8" borderId="12" xfId="0" applyNumberFormat="1" applyFont="1" applyFill="1" applyBorder="1" applyAlignment="1">
      <alignment horizontal="left" vertical="center" wrapText="1" indent="2"/>
    </xf>
    <xf numFmtId="49" fontId="0" fillId="0" borderId="12" xfId="0" applyFont="1" applyBorder="1" applyAlignment="1">
      <alignment horizontal="left" vertical="center" wrapText="1"/>
    </xf>
    <xf numFmtId="49" fontId="17" fillId="8" borderId="12" xfId="0" applyFont="1" applyFill="1" applyBorder="1" applyAlignment="1">
      <alignment horizontal="center" vertical="center"/>
    </xf>
    <xf numFmtId="0" fontId="17" fillId="8" borderId="12" xfId="0" applyNumberFormat="1" applyFont="1" applyFill="1" applyBorder="1" applyAlignment="1">
      <alignment vertical="center" wrapText="1"/>
    </xf>
    <xf numFmtId="0" fontId="17" fillId="8" borderId="12" xfId="0" applyNumberFormat="1" applyFont="1" applyFill="1" applyBorder="1" applyAlignment="1">
      <alignment horizontal="left" vertical="center" wrapText="1" indent="1"/>
    </xf>
    <xf numFmtId="0" fontId="17" fillId="8" borderId="12" xfId="0" applyNumberFormat="1" applyFont="1" applyFill="1" applyBorder="1" applyAlignment="1">
      <alignment horizontal="left" vertical="center" wrapText="1" indent="2"/>
    </xf>
    <xf numFmtId="49" fontId="17" fillId="0" borderId="12" xfId="0" applyFont="1" applyBorder="1" applyAlignment="1">
      <alignment horizontal="left" vertical="center" wrapText="1"/>
    </xf>
    <xf numFmtId="0" fontId="0" fillId="8" borderId="12" xfId="0" applyNumberFormat="1" applyFont="1" applyFill="1" applyBorder="1" applyAlignment="1">
      <alignment horizontal="left" vertical="center" wrapText="1"/>
    </xf>
    <xf numFmtId="49" fontId="0" fillId="4" borderId="12" xfId="0" applyFont="1" applyFill="1" applyBorder="1" applyAlignment="1" applyProtection="1">
      <alignment horizontal="left" vertical="center" wrapText="1"/>
      <protection locked="0"/>
    </xf>
    <xf numFmtId="0" fontId="0" fillId="8" borderId="25" xfId="0" applyNumberFormat="1" applyFont="1" applyFill="1" applyBorder="1" applyAlignment="1">
      <alignment horizontal="left" vertical="center" wrapText="1"/>
    </xf>
    <xf numFmtId="49" fontId="0" fillId="0" borderId="12" xfId="0" applyFont="1" applyBorder="1" applyAlignment="1">
      <alignment horizontal="left" vertical="center" wrapText="1" indent="1"/>
    </xf>
    <xf numFmtId="0" fontId="37" fillId="8" borderId="0" xfId="0" applyNumberFormat="1" applyFont="1" applyFill="1" applyBorder="1" applyAlignment="1">
      <alignment horizontal="center" vertical="center" wrapText="1"/>
    </xf>
    <xf numFmtId="49" fontId="0" fillId="7" borderId="12" xfId="0" applyFont="1" applyFill="1" applyBorder="1" applyAlignment="1" applyProtection="1">
      <alignment horizontal="left" vertical="center" wrapText="1" indent="1"/>
      <protection locked="0"/>
    </xf>
    <xf numFmtId="49" fontId="8" fillId="7" borderId="13" xfId="0" applyFont="1" applyFill="1" applyBorder="1" applyAlignment="1" applyProtection="1">
      <alignment horizontal="left" vertical="center" wrapText="1"/>
      <protection locked="0"/>
    </xf>
    <xf numFmtId="0" fontId="8" fillId="10" borderId="13" xfId="0" applyNumberFormat="1" applyFont="1" applyFill="1" applyBorder="1" applyAlignment="1">
      <alignment horizontal="center"/>
    </xf>
    <xf numFmtId="0" fontId="64" fillId="10" borderId="19" xfId="0" applyNumberFormat="1" applyFont="1" applyFill="1" applyBorder="1" applyAlignment="1">
      <alignment horizontal="left" vertical="center"/>
    </xf>
    <xf numFmtId="0" fontId="66" fillId="8" borderId="0" xfId="0" applyNumberFormat="1" applyFont="1" applyFill="1" applyBorder="1" applyAlignment="1"/>
    <xf numFmtId="49" fontId="8" fillId="7" borderId="12" xfId="0" applyFont="1" applyFill="1" applyBorder="1" applyAlignment="1" applyProtection="1">
      <alignment horizontal="left" vertical="center" wrapText="1"/>
      <protection locked="0"/>
    </xf>
    <xf numFmtId="49" fontId="8" fillId="9" borderId="12" xfId="0" applyFont="1" applyFill="1" applyBorder="1" applyAlignment="1">
      <alignment horizontal="left" vertical="center" wrapText="1"/>
    </xf>
    <xf numFmtId="49" fontId="8" fillId="8" borderId="0" xfId="0" applyFont="1" applyFill="1" applyBorder="1" applyAlignment="1">
      <alignment horizontal="center" vertical="center" wrapText="1"/>
    </xf>
    <xf numFmtId="0" fontId="8" fillId="8" borderId="17" xfId="0" applyNumberFormat="1" applyFont="1" applyFill="1" applyBorder="1" applyAlignment="1">
      <alignment vertical="center" wrapText="1"/>
    </xf>
    <xf numFmtId="0" fontId="0" fillId="8" borderId="13" xfId="0" applyNumberFormat="1" applyFont="1" applyFill="1" applyBorder="1" applyAlignment="1">
      <alignment horizontal="left" vertical="center" wrapText="1" indent="1"/>
    </xf>
    <xf numFmtId="49" fontId="8" fillId="9" borderId="13" xfId="0" applyFont="1" applyFill="1" applyBorder="1" applyAlignment="1">
      <alignment horizontal="left" vertical="center" wrapText="1"/>
    </xf>
    <xf numFmtId="0" fontId="0" fillId="8" borderId="12" xfId="0" applyNumberFormat="1" applyFont="1" applyFill="1" applyBorder="1" applyAlignment="1">
      <alignment vertical="top" wrapText="1"/>
    </xf>
    <xf numFmtId="0" fontId="64" fillId="10" borderId="10" xfId="0" applyNumberFormat="1" applyFont="1" applyFill="1" applyBorder="1" applyAlignment="1">
      <alignment horizontal="left" vertical="center"/>
    </xf>
    <xf numFmtId="0" fontId="0" fillId="8" borderId="13" xfId="0" applyNumberFormat="1" applyFont="1" applyFill="1" applyBorder="1" applyAlignment="1">
      <alignment horizontal="left" vertical="center" wrapText="1"/>
    </xf>
    <xf numFmtId="0" fontId="0" fillId="8" borderId="18" xfId="0" applyNumberFormat="1" applyFont="1" applyFill="1" applyBorder="1" applyAlignment="1">
      <alignment vertical="center" wrapText="1"/>
    </xf>
    <xf numFmtId="0" fontId="8" fillId="0" borderId="0" xfId="0" applyNumberFormat="1" applyFont="1" applyBorder="1" applyAlignment="1">
      <alignment vertical="top" wrapText="1"/>
    </xf>
    <xf numFmtId="0" fontId="47" fillId="0" borderId="0" xfId="0" applyNumberFormat="1" applyFont="1" applyBorder="1" applyAlignment="1">
      <alignment horizontal="right" vertical="top" wrapText="1"/>
    </xf>
    <xf numFmtId="0" fontId="67" fillId="8" borderId="0" xfId="0" applyNumberFormat="1" applyFont="1" applyFill="1" applyBorder="1" applyAlignment="1"/>
    <xf numFmtId="0" fontId="55" fillId="8" borderId="0" xfId="0" applyNumberFormat="1" applyFont="1" applyFill="1" applyBorder="1" applyAlignment="1">
      <alignment horizontal="center"/>
    </xf>
    <xf numFmtId="0" fontId="55" fillId="8" borderId="0" xfId="0" applyNumberFormat="1" applyFont="1" applyFill="1" applyBorder="1" applyAlignment="1"/>
    <xf numFmtId="0" fontId="68" fillId="8" borderId="0" xfId="0" applyNumberFormat="1" applyFont="1" applyFill="1" applyBorder="1" applyAlignment="1">
      <alignment horizontal="right" vertical="center"/>
    </xf>
    <xf numFmtId="0" fontId="69" fillId="8" borderId="0" xfId="0" applyNumberFormat="1" applyFont="1" applyFill="1" applyBorder="1" applyAlignment="1">
      <alignment vertical="center"/>
    </xf>
    <xf numFmtId="0" fontId="68" fillId="8" borderId="0" xfId="0" applyNumberFormat="1" applyFont="1" applyFill="1" applyBorder="1" applyAlignment="1">
      <alignment horizontal="right" vertical="top"/>
    </xf>
    <xf numFmtId="0" fontId="69" fillId="8" borderId="0" xfId="0" applyNumberFormat="1" applyFont="1" applyFill="1" applyBorder="1" applyAlignment="1">
      <alignment vertical="center" wrapText="1"/>
    </xf>
    <xf numFmtId="0" fontId="21" fillId="8" borderId="0" xfId="0" applyNumberFormat="1" applyFont="1" applyFill="1" applyBorder="1" applyAlignment="1">
      <alignment horizontal="center" vertical="center" wrapText="1"/>
    </xf>
    <xf numFmtId="0" fontId="21" fillId="8" borderId="0" xfId="0" applyNumberFormat="1" applyFont="1" applyFill="1" applyBorder="1" applyAlignment="1">
      <alignment horizontal="right" vertical="center" wrapText="1"/>
    </xf>
    <xf numFmtId="0" fontId="7" fillId="0" borderId="0" xfId="0" applyNumberFormat="1" applyFont="1" applyBorder="1" applyAlignment="1">
      <alignment horizontal="left" vertical="center" wrapText="1" indent="3"/>
    </xf>
    <xf numFmtId="0" fontId="58" fillId="0" borderId="0" xfId="0" applyNumberFormat="1" applyFont="1" applyBorder="1" applyAlignment="1">
      <alignment horizontal="center" vertical="center" wrapText="1"/>
    </xf>
    <xf numFmtId="0" fontId="18" fillId="0" borderId="0" xfId="0" applyNumberFormat="1" applyFont="1" applyBorder="1" applyAlignment="1">
      <alignment vertical="center" wrapText="1"/>
    </xf>
    <xf numFmtId="0" fontId="70" fillId="8" borderId="0" xfId="0" applyNumberFormat="1" applyFont="1" applyFill="1" applyBorder="1" applyAlignment="1">
      <alignment horizontal="center" vertical="center" wrapText="1"/>
    </xf>
    <xf numFmtId="0" fontId="20" fillId="0" borderId="0" xfId="0" applyNumberFormat="1" applyFont="1" applyBorder="1" applyAlignment="1">
      <alignment horizontal="left" vertical="center" wrapText="1" indent="1"/>
    </xf>
    <xf numFmtId="0" fontId="8" fillId="0" borderId="0" xfId="0" applyNumberFormat="1" applyFont="1" applyBorder="1" applyAlignment="1">
      <alignment horizontal="right" vertical="center"/>
    </xf>
    <xf numFmtId="0" fontId="0" fillId="0" borderId="25"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43" fillId="8" borderId="0" xfId="0" applyNumberFormat="1" applyFont="1" applyFill="1" applyBorder="1" applyAlignment="1">
      <alignment horizontal="center" vertical="center" wrapText="1"/>
    </xf>
    <xf numFmtId="49" fontId="43" fillId="8" borderId="0" xfId="0" applyFont="1" applyFill="1" applyBorder="1" applyAlignment="1">
      <alignment horizontal="center" vertical="center" wrapText="1"/>
    </xf>
    <xf numFmtId="0" fontId="71" fillId="8" borderId="0" xfId="0" applyNumberFormat="1" applyFont="1" applyFill="1" applyBorder="1" applyAlignment="1">
      <alignment horizontal="center" vertical="center" wrapText="1"/>
    </xf>
    <xf numFmtId="49" fontId="39" fillId="0" borderId="25" xfId="0" applyFont="1" applyBorder="1" applyAlignment="1">
      <alignment horizontal="left" vertical="center" wrapText="1"/>
    </xf>
    <xf numFmtId="49" fontId="39" fillId="0" borderId="12" xfId="0" applyFont="1" applyBorder="1" applyAlignment="1">
      <alignment horizontal="left" vertical="center" wrapText="1"/>
    </xf>
    <xf numFmtId="49" fontId="0" fillId="0" borderId="12" xfId="0" applyFont="1" applyBorder="1" applyAlignment="1">
      <alignment vertical="top" wrapText="1"/>
    </xf>
    <xf numFmtId="49" fontId="0" fillId="0" borderId="12" xfId="0" applyFont="1" applyBorder="1" applyAlignment="1">
      <alignment horizontal="center" vertical="center" wrapText="1"/>
    </xf>
    <xf numFmtId="0" fontId="8" fillId="9" borderId="13" xfId="0" applyNumberFormat="1" applyFont="1" applyFill="1" applyBorder="1" applyAlignment="1">
      <alignment horizontal="left" vertical="center" wrapText="1"/>
    </xf>
    <xf numFmtId="49" fontId="43" fillId="8" borderId="12" xfId="0" applyFont="1" applyFill="1" applyBorder="1" applyAlignment="1">
      <alignment horizontal="center" vertical="center" wrapText="1"/>
    </xf>
    <xf numFmtId="4" fontId="0" fillId="7" borderId="12" xfId="0" applyNumberFormat="1" applyFont="1" applyFill="1" applyBorder="1" applyAlignment="1" applyProtection="1">
      <alignment horizontal="right" vertical="center" wrapText="1"/>
      <protection locked="0"/>
    </xf>
    <xf numFmtId="3" fontId="0" fillId="7" borderId="12" xfId="0" applyNumberFormat="1" applyFont="1" applyFill="1" applyBorder="1" applyAlignment="1" applyProtection="1">
      <alignment horizontal="right" vertical="center" wrapText="1"/>
      <protection locked="0"/>
    </xf>
    <xf numFmtId="4" fontId="0" fillId="7" borderId="19" xfId="0" applyNumberFormat="1" applyFont="1" applyFill="1" applyBorder="1" applyAlignment="1" applyProtection="1">
      <alignment horizontal="right" vertical="center" wrapText="1"/>
      <protection locked="0"/>
    </xf>
    <xf numFmtId="0" fontId="0" fillId="4" borderId="12" xfId="0" applyNumberFormat="1" applyFont="1" applyFill="1" applyBorder="1" applyAlignment="1" applyProtection="1">
      <alignment horizontal="right" vertical="center" wrapText="1"/>
      <protection locked="0"/>
    </xf>
    <xf numFmtId="3" fontId="0" fillId="0" borderId="19" xfId="0" applyNumberFormat="1" applyFont="1" applyBorder="1" applyAlignment="1">
      <alignment horizontal="right" vertical="center" wrapText="1"/>
    </xf>
    <xf numFmtId="49" fontId="23" fillId="10" borderId="13" xfId="0" applyFont="1" applyFill="1" applyBorder="1" applyAlignment="1">
      <alignment horizontal="center" vertical="center"/>
    </xf>
    <xf numFmtId="0" fontId="46" fillId="10" borderId="10" xfId="0" applyNumberFormat="1" applyFont="1" applyFill="1" applyBorder="1" applyAlignment="1">
      <alignment vertical="center"/>
    </xf>
    <xf numFmtId="49" fontId="46" fillId="10" borderId="10" xfId="0" applyFont="1" applyFill="1" applyBorder="1" applyAlignment="1">
      <alignment vertical="center"/>
    </xf>
    <xf numFmtId="49" fontId="64" fillId="10" borderId="10" xfId="0" applyFont="1" applyFill="1" applyBorder="1" applyAlignment="1">
      <alignment vertical="center"/>
    </xf>
    <xf numFmtId="49" fontId="64" fillId="10" borderId="19" xfId="0" applyFont="1" applyFill="1" applyBorder="1" applyAlignment="1">
      <alignment vertical="center"/>
    </xf>
    <xf numFmtId="0" fontId="37" fillId="8" borderId="12" xfId="0" applyNumberFormat="1" applyFont="1" applyFill="1" applyBorder="1" applyAlignment="1">
      <alignment horizontal="center" vertical="center" wrapText="1"/>
    </xf>
    <xf numFmtId="3" fontId="8" fillId="7" borderId="12" xfId="0" applyNumberFormat="1" applyFont="1" applyFill="1" applyBorder="1" applyAlignment="1" applyProtection="1">
      <alignment horizontal="right" vertical="center" wrapText="1"/>
      <protection locked="0"/>
    </xf>
    <xf numFmtId="0" fontId="8" fillId="0" borderId="14" xfId="0" applyNumberFormat="1" applyFont="1" applyBorder="1" applyAlignment="1">
      <alignment horizontal="left" vertical="top" wrapText="1" indent="1"/>
    </xf>
    <xf numFmtId="0" fontId="27" fillId="0" borderId="12" xfId="0" applyNumberFormat="1" applyFont="1" applyBorder="1" applyAlignment="1">
      <alignment horizontal="left" vertical="top" wrapText="1"/>
    </xf>
    <xf numFmtId="0" fontId="20" fillId="8" borderId="0" xfId="0" applyNumberFormat="1" applyFont="1" applyFill="1" applyBorder="1" applyAlignment="1">
      <alignment horizontal="right" vertical="center"/>
    </xf>
    <xf numFmtId="0" fontId="20" fillId="8" borderId="0" xfId="0" applyNumberFormat="1" applyFont="1" applyFill="1" applyBorder="1" applyAlignment="1">
      <alignment horizontal="right" vertical="center" wrapText="1"/>
    </xf>
    <xf numFmtId="0" fontId="7" fillId="0" borderId="0" xfId="0" applyNumberFormat="1" applyFont="1" applyBorder="1" applyAlignment="1">
      <alignment horizontal="center" vertical="center" wrapText="1"/>
    </xf>
    <xf numFmtId="4" fontId="20" fillId="0" borderId="0" xfId="0" applyNumberFormat="1" applyFont="1" applyBorder="1" applyAlignment="1">
      <alignment horizontal="right" vertical="center" wrapText="1"/>
    </xf>
    <xf numFmtId="0" fontId="8" fillId="8" borderId="12" xfId="0" applyNumberFormat="1" applyFont="1" applyFill="1" applyBorder="1" applyAlignment="1">
      <alignment horizontal="center" vertical="center" wrapText="1"/>
    </xf>
    <xf numFmtId="49" fontId="43" fillId="8" borderId="10" xfId="0" applyFont="1" applyFill="1" applyBorder="1" applyAlignment="1">
      <alignment horizontal="center" vertical="center" wrapText="1"/>
    </xf>
    <xf numFmtId="49" fontId="8" fillId="0" borderId="12" xfId="0" applyFont="1" applyBorder="1" applyAlignment="1">
      <alignment horizontal="left" vertical="center" wrapText="1"/>
    </xf>
    <xf numFmtId="0" fontId="37" fillId="8" borderId="17" xfId="0" applyNumberFormat="1" applyFont="1" applyFill="1" applyBorder="1" applyAlignment="1">
      <alignment vertical="top" wrapText="1"/>
    </xf>
    <xf numFmtId="14" fontId="8" fillId="10" borderId="10" xfId="0" applyNumberFormat="1" applyFont="1" applyFill="1" applyBorder="1" applyAlignment="1">
      <alignment horizontal="center" vertical="center" wrapText="1"/>
    </xf>
    <xf numFmtId="14" fontId="57" fillId="10" borderId="10" xfId="0" applyNumberFormat="1" applyFont="1" applyFill="1" applyBorder="1" applyAlignment="1">
      <alignment horizontal="center" vertical="center" wrapText="1"/>
    </xf>
    <xf numFmtId="49" fontId="28" fillId="10" borderId="19" xfId="0" applyFont="1" applyFill="1" applyBorder="1" applyAlignment="1">
      <alignment horizontal="left" vertical="center" wrapText="1"/>
    </xf>
    <xf numFmtId="0" fontId="17" fillId="0" borderId="0" xfId="0" applyNumberFormat="1" applyFont="1" applyBorder="1" applyAlignment="1">
      <alignment horizontal="left" vertical="center" wrapText="1"/>
    </xf>
    <xf numFmtId="49" fontId="17" fillId="0" borderId="0" xfId="0" applyFont="1" applyBorder="1" applyAlignment="1">
      <alignment horizontal="left" vertical="center" wrapText="1"/>
    </xf>
    <xf numFmtId="0" fontId="37" fillId="8" borderId="0" xfId="0" applyNumberFormat="1" applyFont="1" applyFill="1" applyBorder="1" applyAlignment="1">
      <alignment vertical="top" wrapText="1"/>
    </xf>
    <xf numFmtId="0" fontId="17" fillId="8" borderId="18" xfId="0" applyNumberFormat="1" applyFont="1" applyFill="1" applyBorder="1" applyAlignment="1">
      <alignment horizontal="center" vertical="center" wrapText="1"/>
    </xf>
    <xf numFmtId="14" fontId="8" fillId="9" borderId="18" xfId="0" applyNumberFormat="1" applyFont="1" applyFill="1" applyBorder="1" applyAlignment="1">
      <alignment horizontal="left" vertical="center" wrapText="1"/>
    </xf>
    <xf numFmtId="14" fontId="8" fillId="9" borderId="12" xfId="0" applyNumberFormat="1" applyFont="1" applyFill="1" applyBorder="1" applyAlignment="1">
      <alignment horizontal="center" vertical="center" wrapText="1"/>
    </xf>
    <xf numFmtId="49" fontId="28" fillId="7" borderId="12" xfId="0" applyFont="1" applyFill="1" applyBorder="1" applyAlignment="1" applyProtection="1">
      <alignment horizontal="left" vertical="center" wrapText="1"/>
      <protection locked="0"/>
    </xf>
    <xf numFmtId="49" fontId="23" fillId="10" borderId="10" xfId="0" applyFont="1" applyFill="1" applyBorder="1" applyAlignment="1">
      <alignment horizontal="center" vertical="center"/>
    </xf>
    <xf numFmtId="49" fontId="64" fillId="10" borderId="10" xfId="0" applyFont="1" applyFill="1" applyBorder="1" applyAlignment="1">
      <alignment horizontal="left" vertical="center" indent="1"/>
    </xf>
    <xf numFmtId="49" fontId="64" fillId="10" borderId="19" xfId="0" applyFont="1" applyFill="1" applyBorder="1" applyAlignment="1">
      <alignment horizontal="left" vertical="center" indent="1"/>
    </xf>
    <xf numFmtId="0" fontId="70" fillId="0" borderId="0" xfId="0" applyNumberFormat="1" applyFont="1" applyBorder="1" applyAlignment="1">
      <alignment horizontal="center" vertical="center" wrapText="1"/>
    </xf>
    <xf numFmtId="0" fontId="47" fillId="0" borderId="0" xfId="0" applyNumberFormat="1" applyFont="1" applyBorder="1" applyAlignment="1">
      <alignment vertical="top" wrapText="1"/>
    </xf>
    <xf numFmtId="0" fontId="8" fillId="0" borderId="0" xfId="0" applyNumberFormat="1" applyFont="1" applyBorder="1" applyAlignment="1">
      <alignment horizontal="right" vertical="top" wrapText="1"/>
    </xf>
    <xf numFmtId="0" fontId="47" fillId="0" borderId="0" xfId="0" applyNumberFormat="1" applyFont="1" applyBorder="1" applyAlignment="1">
      <alignment vertical="top"/>
    </xf>
    <xf numFmtId="0" fontId="72" fillId="0" borderId="0" xfId="0" applyNumberFormat="1" applyFont="1" applyBorder="1" applyAlignment="1">
      <alignment vertical="center" wrapText="1"/>
    </xf>
    <xf numFmtId="0" fontId="15" fillId="0" borderId="0" xfId="0" applyNumberFormat="1" applyFont="1" applyBorder="1" applyAlignment="1">
      <alignment horizontal="left" vertical="center" indent="1"/>
    </xf>
    <xf numFmtId="0" fontId="15" fillId="0" borderId="0" xfId="0" applyNumberFormat="1" applyFont="1" applyBorder="1" applyAlignment="1">
      <alignment horizontal="center" vertical="center"/>
    </xf>
    <xf numFmtId="0" fontId="15" fillId="0" borderId="0" xfId="0" applyNumberFormat="1" applyFont="1" applyBorder="1" applyAlignment="1">
      <alignment horizontal="left" vertical="center" wrapText="1"/>
    </xf>
    <xf numFmtId="49" fontId="8" fillId="0" borderId="17" xfId="0" applyFont="1" applyBorder="1" applyAlignment="1">
      <alignment vertical="top"/>
    </xf>
    <xf numFmtId="0" fontId="8" fillId="8" borderId="12" xfId="0" applyNumberFormat="1" applyFont="1" applyFill="1" applyBorder="1" applyAlignment="1">
      <alignment horizontal="left" vertical="center" wrapText="1"/>
    </xf>
    <xf numFmtId="0" fontId="8" fillId="0" borderId="12" xfId="0" applyNumberFormat="1" applyFont="1" applyBorder="1" applyAlignment="1">
      <alignment vertical="center" wrapText="1"/>
    </xf>
    <xf numFmtId="0" fontId="8" fillId="0" borderId="12" xfId="0" applyNumberFormat="1" applyFont="1" applyBorder="1" applyAlignment="1">
      <alignment horizontal="left" vertical="center" wrapText="1" indent="6"/>
    </xf>
    <xf numFmtId="0" fontId="73" fillId="0" borderId="12" xfId="0" applyNumberFormat="1" applyFont="1" applyBorder="1" applyAlignment="1">
      <alignment vertical="top" wrapText="1"/>
    </xf>
    <xf numFmtId="0" fontId="42" fillId="8" borderId="0" xfId="0" applyNumberFormat="1" applyFont="1" applyFill="1" applyBorder="1" applyAlignment="1">
      <alignment horizontal="center" vertical="center" wrapText="1"/>
    </xf>
    <xf numFmtId="0" fontId="8" fillId="0" borderId="17" xfId="0" applyNumberFormat="1" applyFont="1" applyBorder="1" applyAlignment="1">
      <alignment vertical="center" wrapText="1"/>
    </xf>
    <xf numFmtId="0" fontId="8" fillId="8" borderId="12" xfId="0" applyNumberFormat="1" applyFont="1" applyFill="1" applyBorder="1" applyAlignment="1">
      <alignment horizontal="left" vertical="center" wrapText="1" indent="1"/>
    </xf>
    <xf numFmtId="0" fontId="37" fillId="0" borderId="0" xfId="0" applyNumberFormat="1" applyFont="1" applyBorder="1" applyAlignment="1">
      <alignment vertical="center" wrapText="1"/>
    </xf>
    <xf numFmtId="0" fontId="8" fillId="8" borderId="12" xfId="0" applyNumberFormat="1" applyFont="1" applyFill="1" applyBorder="1" applyAlignment="1">
      <alignment horizontal="left" vertical="center" wrapText="1" indent="2"/>
    </xf>
    <xf numFmtId="0" fontId="8" fillId="8" borderId="12" xfId="0" applyNumberFormat="1" applyFont="1" applyFill="1" applyBorder="1" applyAlignment="1">
      <alignment horizontal="left" vertical="center" wrapText="1" indent="3"/>
    </xf>
    <xf numFmtId="0" fontId="15" fillId="0" borderId="12" xfId="0" applyNumberFormat="1" applyFont="1" applyBorder="1" applyAlignment="1">
      <alignment horizontal="center" vertical="center" wrapText="1"/>
    </xf>
    <xf numFmtId="0" fontId="17" fillId="0" borderId="17" xfId="0" applyNumberFormat="1" applyFont="1" applyBorder="1" applyAlignment="1">
      <alignment horizontal="center" vertical="center" wrapText="1"/>
    </xf>
    <xf numFmtId="0" fontId="8" fillId="8" borderId="12" xfId="0" applyNumberFormat="1" applyFont="1" applyFill="1" applyBorder="1" applyAlignment="1">
      <alignment horizontal="left" vertical="center" wrapText="1" indent="4"/>
    </xf>
    <xf numFmtId="0" fontId="8" fillId="9" borderId="12" xfId="0" applyNumberFormat="1" applyFont="1" applyFill="1" applyBorder="1" applyAlignment="1">
      <alignment horizontal="left" vertical="center" wrapText="1"/>
    </xf>
    <xf numFmtId="0" fontId="17" fillId="0" borderId="17" xfId="0" applyNumberFormat="1" applyFont="1" applyBorder="1" applyAlignment="1">
      <alignment vertical="center" wrapText="1"/>
    </xf>
    <xf numFmtId="0" fontId="8" fillId="8" borderId="12" xfId="0" applyNumberFormat="1" applyFont="1" applyFill="1" applyBorder="1" applyAlignment="1">
      <alignment horizontal="left" vertical="center" wrapText="1" indent="5"/>
    </xf>
    <xf numFmtId="0" fontId="8" fillId="9" borderId="12" xfId="0" applyNumberFormat="1" applyFont="1" applyFill="1" applyBorder="1" applyAlignment="1">
      <alignment horizontal="left" vertical="center" wrapText="1" indent="6"/>
    </xf>
    <xf numFmtId="4" fontId="8" fillId="4" borderId="12" xfId="0" applyNumberFormat="1" applyFont="1" applyFill="1" applyBorder="1" applyAlignment="1" applyProtection="1">
      <alignment horizontal="right" vertical="center" wrapText="1"/>
      <protection locked="0"/>
    </xf>
    <xf numFmtId="4" fontId="8" fillId="0" borderId="12" xfId="0" applyNumberFormat="1" applyFont="1" applyBorder="1" applyAlignment="1">
      <alignment horizontal="right" vertical="center" wrapText="1"/>
    </xf>
    <xf numFmtId="166" fontId="8" fillId="4" borderId="12" xfId="0" applyNumberFormat="1" applyFont="1" applyFill="1" applyBorder="1" applyAlignment="1" applyProtection="1">
      <alignment horizontal="right" vertical="center" wrapText="1"/>
      <protection locked="0"/>
    </xf>
    <xf numFmtId="164" fontId="0" fillId="7" borderId="12" xfId="0" applyNumberFormat="1" applyFont="1" applyFill="1" applyBorder="1" applyAlignment="1" applyProtection="1">
      <alignment horizontal="center" vertical="center" wrapText="1"/>
      <protection locked="0"/>
    </xf>
    <xf numFmtId="4" fontId="17" fillId="0" borderId="12" xfId="0" applyNumberFormat="1" applyFont="1" applyBorder="1" applyAlignment="1">
      <alignment horizontal="center" vertical="center" wrapText="1"/>
    </xf>
    <xf numFmtId="49" fontId="64" fillId="10" borderId="13" xfId="0" applyFont="1" applyFill="1" applyBorder="1" applyAlignment="1">
      <alignment horizontal="left" vertical="center"/>
    </xf>
    <xf numFmtId="49" fontId="46" fillId="10" borderId="10" xfId="0" applyFont="1" applyFill="1" applyBorder="1" applyAlignment="1">
      <alignment horizontal="left" vertical="center" indent="6"/>
    </xf>
    <xf numFmtId="49" fontId="8" fillId="10" borderId="19" xfId="0" applyFont="1" applyFill="1" applyBorder="1" applyAlignment="1">
      <alignment horizontal="center" vertical="center" wrapText="1"/>
    </xf>
    <xf numFmtId="49" fontId="46" fillId="10" borderId="10" xfId="0" applyFont="1" applyFill="1" applyBorder="1" applyAlignment="1">
      <alignment horizontal="left" vertical="center" indent="5"/>
    </xf>
    <xf numFmtId="49" fontId="0" fillId="10" borderId="10" xfId="0" applyFont="1" applyFill="1" applyBorder="1" applyAlignment="1">
      <alignment horizontal="center" vertical="center" wrapText="1"/>
    </xf>
    <xf numFmtId="49" fontId="0" fillId="10" borderId="19" xfId="0" applyFont="1" applyFill="1" applyBorder="1" applyAlignment="1">
      <alignment horizontal="center" vertical="center" wrapText="1"/>
    </xf>
    <xf numFmtId="49" fontId="72" fillId="0" borderId="0" xfId="0" applyFont="1" applyBorder="1" applyAlignment="1">
      <alignment vertical="top"/>
    </xf>
    <xf numFmtId="49" fontId="46" fillId="10" borderId="10" xfId="0" applyFont="1" applyFill="1" applyBorder="1" applyAlignment="1">
      <alignment horizontal="left" vertical="center" indent="4"/>
    </xf>
    <xf numFmtId="49" fontId="74" fillId="0" borderId="0" xfId="0" applyFont="1" applyBorder="1" applyAlignment="1">
      <alignment vertical="top"/>
    </xf>
    <xf numFmtId="49" fontId="75" fillId="0" borderId="14" xfId="0" applyFont="1" applyBorder="1" applyAlignment="1">
      <alignment horizontal="left" vertical="center"/>
    </xf>
    <xf numFmtId="49" fontId="17" fillId="0" borderId="14" xfId="0" applyFont="1" applyBorder="1" applyAlignment="1">
      <alignment horizontal="left" vertical="center" indent="3"/>
    </xf>
    <xf numFmtId="49" fontId="17" fillId="0" borderId="14" xfId="0" applyFont="1" applyBorder="1" applyAlignment="1">
      <alignment horizontal="center" vertical="center" wrapText="1"/>
    </xf>
    <xf numFmtId="49" fontId="17" fillId="0" borderId="0" xfId="0" applyFont="1" applyBorder="1" applyAlignment="1">
      <alignment horizontal="left" vertical="center"/>
    </xf>
    <xf numFmtId="49" fontId="75" fillId="0" borderId="0" xfId="0" applyFont="1" applyBorder="1" applyAlignment="1">
      <alignment horizontal="left" vertical="center"/>
    </xf>
    <xf numFmtId="49" fontId="17" fillId="0" borderId="0" xfId="0" applyFont="1" applyBorder="1" applyAlignment="1">
      <alignment horizontal="left" vertical="center" indent="2"/>
    </xf>
    <xf numFmtId="49" fontId="17" fillId="0" borderId="0" xfId="0" applyFont="1" applyBorder="1" applyAlignment="1">
      <alignment horizontal="center" vertical="center" wrapText="1"/>
    </xf>
    <xf numFmtId="49" fontId="17" fillId="0" borderId="0" xfId="0" applyFont="1" applyBorder="1" applyAlignment="1">
      <alignment horizontal="left" vertical="center" indent="1"/>
    </xf>
    <xf numFmtId="4" fontId="15" fillId="0" borderId="12" xfId="0" applyNumberFormat="1" applyFont="1" applyBorder="1" applyAlignment="1">
      <alignment horizontal="right" vertical="center" wrapText="1"/>
    </xf>
    <xf numFmtId="166" fontId="15" fillId="0" borderId="12" xfId="0" applyNumberFormat="1" applyFont="1" applyBorder="1" applyAlignment="1">
      <alignment horizontal="right" vertical="center" wrapText="1"/>
    </xf>
    <xf numFmtId="49" fontId="15" fillId="0" borderId="12" xfId="0" applyFont="1" applyBorder="1" applyAlignment="1">
      <alignment vertical="center" wrapText="1"/>
    </xf>
    <xf numFmtId="0" fontId="76" fillId="0" borderId="0" xfId="0" applyNumberFormat="1" applyFont="1" applyBorder="1" applyAlignment="1">
      <alignment vertical="center" wrapText="1"/>
    </xf>
    <xf numFmtId="0" fontId="72" fillId="8" borderId="0" xfId="0" applyNumberFormat="1" applyFont="1" applyFill="1" applyBorder="1" applyAlignment="1">
      <alignment vertical="center" wrapText="1"/>
    </xf>
    <xf numFmtId="0" fontId="8" fillId="8" borderId="0" xfId="0" applyNumberFormat="1" applyFont="1" applyFill="1" applyBorder="1" applyAlignment="1">
      <alignment horizontal="left" vertical="center" wrapText="1"/>
    </xf>
    <xf numFmtId="0" fontId="23" fillId="8" borderId="0" xfId="0" applyNumberFormat="1" applyFont="1" applyFill="1" applyBorder="1" applyAlignment="1">
      <alignment horizontal="center" vertical="center" wrapText="1"/>
    </xf>
    <xf numFmtId="0" fontId="0" fillId="8" borderId="12" xfId="0" applyNumberFormat="1" applyFont="1" applyFill="1" applyBorder="1" applyAlignment="1">
      <alignment horizontal="right" vertical="center" wrapText="1" indent="1"/>
    </xf>
    <xf numFmtId="0" fontId="0" fillId="0" borderId="10" xfId="0" applyNumberFormat="1" applyFont="1" applyBorder="1" applyAlignment="1">
      <alignment vertical="center"/>
    </xf>
    <xf numFmtId="0" fontId="77" fillId="0" borderId="0" xfId="0" applyNumberFormat="1" applyFont="1" applyBorder="1" applyAlignment="1">
      <alignment vertical="center"/>
    </xf>
    <xf numFmtId="0" fontId="8" fillId="8" borderId="21" xfId="0" applyNumberFormat="1" applyFont="1" applyFill="1" applyBorder="1" applyAlignment="1">
      <alignment vertical="center" wrapText="1"/>
    </xf>
    <xf numFmtId="0" fontId="8" fillId="0" borderId="25" xfId="0" applyNumberFormat="1" applyFont="1" applyBorder="1" applyAlignment="1">
      <alignment vertical="center" wrapText="1"/>
    </xf>
    <xf numFmtId="0" fontId="8" fillId="0" borderId="30" xfId="0" applyNumberFormat="1" applyFont="1" applyBorder="1" applyAlignment="1">
      <alignment vertical="center" wrapText="1"/>
    </xf>
    <xf numFmtId="0" fontId="8" fillId="0" borderId="18" xfId="0" applyNumberFormat="1" applyFont="1" applyBorder="1" applyAlignment="1">
      <alignment vertical="center" wrapText="1"/>
    </xf>
    <xf numFmtId="49" fontId="39" fillId="0" borderId="0" xfId="0" applyFont="1" applyBorder="1" applyAlignment="1">
      <alignment vertical="center" wrapText="1"/>
    </xf>
    <xf numFmtId="0" fontId="78" fillId="8" borderId="0" xfId="0" applyNumberFormat="1" applyFont="1" applyFill="1" applyBorder="1" applyAlignment="1">
      <alignment vertical="center" wrapText="1"/>
    </xf>
    <xf numFmtId="0" fontId="74" fillId="8" borderId="0" xfId="0" applyNumberFormat="1" applyFont="1" applyFill="1" applyBorder="1" applyAlignment="1">
      <alignment vertical="center" wrapText="1"/>
    </xf>
    <xf numFmtId="49" fontId="71" fillId="8" borderId="14" xfId="0" applyFont="1" applyFill="1" applyBorder="1" applyAlignment="1">
      <alignment horizontal="left" vertical="center" wrapText="1"/>
    </xf>
    <xf numFmtId="49" fontId="71" fillId="8" borderId="14" xfId="0" applyFont="1" applyFill="1" applyBorder="1" applyAlignment="1">
      <alignment horizontal="center" vertical="center" wrapText="1"/>
    </xf>
    <xf numFmtId="0" fontId="17" fillId="8" borderId="14" xfId="0" applyNumberFormat="1" applyFont="1" applyFill="1" applyBorder="1" applyAlignment="1">
      <alignment horizontal="center" vertical="center" wrapText="1"/>
    </xf>
    <xf numFmtId="0" fontId="71" fillId="8" borderId="14" xfId="0" applyNumberFormat="1" applyFont="1" applyFill="1" applyBorder="1" applyAlignment="1">
      <alignment horizontal="center" vertical="center" wrapText="1"/>
    </xf>
    <xf numFmtId="4" fontId="8" fillId="0" borderId="25" xfId="0" applyNumberFormat="1" applyFont="1" applyBorder="1" applyAlignment="1">
      <alignment horizontal="right" vertical="center" wrapText="1"/>
    </xf>
    <xf numFmtId="4" fontId="8" fillId="0" borderId="18" xfId="0" applyNumberFormat="1" applyFont="1" applyBorder="1" applyAlignment="1">
      <alignment horizontal="right" vertical="center" wrapText="1"/>
    </xf>
    <xf numFmtId="0" fontId="8" fillId="0" borderId="0" xfId="0" applyNumberFormat="1" applyFont="1" applyBorder="1" applyAlignment="1">
      <alignment horizontal="left" vertical="top" wrapText="1"/>
    </xf>
    <xf numFmtId="166" fontId="8" fillId="0" borderId="12" xfId="0" applyNumberFormat="1" applyFont="1" applyBorder="1" applyAlignment="1">
      <alignment horizontal="right" vertical="center" wrapText="1"/>
    </xf>
    <xf numFmtId="0" fontId="8" fillId="0" borderId="19" xfId="0" applyNumberFormat="1" applyFont="1" applyBorder="1" applyAlignment="1">
      <alignment horizontal="center" vertical="center" wrapText="1"/>
    </xf>
    <xf numFmtId="0" fontId="17" fillId="0" borderId="12" xfId="0" applyNumberFormat="1" applyFont="1" applyBorder="1" applyAlignment="1">
      <alignment horizontal="left" vertical="center" wrapText="1" indent="4"/>
    </xf>
    <xf numFmtId="0" fontId="17" fillId="0" borderId="12" xfId="0" applyNumberFormat="1" applyFont="1" applyBorder="1" applyAlignment="1">
      <alignment horizontal="left" vertical="center" wrapText="1" indent="6"/>
    </xf>
    <xf numFmtId="0" fontId="17" fillId="0" borderId="12" xfId="0" applyNumberFormat="1" applyFont="1" applyBorder="1" applyAlignment="1">
      <alignment vertical="top" wrapText="1"/>
    </xf>
    <xf numFmtId="49" fontId="75" fillId="0" borderId="13" xfId="0" applyFont="1" applyBorder="1" applyAlignment="1">
      <alignment horizontal="left" vertical="center"/>
    </xf>
    <xf numFmtId="49" fontId="17" fillId="0" borderId="10" xfId="0" applyFont="1" applyBorder="1" applyAlignment="1">
      <alignment horizontal="left" vertical="center" indent="4"/>
    </xf>
    <xf numFmtId="49" fontId="17" fillId="0" borderId="10" xfId="0" applyFont="1" applyBorder="1" applyAlignment="1">
      <alignment horizontal="center" vertical="center" wrapText="1"/>
    </xf>
    <xf numFmtId="49" fontId="17" fillId="0" borderId="19" xfId="0" applyFont="1" applyBorder="1" applyAlignment="1">
      <alignment horizontal="center" vertical="center" wrapText="1"/>
    </xf>
    <xf numFmtId="49" fontId="17" fillId="0" borderId="0" xfId="0" applyFont="1" applyBorder="1" applyAlignment="1">
      <alignment vertical="center" wrapText="1"/>
    </xf>
    <xf numFmtId="0" fontId="15" fillId="0" borderId="0" xfId="0" applyNumberFormat="1" applyFont="1" applyBorder="1" applyAlignment="1">
      <alignment vertical="top" wrapText="1"/>
    </xf>
    <xf numFmtId="0" fontId="8" fillId="0" borderId="0" xfId="0" applyNumberFormat="1" applyFont="1" applyBorder="1" applyAlignment="1">
      <alignment horizontal="center" vertical="center"/>
    </xf>
    <xf numFmtId="166" fontId="8" fillId="4" borderId="13" xfId="0" applyNumberFormat="1" applyFont="1" applyFill="1" applyBorder="1" applyAlignment="1" applyProtection="1">
      <alignment horizontal="right" vertical="center" wrapText="1"/>
      <protection locked="0"/>
    </xf>
    <xf numFmtId="4" fontId="8" fillId="4" borderId="19" xfId="0" applyNumberFormat="1" applyFont="1" applyFill="1" applyBorder="1" applyAlignment="1" applyProtection="1">
      <alignment horizontal="right" vertical="center" wrapText="1"/>
      <protection locked="0"/>
    </xf>
    <xf numFmtId="0" fontId="73" fillId="0" borderId="25" xfId="0" applyNumberFormat="1" applyFont="1" applyBorder="1" applyAlignment="1">
      <alignment vertical="top" wrapText="1"/>
    </xf>
    <xf numFmtId="0" fontId="8" fillId="4" borderId="12" xfId="0" applyNumberFormat="1" applyFont="1" applyFill="1" applyBorder="1" applyAlignment="1" applyProtection="1">
      <alignment horizontal="left" vertical="center" wrapText="1" indent="7"/>
      <protection locked="0"/>
    </xf>
    <xf numFmtId="4" fontId="17" fillId="0" borderId="13" xfId="0" applyNumberFormat="1" applyFont="1" applyBorder="1" applyAlignment="1">
      <alignment horizontal="center" vertical="center" wrapText="1"/>
    </xf>
    <xf numFmtId="4" fontId="8" fillId="0" borderId="19" xfId="0" applyNumberFormat="1" applyFont="1" applyBorder="1" applyAlignment="1">
      <alignment horizontal="right" vertical="center" wrapText="1"/>
    </xf>
    <xf numFmtId="0" fontId="8" fillId="10" borderId="10" xfId="0" applyNumberFormat="1" applyFont="1" applyFill="1" applyBorder="1" applyAlignment="1">
      <alignment horizontal="left" vertical="center" wrapText="1" indent="6"/>
    </xf>
    <xf numFmtId="4" fontId="8" fillId="10" borderId="10" xfId="0" applyNumberFormat="1" applyFont="1" applyFill="1" applyBorder="1" applyAlignment="1">
      <alignment horizontal="right" vertical="center" wrapText="1"/>
    </xf>
    <xf numFmtId="4" fontId="17" fillId="10" borderId="10" xfId="0" applyNumberFormat="1" applyFont="1" applyFill="1" applyBorder="1" applyAlignment="1">
      <alignment horizontal="center" vertical="center" wrapText="1"/>
    </xf>
    <xf numFmtId="4" fontId="8" fillId="10" borderId="19" xfId="0" applyNumberFormat="1" applyFont="1" applyFill="1" applyBorder="1" applyAlignment="1">
      <alignment horizontal="right" vertical="center" wrapText="1"/>
    </xf>
    <xf numFmtId="49" fontId="8" fillId="10" borderId="21" xfId="0" applyFont="1" applyFill="1" applyBorder="1" applyAlignment="1">
      <alignment horizontal="center" vertical="center" wrapText="1"/>
    </xf>
    <xf numFmtId="0" fontId="39" fillId="0" borderId="0" xfId="0" applyNumberFormat="1" applyFont="1" applyBorder="1" applyAlignment="1">
      <alignment horizontal="left" vertical="center" indent="1"/>
    </xf>
    <xf numFmtId="0" fontId="39" fillId="0" borderId="0" xfId="0" applyNumberFormat="1" applyFont="1" applyBorder="1" applyAlignment="1">
      <alignment horizontal="center" vertical="center"/>
    </xf>
    <xf numFmtId="0" fontId="39" fillId="0" borderId="0" xfId="0" applyNumberFormat="1" applyFont="1" applyBorder="1" applyAlignment="1">
      <alignment horizontal="left" vertical="center" wrapText="1"/>
    </xf>
    <xf numFmtId="49" fontId="39" fillId="0" borderId="0" xfId="0" applyFont="1" applyBorder="1" applyAlignment="1">
      <alignment horizontal="left" vertical="center"/>
    </xf>
    <xf numFmtId="49" fontId="8" fillId="0" borderId="12" xfId="0" applyFont="1" applyBorder="1" applyAlignment="1">
      <alignment vertical="center" wrapText="1"/>
    </xf>
    <xf numFmtId="0" fontId="40" fillId="8" borderId="0" xfId="0" applyNumberFormat="1" applyFont="1" applyFill="1" applyBorder="1" applyAlignment="1">
      <alignment horizontal="center" vertical="center" wrapText="1"/>
    </xf>
    <xf numFmtId="0" fontId="17" fillId="0" borderId="12" xfId="0" applyNumberFormat="1" applyFont="1" applyBorder="1" applyAlignment="1">
      <alignment horizontal="left" vertical="center" wrapText="1" indent="5"/>
    </xf>
    <xf numFmtId="0" fontId="8" fillId="0" borderId="12" xfId="0" applyNumberFormat="1" applyFont="1" applyBorder="1" applyAlignment="1">
      <alignment horizontal="left" vertical="center" wrapText="1" indent="4"/>
    </xf>
    <xf numFmtId="166" fontId="8" fillId="10" borderId="19" xfId="0" applyNumberFormat="1" applyFont="1" applyFill="1" applyBorder="1" applyAlignment="1">
      <alignment horizontal="right" vertical="center" wrapText="1"/>
    </xf>
    <xf numFmtId="49" fontId="46" fillId="10" borderId="13" xfId="0" applyFont="1" applyFill="1" applyBorder="1" applyAlignment="1">
      <alignment horizontal="left" vertical="center"/>
    </xf>
    <xf numFmtId="166" fontId="8" fillId="10" borderId="10" xfId="0" applyNumberFormat="1" applyFont="1" applyFill="1" applyBorder="1" applyAlignment="1">
      <alignment horizontal="right" vertical="center" wrapText="1"/>
    </xf>
    <xf numFmtId="4" fontId="8" fillId="0" borderId="30" xfId="0" applyNumberFormat="1" applyFont="1" applyBorder="1" applyAlignment="1">
      <alignment horizontal="right" vertical="center" wrapText="1"/>
    </xf>
    <xf numFmtId="49" fontId="46" fillId="10" borderId="13" xfId="0" applyFont="1" applyFill="1" applyBorder="1" applyAlignment="1">
      <alignment horizontal="left" vertical="center" indent="1"/>
    </xf>
    <xf numFmtId="4" fontId="17" fillId="10" borderId="19" xfId="0" applyNumberFormat="1" applyFont="1" applyFill="1" applyBorder="1" applyAlignment="1">
      <alignment horizontal="center" vertical="center" wrapText="1"/>
    </xf>
    <xf numFmtId="49" fontId="46" fillId="10" borderId="13" xfId="0" applyFont="1" applyFill="1" applyBorder="1" applyAlignment="1">
      <alignment vertical="center" wrapText="1"/>
    </xf>
    <xf numFmtId="49" fontId="46" fillId="10" borderId="10" xfId="0" applyFont="1" applyFill="1" applyBorder="1" applyAlignment="1">
      <alignment vertical="center" wrapText="1"/>
    </xf>
    <xf numFmtId="49" fontId="17" fillId="0" borderId="17" xfId="0" applyFont="1" applyBorder="1" applyAlignment="1">
      <alignment vertical="top"/>
    </xf>
    <xf numFmtId="0" fontId="79" fillId="0" borderId="0" xfId="0" applyNumberFormat="1" applyFont="1" applyBorder="1" applyAlignment="1">
      <alignment horizontal="center" vertical="center" wrapText="1"/>
    </xf>
    <xf numFmtId="49" fontId="17" fillId="0" borderId="0" xfId="0" applyFont="1" applyBorder="1" applyAlignment="1">
      <alignment horizontal="left" vertical="center" wrapText="1" indent="1"/>
    </xf>
    <xf numFmtId="0" fontId="17" fillId="0" borderId="0" xfId="0" applyNumberFormat="1" applyFont="1" applyBorder="1" applyAlignment="1">
      <alignment horizontal="left" vertical="center" wrapText="1" indent="4"/>
    </xf>
    <xf numFmtId="0" fontId="17" fillId="0" borderId="17" xfId="0" applyNumberFormat="1" applyFont="1" applyBorder="1" applyAlignment="1">
      <alignment horizontal="left" vertical="center" wrapText="1" indent="1"/>
    </xf>
    <xf numFmtId="4" fontId="17" fillId="0" borderId="12" xfId="0" applyNumberFormat="1" applyFont="1" applyBorder="1" applyAlignment="1">
      <alignment horizontal="right" vertical="center" wrapText="1"/>
    </xf>
    <xf numFmtId="166" fontId="17" fillId="0" borderId="12" xfId="0" applyNumberFormat="1" applyFont="1" applyBorder="1" applyAlignment="1">
      <alignment horizontal="right" vertical="center" wrapText="1"/>
    </xf>
    <xf numFmtId="164" fontId="17" fillId="0" borderId="12" xfId="0" applyNumberFormat="1" applyFont="1" applyBorder="1" applyAlignment="1">
      <alignment horizontal="center" vertical="center" wrapText="1"/>
    </xf>
    <xf numFmtId="0" fontId="15" fillId="0" borderId="0" xfId="0" applyNumberFormat="1" applyFont="1" applyBorder="1" applyAlignment="1">
      <alignment horizontal="left" vertical="center"/>
    </xf>
    <xf numFmtId="49" fontId="15" fillId="0" borderId="0" xfId="0" applyFont="1" applyBorder="1" applyAlignment="1">
      <alignment horizontal="left" vertical="center"/>
    </xf>
    <xf numFmtId="0" fontId="76" fillId="0" borderId="0" xfId="0" applyNumberFormat="1" applyFont="1" applyBorder="1" applyAlignment="1">
      <alignment horizontal="left" vertical="center"/>
    </xf>
    <xf numFmtId="0" fontId="17" fillId="0" borderId="0" xfId="0" applyNumberFormat="1" applyFont="1" applyBorder="1" applyAlignment="1">
      <alignment horizontal="left" vertical="center"/>
    </xf>
    <xf numFmtId="0" fontId="76" fillId="8" borderId="0" xfId="0" applyNumberFormat="1" applyFont="1" applyFill="1" applyBorder="1" applyAlignment="1">
      <alignment vertical="center" wrapText="1"/>
    </xf>
    <xf numFmtId="0" fontId="8" fillId="8" borderId="13" xfId="0" applyNumberFormat="1" applyFont="1" applyFill="1" applyBorder="1" applyAlignment="1">
      <alignment horizontal="center" vertical="center" wrapText="1"/>
    </xf>
    <xf numFmtId="0" fontId="0" fillId="8" borderId="25" xfId="0" applyNumberFormat="1" applyFont="1" applyFill="1" applyBorder="1" applyAlignment="1">
      <alignment horizontal="center" vertical="center" wrapText="1"/>
    </xf>
    <xf numFmtId="0" fontId="8" fillId="7" borderId="12" xfId="0" applyNumberFormat="1" applyFont="1" applyFill="1" applyBorder="1" applyAlignment="1" applyProtection="1">
      <alignment horizontal="center" vertical="center" wrapText="1"/>
      <protection locked="0"/>
    </xf>
    <xf numFmtId="0" fontId="8" fillId="8" borderId="18" xfId="0" applyNumberFormat="1" applyFont="1" applyFill="1" applyBorder="1" applyAlignment="1">
      <alignment horizontal="center" vertical="center" wrapText="1"/>
    </xf>
    <xf numFmtId="0" fontId="8" fillId="0" borderId="12" xfId="0" applyNumberFormat="1" applyFont="1" applyBorder="1" applyAlignment="1">
      <alignment horizontal="left" vertical="center" wrapText="1" indent="1"/>
    </xf>
    <xf numFmtId="49" fontId="8" fillId="10" borderId="13" xfId="0" applyFont="1" applyFill="1" applyBorder="1" applyAlignment="1">
      <alignment horizontal="center" vertical="center" wrapText="1"/>
    </xf>
    <xf numFmtId="49" fontId="39" fillId="0" borderId="17" xfId="0" applyFont="1" applyBorder="1" applyAlignment="1">
      <alignment vertical="top"/>
    </xf>
    <xf numFmtId="0" fontId="8" fillId="4" borderId="12" xfId="0" applyNumberFormat="1" applyFont="1" applyFill="1" applyBorder="1" applyAlignment="1" applyProtection="1">
      <alignment horizontal="left" vertical="center" wrapText="1"/>
      <protection locked="0"/>
    </xf>
    <xf numFmtId="49" fontId="8" fillId="4" borderId="12" xfId="0" applyFont="1" applyFill="1" applyBorder="1" applyAlignment="1" applyProtection="1">
      <alignment horizontal="left" vertical="center" wrapText="1" indent="6"/>
      <protection locked="0"/>
    </xf>
    <xf numFmtId="4" fontId="8" fillId="0" borderId="22" xfId="0" applyNumberFormat="1" applyFont="1" applyBorder="1" applyAlignment="1">
      <alignment horizontal="right" vertical="center" wrapText="1"/>
    </xf>
    <xf numFmtId="4" fontId="8" fillId="0" borderId="28" xfId="0" applyNumberFormat="1" applyFont="1" applyBorder="1" applyAlignment="1">
      <alignment horizontal="right" vertical="center" wrapText="1"/>
    </xf>
    <xf numFmtId="49" fontId="0" fillId="10" borderId="29" xfId="0" applyFont="1" applyFill="1" applyBorder="1" applyAlignment="1">
      <alignment horizontal="center" vertical="center" wrapText="1"/>
    </xf>
    <xf numFmtId="49" fontId="46" fillId="10" borderId="10" xfId="0" applyFont="1" applyFill="1" applyBorder="1" applyAlignment="1">
      <alignment horizontal="left" vertical="center" indent="3"/>
    </xf>
    <xf numFmtId="0" fontId="80" fillId="0" borderId="0" xfId="0" applyNumberFormat="1" applyFont="1" applyBorder="1" applyAlignment="1">
      <alignment vertical="center" wrapText="1"/>
    </xf>
    <xf numFmtId="0" fontId="27" fillId="0" borderId="25" xfId="0" applyNumberFormat="1" applyFont="1" applyBorder="1" applyAlignment="1">
      <alignment horizontal="center" vertical="center" wrapText="1"/>
    </xf>
    <xf numFmtId="0" fontId="79" fillId="0" borderId="0" xfId="0" applyNumberFormat="1" applyFont="1" applyBorder="1" applyAlignment="1">
      <alignment vertical="center" wrapText="1"/>
    </xf>
    <xf numFmtId="0" fontId="79" fillId="8" borderId="0" xfId="0" applyNumberFormat="1" applyFont="1" applyFill="1" applyBorder="1" applyAlignment="1">
      <alignment horizontal="center" vertical="center" wrapText="1"/>
    </xf>
    <xf numFmtId="0" fontId="17" fillId="8" borderId="12" xfId="0" applyNumberFormat="1" applyFont="1" applyFill="1" applyBorder="1" applyAlignment="1">
      <alignment horizontal="left" vertical="center" wrapText="1" indent="3"/>
    </xf>
    <xf numFmtId="49" fontId="46" fillId="10" borderId="21" xfId="0" applyFont="1" applyFill="1" applyBorder="1" applyAlignment="1">
      <alignment horizontal="left" vertical="center"/>
    </xf>
    <xf numFmtId="0" fontId="8" fillId="0" borderId="21" xfId="0" applyNumberFormat="1" applyFont="1" applyBorder="1" applyAlignment="1">
      <alignment horizontal="left" vertical="center" wrapText="1" indent="1"/>
    </xf>
    <xf numFmtId="49" fontId="12" fillId="0" borderId="0" xfId="0" applyFont="1" applyBorder="1" applyAlignment="1">
      <alignment horizontal="center" vertical="center" wrapText="1"/>
    </xf>
    <xf numFmtId="0" fontId="44" fillId="0" borderId="0" xfId="0" applyNumberFormat="1" applyFont="1" applyBorder="1" applyAlignment="1">
      <alignment vertical="center" wrapText="1"/>
    </xf>
    <xf numFmtId="0" fontId="8" fillId="0" borderId="31" xfId="0" applyNumberFormat="1" applyFont="1" applyBorder="1" applyAlignment="1">
      <alignment horizontal="center" vertical="center" wrapText="1"/>
    </xf>
    <xf numFmtId="0" fontId="8" fillId="7" borderId="12" xfId="0" applyNumberFormat="1" applyFont="1" applyFill="1" applyBorder="1" applyAlignment="1" applyProtection="1">
      <alignment horizontal="left" vertical="center" wrapText="1" indent="2"/>
      <protection locked="0"/>
    </xf>
    <xf numFmtId="0" fontId="27" fillId="0" borderId="12" xfId="0" applyNumberFormat="1" applyFont="1" applyBorder="1" applyAlignment="1">
      <alignment vertical="center" wrapText="1"/>
    </xf>
    <xf numFmtId="0" fontId="81" fillId="0" borderId="0" xfId="0" applyNumberFormat="1" applyFont="1" applyBorder="1" applyAlignment="1">
      <alignment vertical="center" wrapText="1"/>
    </xf>
    <xf numFmtId="0" fontId="17" fillId="0" borderId="31" xfId="0" applyNumberFormat="1" applyFont="1" applyBorder="1" applyAlignment="1">
      <alignment horizontal="center" vertical="center" wrapText="1"/>
    </xf>
    <xf numFmtId="0" fontId="17" fillId="0" borderId="12" xfId="0" applyNumberFormat="1" applyFont="1" applyBorder="1" applyAlignment="1">
      <alignment horizontal="left" vertical="center" wrapText="1" indent="2"/>
    </xf>
    <xf numFmtId="0" fontId="8" fillId="0" borderId="12" xfId="0" applyNumberFormat="1" applyFont="1" applyBorder="1" applyAlignment="1">
      <alignment horizontal="left" vertical="center" wrapText="1" indent="3"/>
    </xf>
    <xf numFmtId="49" fontId="8" fillId="7" borderId="12" xfId="0" applyFont="1" applyFill="1" applyBorder="1" applyAlignment="1" applyProtection="1">
      <alignment horizontal="center" vertical="center" wrapText="1"/>
      <protection locked="0"/>
    </xf>
    <xf numFmtId="49" fontId="8" fillId="0" borderId="0" xfId="0" applyFont="1" applyBorder="1" applyAlignment="1">
      <alignment horizontal="center" vertical="top" wrapText="1"/>
    </xf>
    <xf numFmtId="0" fontId="8" fillId="0" borderId="19" xfId="0" applyNumberFormat="1" applyFont="1" applyBorder="1" applyAlignment="1">
      <alignment vertical="top" wrapText="1"/>
    </xf>
    <xf numFmtId="167" fontId="8" fillId="4" borderId="12" xfId="0" applyNumberFormat="1" applyFont="1" applyFill="1" applyBorder="1" applyAlignment="1" applyProtection="1">
      <alignment horizontal="right" vertical="center" wrapText="1"/>
      <protection locked="0"/>
    </xf>
    <xf numFmtId="0" fontId="8" fillId="0" borderId="15" xfId="0" applyNumberFormat="1" applyFont="1" applyBorder="1" applyAlignment="1">
      <alignment vertical="center" wrapText="1"/>
    </xf>
    <xf numFmtId="0" fontId="8" fillId="0" borderId="0" xfId="0" applyNumberFormat="1" applyFont="1" applyBorder="1" applyAlignment="1">
      <alignment horizontal="left" vertical="center" wrapText="1" indent="3"/>
    </xf>
    <xf numFmtId="0" fontId="75" fillId="8" borderId="0" xfId="0" applyNumberFormat="1" applyFont="1" applyFill="1" applyBorder="1" applyAlignment="1">
      <alignment horizontal="right" vertical="center"/>
    </xf>
    <xf numFmtId="0" fontId="8" fillId="0" borderId="13" xfId="0" applyNumberFormat="1" applyFont="1" applyBorder="1" applyAlignment="1">
      <alignment vertical="center" wrapText="1"/>
    </xf>
    <xf numFmtId="0" fontId="8" fillId="0" borderId="19" xfId="0" applyNumberFormat="1" applyFont="1" applyBorder="1" applyAlignment="1">
      <alignment horizontal="right" vertical="center" wrapText="1" indent="1"/>
    </xf>
    <xf numFmtId="0" fontId="8" fillId="6" borderId="13" xfId="0" applyNumberFormat="1" applyFont="1" applyFill="1" applyBorder="1" applyAlignment="1">
      <alignment horizontal="left" vertical="top" wrapText="1"/>
    </xf>
    <xf numFmtId="0" fontId="8" fillId="0" borderId="10" xfId="0" applyNumberFormat="1" applyFont="1" applyBorder="1" applyAlignment="1">
      <alignment horizontal="right" vertical="center" wrapText="1" indent="1"/>
    </xf>
    <xf numFmtId="0" fontId="8" fillId="0" borderId="12" xfId="0" applyNumberFormat="1" applyFont="1" applyBorder="1" applyAlignment="1">
      <alignment horizontal="left" vertical="center" wrapText="1"/>
    </xf>
    <xf numFmtId="4" fontId="8" fillId="7" borderId="12" xfId="0" applyNumberFormat="1" applyFont="1" applyFill="1" applyBorder="1" applyAlignment="1" applyProtection="1">
      <alignment horizontal="right" vertical="center" wrapText="1"/>
      <protection locked="0"/>
    </xf>
    <xf numFmtId="4" fontId="8" fillId="6" borderId="12" xfId="0" applyNumberFormat="1" applyFont="1" applyFill="1" applyBorder="1" applyAlignment="1">
      <alignment horizontal="right" vertical="center" wrapText="1"/>
    </xf>
    <xf numFmtId="49" fontId="39" fillId="0" borderId="0" xfId="0" applyFont="1" applyBorder="1" applyAlignment="1">
      <alignment horizontal="center" vertical="center" wrapText="1"/>
    </xf>
    <xf numFmtId="49" fontId="39" fillId="0" borderId="31" xfId="0" applyFont="1" applyBorder="1" applyAlignment="1">
      <alignment horizontal="center" vertical="center" wrapText="1"/>
    </xf>
    <xf numFmtId="0" fontId="39" fillId="0" borderId="12" xfId="0" applyNumberFormat="1" applyFont="1" applyBorder="1" applyAlignment="1">
      <alignment horizontal="left" vertical="center" wrapText="1" indent="2"/>
    </xf>
    <xf numFmtId="0" fontId="39" fillId="0" borderId="12" xfId="0" applyNumberFormat="1" applyFont="1" applyBorder="1" applyAlignment="1">
      <alignment horizontal="center" vertical="center" wrapText="1"/>
    </xf>
    <xf numFmtId="0" fontId="39" fillId="0" borderId="12" xfId="0" applyNumberFormat="1" applyFont="1" applyBorder="1" applyAlignment="1">
      <alignment vertical="center" wrapText="1"/>
    </xf>
    <xf numFmtId="0" fontId="82" fillId="0" borderId="0" xfId="0" applyNumberFormat="1" applyFont="1" applyBorder="1" applyAlignment="1">
      <alignment vertical="center" wrapText="1"/>
    </xf>
    <xf numFmtId="0" fontId="39" fillId="0" borderId="31" xfId="0" applyNumberFormat="1" applyFont="1" applyBorder="1" applyAlignment="1">
      <alignment horizontal="center" vertical="center" wrapText="1"/>
    </xf>
    <xf numFmtId="0" fontId="39" fillId="0" borderId="12" xfId="0" applyNumberFormat="1" applyFont="1" applyBorder="1" applyAlignment="1">
      <alignment horizontal="left" vertical="center" wrapText="1" indent="3"/>
    </xf>
    <xf numFmtId="4" fontId="39" fillId="0" borderId="12" xfId="0" applyNumberFormat="1" applyFont="1" applyBorder="1" applyAlignment="1">
      <alignment horizontal="right" vertical="center" wrapText="1"/>
    </xf>
    <xf numFmtId="49" fontId="8" fillId="10" borderId="13" xfId="0" applyFont="1" applyFill="1" applyBorder="1" applyAlignment="1">
      <alignment vertical="center" wrapText="1"/>
    </xf>
    <xf numFmtId="0" fontId="8" fillId="10" borderId="10" xfId="0" applyNumberFormat="1" applyFont="1" applyFill="1" applyBorder="1" applyAlignment="1">
      <alignment vertical="center" wrapText="1"/>
    </xf>
    <xf numFmtId="0" fontId="15" fillId="10" borderId="19" xfId="0" applyNumberFormat="1" applyFont="1" applyFill="1" applyBorder="1" applyAlignment="1">
      <alignment vertical="center" wrapText="1"/>
    </xf>
    <xf numFmtId="0" fontId="8" fillId="0" borderId="12" xfId="0" applyNumberFormat="1" applyFont="1" applyBorder="1" applyAlignment="1">
      <alignment horizontal="left" vertical="center" wrapText="1" indent="2"/>
    </xf>
    <xf numFmtId="14" fontId="8" fillId="0" borderId="0" xfId="0" applyNumberFormat="1" applyFont="1" applyBorder="1" applyAlignment="1">
      <alignment horizontal="center" vertical="center" wrapText="1"/>
    </xf>
    <xf numFmtId="49" fontId="12" fillId="3" borderId="0" xfId="0" applyFont="1" applyFill="1" applyBorder="1" applyAlignment="1">
      <alignment horizontal="center" vertical="center" wrapText="1"/>
    </xf>
    <xf numFmtId="49" fontId="23" fillId="0" borderId="0" xfId="0" applyFont="1" applyBorder="1" applyAlignment="1">
      <alignment horizontal="center" vertical="center"/>
    </xf>
    <xf numFmtId="167" fontId="8" fillId="7" borderId="12" xfId="0" applyNumberFormat="1" applyFont="1" applyFill="1" applyBorder="1" applyAlignment="1" applyProtection="1">
      <alignment horizontal="right" vertical="center" wrapText="1"/>
      <protection locked="0"/>
    </xf>
    <xf numFmtId="49" fontId="12" fillId="0" borderId="0" xfId="0" applyFont="1" applyBorder="1" applyAlignment="1">
      <alignment horizontal="left" vertical="center" wrapText="1"/>
    </xf>
    <xf numFmtId="0" fontId="44" fillId="0" borderId="0" xfId="0" applyNumberFormat="1" applyFont="1" applyBorder="1" applyAlignment="1">
      <alignment horizontal="left" vertical="center" wrapText="1"/>
    </xf>
    <xf numFmtId="4" fontId="8" fillId="6" borderId="25" xfId="0" applyNumberFormat="1" applyFont="1" applyFill="1" applyBorder="1" applyAlignment="1">
      <alignment horizontal="right" vertical="center" wrapText="1"/>
    </xf>
    <xf numFmtId="0" fontId="17" fillId="0" borderId="12" xfId="0" applyNumberFormat="1" applyFont="1" applyBorder="1" applyAlignment="1">
      <alignment horizontal="left" vertical="center" wrapText="1" indent="3"/>
    </xf>
    <xf numFmtId="49" fontId="17" fillId="0" borderId="12" xfId="0" applyFont="1" applyBorder="1" applyAlignment="1">
      <alignment vertical="center" wrapText="1"/>
    </xf>
    <xf numFmtId="0" fontId="17" fillId="0" borderId="25" xfId="0" applyNumberFormat="1" applyFont="1" applyBorder="1" applyAlignment="1">
      <alignment vertical="top" wrapText="1"/>
    </xf>
    <xf numFmtId="4" fontId="8" fillId="7" borderId="19" xfId="0" applyNumberFormat="1" applyFont="1" applyFill="1" applyBorder="1" applyAlignment="1" applyProtection="1">
      <alignment horizontal="right" vertical="center" wrapText="1"/>
      <protection locked="0"/>
    </xf>
    <xf numFmtId="49" fontId="28" fillId="4" borderId="19" xfId="0" applyFont="1" applyFill="1" applyBorder="1" applyAlignment="1" applyProtection="1">
      <alignment horizontal="left" vertical="center" wrapText="1"/>
      <protection locked="0"/>
    </xf>
    <xf numFmtId="49" fontId="28" fillId="4" borderId="12" xfId="0" applyFont="1" applyFill="1" applyBorder="1" applyAlignment="1" applyProtection="1">
      <alignment horizontal="left" vertical="center" wrapText="1"/>
      <protection locked="0"/>
    </xf>
    <xf numFmtId="167" fontId="8" fillId="7" borderId="19" xfId="0" applyNumberFormat="1" applyFont="1" applyFill="1" applyBorder="1" applyAlignment="1" applyProtection="1">
      <alignment horizontal="right" vertical="center" wrapText="1"/>
      <protection locked="0"/>
    </xf>
    <xf numFmtId="167" fontId="8" fillId="6" borderId="19" xfId="0" applyNumberFormat="1" applyFont="1" applyFill="1" applyBorder="1" applyAlignment="1">
      <alignment horizontal="right" vertical="center" wrapText="1"/>
    </xf>
    <xf numFmtId="167" fontId="8" fillId="6" borderId="12" xfId="0" applyNumberFormat="1" applyFont="1" applyFill="1" applyBorder="1" applyAlignment="1">
      <alignment horizontal="right" vertical="center" wrapText="1"/>
    </xf>
    <xf numFmtId="4" fontId="8" fillId="7" borderId="29" xfId="0" applyNumberFormat="1" applyFont="1" applyFill="1" applyBorder="1" applyAlignment="1" applyProtection="1">
      <alignment horizontal="right" vertical="center" wrapText="1"/>
      <protection locked="0"/>
    </xf>
    <xf numFmtId="4" fontId="8" fillId="7" borderId="18" xfId="0" applyNumberFormat="1" applyFont="1" applyFill="1" applyBorder="1" applyAlignment="1" applyProtection="1">
      <alignment horizontal="right" vertical="center" wrapText="1"/>
      <protection locked="0"/>
    </xf>
    <xf numFmtId="0" fontId="17" fillId="0" borderId="30" xfId="0" applyNumberFormat="1" applyFont="1" applyBorder="1" applyAlignment="1">
      <alignment horizontal="left" vertical="center" wrapText="1" indent="1"/>
    </xf>
    <xf numFmtId="0" fontId="17" fillId="0" borderId="30" xfId="0" applyNumberFormat="1" applyFont="1" applyBorder="1" applyAlignment="1">
      <alignment horizontal="center" vertical="center" wrapText="1"/>
    </xf>
    <xf numFmtId="0" fontId="17" fillId="0" borderId="25" xfId="0" applyNumberFormat="1" applyFont="1" applyBorder="1" applyAlignment="1">
      <alignment vertical="center" wrapText="1"/>
    </xf>
    <xf numFmtId="49" fontId="8" fillId="10" borderId="22" xfId="0" applyFont="1" applyFill="1" applyBorder="1" applyAlignment="1">
      <alignment vertical="center" wrapText="1"/>
    </xf>
    <xf numFmtId="49" fontId="46" fillId="10" borderId="14" xfId="0" applyFont="1" applyFill="1" applyBorder="1" applyAlignment="1">
      <alignment horizontal="left" vertical="center" indent="1"/>
    </xf>
    <xf numFmtId="0" fontId="8" fillId="0" borderId="18" xfId="0" applyNumberFormat="1" applyFont="1" applyBorder="1" applyAlignment="1">
      <alignment vertical="top" wrapText="1"/>
    </xf>
    <xf numFmtId="0" fontId="8" fillId="0" borderId="15" xfId="0" applyNumberFormat="1" applyFont="1" applyBorder="1" applyAlignment="1">
      <alignment horizontal="center" vertical="center" wrapText="1"/>
    </xf>
    <xf numFmtId="167" fontId="8" fillId="7" borderId="25" xfId="0" applyNumberFormat="1" applyFont="1" applyFill="1" applyBorder="1" applyAlignment="1" applyProtection="1">
      <alignment horizontal="right" vertical="center" wrapText="1"/>
      <protection locked="0"/>
    </xf>
    <xf numFmtId="0" fontId="17" fillId="0" borderId="18" xfId="0" applyNumberFormat="1" applyFont="1" applyBorder="1" applyAlignment="1">
      <alignment horizontal="left" vertical="center" wrapText="1" indent="1"/>
    </xf>
    <xf numFmtId="0" fontId="17" fillId="0" borderId="25" xfId="0" applyNumberFormat="1" applyFont="1" applyBorder="1" applyAlignment="1">
      <alignment horizontal="center" vertical="center" wrapText="1"/>
    </xf>
    <xf numFmtId="0" fontId="17" fillId="0" borderId="25" xfId="0" applyNumberFormat="1" applyFont="1" applyBorder="1" applyAlignment="1">
      <alignment horizontal="left" vertical="center" wrapText="1" indent="1"/>
    </xf>
    <xf numFmtId="0" fontId="12" fillId="0" borderId="0" xfId="0" applyNumberFormat="1" applyFont="1" applyBorder="1" applyAlignment="1">
      <alignment vertical="center" wrapText="1"/>
    </xf>
    <xf numFmtId="49" fontId="13" fillId="0" borderId="0" xfId="0" applyFont="1" applyBorder="1" applyAlignment="1">
      <alignment horizontal="center" vertical="center" wrapText="1"/>
    </xf>
    <xf numFmtId="0" fontId="8" fillId="0" borderId="14" xfId="0" applyNumberFormat="1" applyFont="1" applyBorder="1" applyAlignment="1">
      <alignment vertical="center" wrapText="1"/>
    </xf>
    <xf numFmtId="0" fontId="8" fillId="0" borderId="21" xfId="0" applyNumberFormat="1" applyFont="1" applyBorder="1" applyAlignment="1">
      <alignment vertical="center" wrapText="1"/>
    </xf>
    <xf numFmtId="0" fontId="23" fillId="0" borderId="0" xfId="0" applyNumberFormat="1" applyFont="1" applyBorder="1" applyAlignment="1">
      <alignment horizontal="center" vertical="center" wrapText="1"/>
    </xf>
    <xf numFmtId="49" fontId="16" fillId="0" borderId="0" xfId="0" applyFont="1" applyBorder="1" applyAlignment="1">
      <alignment horizontal="center" vertical="center" wrapText="1"/>
    </xf>
    <xf numFmtId="0" fontId="39" fillId="0" borderId="0" xfId="0" applyNumberFormat="1" applyFont="1" applyBorder="1" applyAlignment="1">
      <alignment horizontal="center" vertical="center" wrapText="1"/>
    </xf>
    <xf numFmtId="0" fontId="83" fillId="0" borderId="0" xfId="0" applyNumberFormat="1" applyFont="1" applyBorder="1" applyAlignment="1">
      <alignment horizontal="center" vertical="center" wrapText="1"/>
    </xf>
    <xf numFmtId="0" fontId="84" fillId="8" borderId="0" xfId="0" applyNumberFormat="1" applyFont="1" applyFill="1" applyBorder="1" applyAlignment="1">
      <alignment horizontal="right" vertical="center"/>
    </xf>
    <xf numFmtId="0" fontId="85" fillId="0" borderId="0" xfId="0" applyNumberFormat="1" applyFont="1" applyBorder="1" applyAlignment="1">
      <alignment vertical="center" wrapText="1"/>
    </xf>
    <xf numFmtId="9" fontId="23" fillId="0" borderId="0" xfId="0" applyNumberFormat="1" applyFont="1" applyBorder="1" applyAlignment="1">
      <alignment horizontal="center" vertical="center" wrapText="1"/>
    </xf>
    <xf numFmtId="0" fontId="0" fillId="0" borderId="0" xfId="0" applyNumberFormat="1" applyFont="1" applyBorder="1" applyAlignment="1">
      <alignment vertical="top"/>
    </xf>
    <xf numFmtId="0" fontId="8" fillId="0" borderId="19" xfId="0" applyNumberFormat="1" applyFont="1" applyBorder="1" applyAlignment="1">
      <alignment horizontal="left" vertical="center" wrapText="1" indent="1"/>
    </xf>
    <xf numFmtId="49" fontId="17" fillId="0" borderId="16" xfId="0" applyFont="1" applyBorder="1" applyAlignment="1">
      <alignment vertical="top"/>
    </xf>
    <xf numFmtId="0" fontId="15" fillId="0" borderId="0" xfId="0" applyNumberFormat="1" applyFont="1" applyBorder="1" applyAlignment="1">
      <alignment horizontal="center" vertical="top"/>
    </xf>
    <xf numFmtId="0" fontId="15" fillId="0" borderId="0" xfId="0" applyNumberFormat="1" applyFont="1" applyBorder="1" applyAlignment="1">
      <alignment vertical="top"/>
    </xf>
    <xf numFmtId="0" fontId="45" fillId="0" borderId="0" xfId="0" applyNumberFormat="1" applyFont="1" applyBorder="1" applyAlignment="1">
      <alignment vertical="top"/>
    </xf>
    <xf numFmtId="0" fontId="86" fillId="0" borderId="0" xfId="0" applyNumberFormat="1" applyFont="1" applyBorder="1" applyAlignment="1">
      <alignment vertical="top"/>
    </xf>
    <xf numFmtId="0" fontId="8" fillId="0" borderId="18" xfId="0" applyNumberFormat="1" applyFont="1" applyBorder="1" applyAlignment="1">
      <alignment horizontal="left" vertical="center" wrapText="1"/>
    </xf>
    <xf numFmtId="2" fontId="8" fillId="0" borderId="18" xfId="0" applyNumberFormat="1" applyFont="1" applyBorder="1" applyAlignment="1">
      <alignment horizontal="center" vertical="center" wrapText="1"/>
    </xf>
    <xf numFmtId="0" fontId="17" fillId="0" borderId="16" xfId="0" applyNumberFormat="1" applyFont="1" applyBorder="1" applyAlignment="1">
      <alignment vertical="center" wrapText="1"/>
    </xf>
    <xf numFmtId="49" fontId="46" fillId="0" borderId="14" xfId="0" applyFont="1" applyBorder="1" applyAlignment="1">
      <alignment horizontal="right" vertical="center"/>
    </xf>
    <xf numFmtId="0" fontId="17" fillId="0" borderId="13" xfId="0" applyNumberFormat="1" applyFont="1" applyBorder="1" applyAlignment="1">
      <alignment vertical="center" wrapText="1"/>
    </xf>
    <xf numFmtId="0" fontId="17" fillId="0" borderId="13" xfId="0" applyNumberFormat="1" applyFont="1" applyBorder="1" applyAlignment="1">
      <alignment horizontal="left" vertical="top" wrapText="1"/>
    </xf>
    <xf numFmtId="49" fontId="8" fillId="0" borderId="31" xfId="0" applyFont="1" applyBorder="1" applyAlignment="1">
      <alignment horizontal="center" vertical="center" wrapText="1"/>
    </xf>
    <xf numFmtId="49" fontId="8" fillId="0" borderId="32" xfId="0" applyFont="1" applyBorder="1" applyAlignment="1">
      <alignment horizontal="center" vertical="center" wrapText="1"/>
    </xf>
    <xf numFmtId="49" fontId="8" fillId="0" borderId="33" xfId="0" applyFont="1" applyBorder="1" applyAlignment="1">
      <alignment horizontal="center" vertical="center" wrapText="1"/>
    </xf>
    <xf numFmtId="4" fontId="8" fillId="7" borderId="25" xfId="0" applyNumberFormat="1" applyFont="1" applyFill="1" applyBorder="1" applyAlignment="1" applyProtection="1">
      <alignment horizontal="right" vertical="center" wrapText="1"/>
      <protection locked="0"/>
    </xf>
    <xf numFmtId="49" fontId="46" fillId="10" borderId="14" xfId="0" applyFont="1" applyFill="1" applyBorder="1" applyAlignment="1">
      <alignment horizontal="left" vertical="center" indent="2"/>
    </xf>
    <xf numFmtId="0" fontId="27" fillId="0" borderId="19" xfId="0" applyNumberFormat="1" applyFont="1" applyBorder="1" applyAlignment="1">
      <alignment horizontal="center" vertical="center" wrapText="1"/>
    </xf>
    <xf numFmtId="49" fontId="0" fillId="0" borderId="12" xfId="0" applyFont="1" applyBorder="1" applyAlignment="1">
      <alignment horizontal="left" vertical="center" wrapText="1" indent="2"/>
    </xf>
    <xf numFmtId="49" fontId="8" fillId="0" borderId="34" xfId="0" applyFont="1" applyBorder="1" applyAlignment="1">
      <alignment horizontal="center" vertical="center" wrapText="1"/>
    </xf>
    <xf numFmtId="0" fontId="8" fillId="0" borderId="25" xfId="0" applyNumberFormat="1" applyFont="1" applyBorder="1" applyAlignment="1">
      <alignment horizontal="left" vertical="center" wrapText="1" indent="1"/>
    </xf>
    <xf numFmtId="49" fontId="0" fillId="0" borderId="12" xfId="0" applyFont="1" applyBorder="1" applyAlignment="1">
      <alignment vertical="center" wrapText="1"/>
    </xf>
    <xf numFmtId="49" fontId="15" fillId="0" borderId="0" xfId="0" applyFont="1" applyBorder="1" applyAlignment="1">
      <alignment horizontal="center" vertical="center" wrapText="1"/>
    </xf>
    <xf numFmtId="0" fontId="17" fillId="0" borderId="21" xfId="0" applyNumberFormat="1" applyFont="1" applyBorder="1" applyAlignment="1">
      <alignment vertical="center" wrapText="1"/>
    </xf>
    <xf numFmtId="49" fontId="28" fillId="4" borderId="13" xfId="0" applyFont="1" applyFill="1" applyBorder="1" applyAlignment="1" applyProtection="1">
      <alignment horizontal="left" vertical="center" wrapText="1"/>
      <protection locked="0"/>
    </xf>
    <xf numFmtId="0" fontId="85" fillId="0" borderId="16" xfId="0" applyNumberFormat="1" applyFont="1" applyBorder="1" applyAlignment="1">
      <alignment vertical="center" wrapText="1"/>
    </xf>
    <xf numFmtId="3" fontId="8" fillId="4" borderId="13" xfId="0" applyNumberFormat="1" applyFont="1" applyFill="1" applyBorder="1" applyAlignment="1" applyProtection="1">
      <alignment horizontal="right" vertical="center" wrapText="1"/>
      <protection locked="0"/>
    </xf>
    <xf numFmtId="4" fontId="8" fillId="4" borderId="13" xfId="0" applyNumberFormat="1" applyFont="1" applyFill="1" applyBorder="1" applyAlignment="1" applyProtection="1">
      <alignment horizontal="right" vertical="center" wrapText="1"/>
      <protection locked="0"/>
    </xf>
    <xf numFmtId="3" fontId="47" fillId="4" borderId="12" xfId="0" applyNumberFormat="1" applyFont="1" applyFill="1" applyBorder="1" applyAlignment="1" applyProtection="1">
      <alignment horizontal="right" vertical="center"/>
      <protection locked="0"/>
    </xf>
    <xf numFmtId="49" fontId="8" fillId="4" borderId="13" xfId="0" applyFont="1" applyFill="1" applyBorder="1" applyAlignment="1" applyProtection="1">
      <alignment horizontal="left" vertical="center" wrapText="1"/>
      <protection locked="0"/>
    </xf>
    <xf numFmtId="0" fontId="8" fillId="0" borderId="0" xfId="0" applyNumberFormat="1" applyFont="1" applyBorder="1" applyAlignment="1">
      <alignment vertical="top"/>
    </xf>
    <xf numFmtId="49" fontId="28" fillId="0" borderId="12" xfId="0" applyFont="1" applyBorder="1" applyAlignment="1">
      <alignment horizontal="left" vertical="center" wrapText="1"/>
    </xf>
    <xf numFmtId="49" fontId="8" fillId="0" borderId="35" xfId="0" applyFont="1" applyBorder="1" applyAlignment="1">
      <alignment horizontal="center" vertical="center" wrapText="1"/>
    </xf>
    <xf numFmtId="0" fontId="8" fillId="0" borderId="35" xfId="0" applyNumberFormat="1" applyFont="1" applyBorder="1" applyAlignment="1">
      <alignment horizontal="left" vertical="center" wrapText="1"/>
    </xf>
    <xf numFmtId="4" fontId="8" fillId="0" borderId="36" xfId="0" applyNumberFormat="1" applyFont="1" applyBorder="1" applyAlignment="1">
      <alignment horizontal="center" vertical="center" wrapText="1"/>
    </xf>
    <xf numFmtId="49" fontId="28" fillId="0" borderId="28" xfId="0" applyFont="1" applyBorder="1" applyAlignment="1">
      <alignment horizontal="left" vertical="center" wrapText="1"/>
    </xf>
    <xf numFmtId="49" fontId="8" fillId="0" borderId="37" xfId="0" applyFont="1" applyBorder="1" applyAlignment="1">
      <alignment horizontal="center" vertical="center" wrapText="1"/>
    </xf>
    <xf numFmtId="0" fontId="8" fillId="0" borderId="38" xfId="0" applyNumberFormat="1" applyFont="1" applyBorder="1" applyAlignment="1">
      <alignment horizontal="left" vertical="center" wrapText="1" indent="1"/>
    </xf>
    <xf numFmtId="4" fontId="8" fillId="7" borderId="37" xfId="0" applyNumberFormat="1" applyFont="1" applyFill="1" applyBorder="1" applyAlignment="1" applyProtection="1">
      <alignment horizontal="right" vertical="center" wrapText="1"/>
      <protection locked="0"/>
    </xf>
    <xf numFmtId="49" fontId="28" fillId="0" borderId="13" xfId="0" applyFont="1" applyBorder="1" applyAlignment="1">
      <alignment horizontal="left" vertical="center" wrapText="1"/>
    </xf>
    <xf numFmtId="4" fontId="8" fillId="0" borderId="25" xfId="0" applyNumberFormat="1" applyFont="1" applyBorder="1" applyAlignment="1">
      <alignment horizontal="center" vertical="center" wrapText="1"/>
    </xf>
    <xf numFmtId="4" fontId="8" fillId="7" borderId="39" xfId="0" applyNumberFormat="1" applyFont="1" applyFill="1" applyBorder="1" applyAlignment="1" applyProtection="1">
      <alignment horizontal="right" vertical="center" wrapText="1"/>
      <protection locked="0"/>
    </xf>
    <xf numFmtId="0" fontId="8" fillId="0" borderId="38" xfId="0" applyNumberFormat="1" applyFont="1" applyBorder="1" applyAlignment="1">
      <alignment horizontal="left" vertical="center" wrapText="1"/>
    </xf>
    <xf numFmtId="49" fontId="28" fillId="0" borderId="10" xfId="0" applyFont="1" applyBorder="1" applyAlignment="1">
      <alignment horizontal="left" vertical="center" wrapText="1"/>
    </xf>
    <xf numFmtId="0" fontId="8" fillId="0" borderId="37" xfId="0" applyNumberFormat="1" applyFont="1" applyBorder="1" applyAlignment="1">
      <alignment horizontal="left" vertical="center" wrapText="1" indent="1"/>
    </xf>
    <xf numFmtId="4" fontId="8" fillId="0" borderId="35" xfId="0" applyNumberFormat="1" applyFont="1" applyBorder="1" applyAlignment="1">
      <alignment horizontal="center" vertical="center" wrapText="1"/>
    </xf>
    <xf numFmtId="0" fontId="8" fillId="0" borderId="37" xfId="0" applyNumberFormat="1" applyFont="1" applyBorder="1" applyAlignment="1">
      <alignment horizontal="left" vertical="center" wrapText="1"/>
    </xf>
    <xf numFmtId="0" fontId="8" fillId="0" borderId="37" xfId="0" applyNumberFormat="1" applyFont="1" applyBorder="1" applyAlignment="1">
      <alignment horizontal="left" vertical="center" wrapText="1" indent="2"/>
    </xf>
    <xf numFmtId="4" fontId="8" fillId="0" borderId="37" xfId="0" applyNumberFormat="1" applyFont="1" applyBorder="1" applyAlignment="1">
      <alignment horizontal="center" vertical="center" wrapText="1"/>
    </xf>
    <xf numFmtId="49" fontId="8" fillId="0" borderId="40" xfId="0" applyFont="1" applyBorder="1" applyAlignment="1">
      <alignment horizontal="center" vertical="center" wrapText="1"/>
    </xf>
    <xf numFmtId="0" fontId="8" fillId="0" borderId="39" xfId="0" applyNumberFormat="1" applyFont="1" applyBorder="1" applyAlignment="1">
      <alignment horizontal="left" vertical="center" wrapText="1"/>
    </xf>
    <xf numFmtId="4" fontId="8" fillId="0" borderId="39" xfId="0" applyNumberFormat="1" applyFont="1" applyBorder="1" applyAlignment="1">
      <alignment horizontal="center" vertical="center" wrapText="1"/>
    </xf>
    <xf numFmtId="49" fontId="28" fillId="0" borderId="22" xfId="0" applyFont="1" applyBorder="1" applyAlignment="1">
      <alignment horizontal="left" vertical="center" wrapText="1"/>
    </xf>
    <xf numFmtId="49" fontId="8" fillId="0" borderId="38" xfId="0" applyFont="1" applyBorder="1" applyAlignment="1">
      <alignment horizontal="center" vertical="center" wrapText="1"/>
    </xf>
    <xf numFmtId="4" fontId="8" fillId="7" borderId="13" xfId="0" applyNumberFormat="1" applyFont="1" applyFill="1" applyBorder="1" applyAlignment="1" applyProtection="1">
      <alignment horizontal="right" vertical="center" wrapText="1"/>
      <protection locked="0"/>
    </xf>
    <xf numFmtId="4" fontId="8" fillId="7" borderId="38" xfId="0" applyNumberFormat="1" applyFont="1" applyFill="1" applyBorder="1" applyAlignment="1" applyProtection="1">
      <alignment horizontal="right" vertical="center" wrapText="1"/>
      <protection locked="0"/>
    </xf>
    <xf numFmtId="4" fontId="8" fillId="0" borderId="38" xfId="0" applyNumberFormat="1" applyFont="1" applyBorder="1" applyAlignment="1">
      <alignment horizontal="center" vertical="center" wrapText="1"/>
    </xf>
    <xf numFmtId="4" fontId="8" fillId="7" borderId="40" xfId="0" applyNumberFormat="1" applyFont="1" applyFill="1" applyBorder="1" applyAlignment="1" applyProtection="1">
      <alignment horizontal="right" vertical="center" wrapText="1"/>
      <protection locked="0"/>
    </xf>
    <xf numFmtId="49" fontId="28" fillId="7" borderId="13" xfId="0" applyFont="1" applyFill="1" applyBorder="1" applyAlignment="1" applyProtection="1">
      <alignment horizontal="left" vertical="center" wrapText="1"/>
      <protection locked="0"/>
    </xf>
    <xf numFmtId="0" fontId="37" fillId="0" borderId="17" xfId="0" applyNumberFormat="1" applyFont="1" applyBorder="1" applyAlignment="1">
      <alignment horizontal="center" vertical="center" wrapText="1"/>
    </xf>
    <xf numFmtId="0" fontId="0" fillId="0" borderId="13" xfId="0" applyNumberFormat="1" applyFont="1" applyBorder="1" applyAlignment="1">
      <alignment horizontal="center" vertical="center"/>
    </xf>
    <xf numFmtId="164" fontId="0" fillId="4" borderId="12" xfId="0" applyNumberFormat="1" applyFont="1" applyFill="1" applyBorder="1" applyAlignment="1" applyProtection="1">
      <alignment horizontal="left" vertical="center" wrapText="1" indent="1"/>
      <protection locked="0"/>
    </xf>
    <xf numFmtId="49" fontId="0" fillId="0" borderId="13" xfId="0" applyFont="1" applyBorder="1" applyAlignment="1">
      <alignment horizontal="center" vertical="center"/>
    </xf>
    <xf numFmtId="0" fontId="8" fillId="10" borderId="13" xfId="0" applyNumberFormat="1" applyFont="1" applyFill="1" applyBorder="1" applyAlignment="1">
      <alignment vertical="center" wrapText="1"/>
    </xf>
    <xf numFmtId="0" fontId="8" fillId="10" borderId="14" xfId="0" applyNumberFormat="1" applyFont="1" applyFill="1" applyBorder="1" applyAlignment="1">
      <alignment vertical="center" wrapText="1"/>
    </xf>
    <xf numFmtId="0" fontId="8" fillId="0" borderId="10" xfId="0" applyNumberFormat="1" applyFont="1" applyBorder="1" applyAlignment="1">
      <alignment horizontal="center" vertical="center" wrapText="1"/>
    </xf>
    <xf numFmtId="0" fontId="27" fillId="0" borderId="19" xfId="0" applyNumberFormat="1" applyFont="1" applyBorder="1" applyAlignment="1">
      <alignment vertical="center" wrapText="1"/>
    </xf>
    <xf numFmtId="0" fontId="8" fillId="10" borderId="21" xfId="0" applyNumberFormat="1" applyFont="1" applyFill="1" applyBorder="1" applyAlignment="1">
      <alignment vertical="center" wrapText="1"/>
    </xf>
    <xf numFmtId="49" fontId="87" fillId="0" borderId="0" xfId="0" applyFont="1" applyBorder="1" applyAlignment="1">
      <alignment horizontal="center" vertical="center" wrapText="1"/>
    </xf>
    <xf numFmtId="0" fontId="8" fillId="8" borderId="25" xfId="0" applyNumberFormat="1" applyFont="1" applyFill="1" applyBorder="1" applyAlignment="1">
      <alignment horizontal="center" vertical="center" wrapText="1"/>
    </xf>
    <xf numFmtId="0" fontId="0" fillId="8" borderId="22" xfId="0" applyNumberFormat="1" applyFont="1" applyFill="1" applyBorder="1" applyAlignment="1">
      <alignment horizontal="center" vertical="center" wrapText="1"/>
    </xf>
    <xf numFmtId="0" fontId="0" fillId="0" borderId="12" xfId="0" applyNumberFormat="1" applyFont="1" applyBorder="1" applyAlignment="1">
      <alignment horizontal="left" vertical="center" wrapText="1" indent="1"/>
    </xf>
    <xf numFmtId="0" fontId="8" fillId="10" borderId="29" xfId="0" applyNumberFormat="1" applyFont="1" applyFill="1" applyBorder="1" applyAlignment="1">
      <alignment vertical="center" wrapText="1"/>
    </xf>
    <xf numFmtId="0" fontId="8" fillId="8" borderId="9" xfId="0" applyNumberFormat="1" applyFont="1" applyFill="1" applyBorder="1" applyAlignment="1">
      <alignment vertical="center" wrapText="1"/>
    </xf>
    <xf numFmtId="49" fontId="64" fillId="0" borderId="9" xfId="0" applyFont="1" applyBorder="1" applyAlignment="1">
      <alignment vertical="top"/>
    </xf>
    <xf numFmtId="0" fontId="23" fillId="8" borderId="9" xfId="0" applyNumberFormat="1" applyFont="1" applyFill="1" applyBorder="1" applyAlignment="1">
      <alignment horizontal="center" wrapText="1"/>
    </xf>
    <xf numFmtId="0" fontId="8" fillId="0" borderId="3" xfId="0" applyNumberFormat="1" applyFont="1" applyBorder="1" applyAlignment="1">
      <alignment vertical="center" wrapText="1"/>
    </xf>
    <xf numFmtId="0" fontId="88" fillId="0" borderId="0" xfId="0" applyNumberFormat="1" applyFont="1" applyBorder="1" applyAlignment="1">
      <alignment vertical="center"/>
    </xf>
    <xf numFmtId="0" fontId="8" fillId="8" borderId="14" xfId="0" applyNumberFormat="1" applyFont="1" applyFill="1" applyBorder="1" applyAlignment="1">
      <alignment vertical="center" wrapText="1"/>
    </xf>
    <xf numFmtId="0" fontId="17" fillId="0" borderId="9" xfId="0" applyNumberFormat="1" applyFont="1" applyBorder="1" applyAlignment="1">
      <alignment vertical="center" wrapText="1"/>
    </xf>
    <xf numFmtId="0" fontId="8" fillId="0" borderId="3" xfId="0" applyNumberFormat="1" applyFont="1" applyBorder="1" applyAlignment="1">
      <alignment vertical="center"/>
    </xf>
    <xf numFmtId="49" fontId="8" fillId="0" borderId="16" xfId="0" applyFont="1" applyBorder="1" applyAlignment="1">
      <alignment vertical="top"/>
    </xf>
    <xf numFmtId="49" fontId="0" fillId="6" borderId="12" xfId="0" applyFont="1" applyFill="1" applyBorder="1" applyAlignment="1">
      <alignment horizontal="center" vertical="center"/>
    </xf>
    <xf numFmtId="0" fontId="8" fillId="0" borderId="16" xfId="0" applyNumberFormat="1" applyFont="1" applyBorder="1" applyAlignment="1">
      <alignment vertical="center" wrapText="1"/>
    </xf>
    <xf numFmtId="4" fontId="0" fillId="6" borderId="12" xfId="0" applyNumberFormat="1" applyFont="1" applyFill="1" applyBorder="1" applyAlignment="1">
      <alignment horizontal="right" vertical="center" wrapText="1"/>
    </xf>
    <xf numFmtId="4" fontId="0" fillId="4" borderId="12" xfId="0" applyNumberFormat="1" applyFont="1" applyFill="1" applyBorder="1" applyAlignment="1" applyProtection="1">
      <alignment horizontal="right" vertical="center" wrapText="1"/>
      <protection locked="0"/>
    </xf>
    <xf numFmtId="49" fontId="0" fillId="0" borderId="12" xfId="0" applyFont="1" applyBorder="1" applyAlignment="1">
      <alignment horizontal="left" vertical="center" wrapText="1" indent="3"/>
    </xf>
    <xf numFmtId="49" fontId="47" fillId="0" borderId="0" xfId="0" applyFont="1" applyBorder="1" applyAlignment="1">
      <alignment vertical="center" wrapText="1"/>
    </xf>
    <xf numFmtId="49" fontId="89" fillId="0" borderId="0" xfId="0" applyFont="1" applyBorder="1" applyAlignment="1">
      <alignment vertical="center" wrapText="1"/>
    </xf>
    <xf numFmtId="49" fontId="47" fillId="0" borderId="0" xfId="0" applyFont="1" applyBorder="1" applyAlignment="1">
      <alignment vertical="center"/>
    </xf>
    <xf numFmtId="49" fontId="89" fillId="0" borderId="0" xfId="0" applyFont="1" applyBorder="1" applyAlignment="1">
      <alignment vertical="center"/>
    </xf>
    <xf numFmtId="49" fontId="47" fillId="0" borderId="0" xfId="0" applyFont="1" applyBorder="1" applyAlignment="1">
      <alignment vertical="top"/>
    </xf>
    <xf numFmtId="49" fontId="13" fillId="0" borderId="0" xfId="0" applyFont="1" applyBorder="1" applyAlignment="1">
      <alignment horizontal="center" vertical="top" wrapText="1"/>
    </xf>
    <xf numFmtId="49" fontId="8" fillId="8" borderId="0" xfId="0" applyFont="1" applyFill="1" applyBorder="1" applyAlignment="1">
      <alignment horizontal="center" vertical="top" wrapText="1"/>
    </xf>
    <xf numFmtId="49" fontId="47" fillId="0" borderId="0" xfId="0" applyFont="1" applyBorder="1" applyAlignment="1">
      <alignment horizontal="center" vertical="center" wrapText="1"/>
    </xf>
    <xf numFmtId="49" fontId="89" fillId="0" borderId="0" xfId="0" applyFont="1" applyBorder="1" applyAlignment="1">
      <alignment horizontal="center" vertical="center" wrapText="1"/>
    </xf>
    <xf numFmtId="0" fontId="47" fillId="0" borderId="0" xfId="0" applyNumberFormat="1" applyFont="1" applyBorder="1" applyAlignment="1">
      <alignment horizontal="center" vertical="center" wrapText="1"/>
    </xf>
    <xf numFmtId="49" fontId="47" fillId="8" borderId="0" xfId="0" applyFont="1" applyFill="1" applyBorder="1" applyAlignment="1">
      <alignment vertical="center" wrapText="1"/>
    </xf>
    <xf numFmtId="49" fontId="47" fillId="8" borderId="0" xfId="0" applyFont="1" applyFill="1" applyBorder="1" applyAlignment="1">
      <alignment vertical="center"/>
    </xf>
    <xf numFmtId="49" fontId="43" fillId="0" borderId="12" xfId="0" applyFont="1" applyBorder="1" applyAlignment="1">
      <alignment horizontal="center" vertical="center"/>
    </xf>
    <xf numFmtId="49" fontId="43" fillId="16" borderId="12" xfId="0" applyFont="1" applyFill="1" applyBorder="1" applyAlignment="1">
      <alignment horizontal="center" vertical="center"/>
    </xf>
    <xf numFmtId="0" fontId="43" fillId="0" borderId="12" xfId="0" applyNumberFormat="1" applyFont="1" applyBorder="1" applyAlignment="1">
      <alignment horizontal="center" vertical="center"/>
    </xf>
    <xf numFmtId="49" fontId="43" fillId="0" borderId="18" xfId="0" applyFont="1" applyBorder="1" applyAlignment="1">
      <alignment horizontal="center" vertical="center"/>
    </xf>
    <xf numFmtId="49" fontId="8" fillId="0" borderId="0" xfId="0" applyFont="1" applyBorder="1" applyAlignment="1">
      <alignment vertical="center"/>
    </xf>
    <xf numFmtId="49" fontId="15" fillId="0" borderId="25" xfId="0" applyFont="1" applyBorder="1" applyAlignment="1">
      <alignment horizontal="center" vertical="center"/>
    </xf>
    <xf numFmtId="0" fontId="8" fillId="0" borderId="25" xfId="0" applyNumberFormat="1" applyFont="1" applyBorder="1" applyAlignment="1">
      <alignment horizontal="right" vertical="center"/>
    </xf>
    <xf numFmtId="0" fontId="8" fillId="0" borderId="25" xfId="0" applyNumberFormat="1" applyFont="1" applyBorder="1" applyAlignment="1">
      <alignment horizontal="center" vertical="center"/>
    </xf>
    <xf numFmtId="0" fontId="8" fillId="0" borderId="12" xfId="0" applyNumberFormat="1" applyFont="1" applyBorder="1" applyAlignment="1">
      <alignment horizontal="right" vertical="center"/>
    </xf>
    <xf numFmtId="4" fontId="47" fillId="8" borderId="0" xfId="0" applyNumberFormat="1" applyFont="1" applyFill="1" applyBorder="1" applyAlignment="1">
      <alignment vertical="center"/>
    </xf>
    <xf numFmtId="49" fontId="48" fillId="0" borderId="0" xfId="0" applyFont="1" applyBorder="1" applyAlignment="1">
      <alignment vertical="center" wrapText="1"/>
    </xf>
    <xf numFmtId="0" fontId="8" fillId="6" borderId="13" xfId="0" applyNumberFormat="1" applyFont="1" applyFill="1" applyBorder="1" applyAlignment="1">
      <alignment horizontal="left" vertical="top" wrapText="1" indent="1"/>
    </xf>
    <xf numFmtId="3" fontId="8" fillId="7" borderId="13" xfId="0" applyNumberFormat="1" applyFont="1" applyFill="1" applyBorder="1" applyAlignment="1" applyProtection="1">
      <alignment vertical="center" wrapText="1"/>
      <protection locked="0"/>
    </xf>
    <xf numFmtId="0" fontId="8" fillId="0" borderId="12" xfId="0" applyNumberFormat="1" applyFont="1" applyBorder="1" applyAlignment="1">
      <alignment vertical="top" wrapText="1"/>
    </xf>
    <xf numFmtId="0" fontId="8" fillId="0" borderId="12" xfId="0" applyNumberFormat="1" applyFont="1" applyBorder="1" applyAlignment="1">
      <alignment horizontal="left" vertical="top" wrapText="1"/>
    </xf>
    <xf numFmtId="4" fontId="8" fillId="6" borderId="13" xfId="0" applyNumberFormat="1" applyFont="1" applyFill="1" applyBorder="1" applyAlignment="1">
      <alignment horizontal="right" vertical="center" wrapText="1"/>
    </xf>
    <xf numFmtId="0" fontId="15" fillId="0" borderId="12" xfId="0" applyNumberFormat="1" applyFont="1" applyBorder="1" applyAlignment="1">
      <alignment vertical="top" wrapText="1"/>
    </xf>
    <xf numFmtId="0" fontId="8" fillId="0" borderId="0" xfId="0" applyNumberFormat="1" applyFont="1" applyBorder="1" applyAlignment="1">
      <alignment horizontal="left" vertical="center" wrapText="1" indent="2"/>
    </xf>
    <xf numFmtId="0" fontId="8" fillId="8" borderId="0" xfId="0" applyNumberFormat="1" applyFont="1" applyFill="1" applyBorder="1" applyAlignment="1">
      <alignment horizontal="right" vertical="center" wrapText="1"/>
    </xf>
    <xf numFmtId="0" fontId="8" fillId="8" borderId="0" xfId="0" applyNumberFormat="1" applyFont="1" applyFill="1" applyBorder="1" applyAlignment="1">
      <alignment horizontal="right" vertical="center"/>
    </xf>
    <xf numFmtId="0" fontId="8" fillId="8" borderId="12" xfId="0" applyNumberFormat="1" applyFont="1" applyFill="1" applyBorder="1" applyAlignment="1">
      <alignment horizontal="center" vertical="center"/>
    </xf>
    <xf numFmtId="0" fontId="0" fillId="0" borderId="12" xfId="0" applyNumberFormat="1" applyFont="1" applyBorder="1" applyAlignment="1">
      <alignment vertical="center" wrapText="1"/>
    </xf>
    <xf numFmtId="0" fontId="0" fillId="0" borderId="12" xfId="0" applyNumberFormat="1" applyFont="1" applyBorder="1" applyAlignment="1">
      <alignment horizontal="left" vertical="center" wrapText="1" indent="1"/>
    </xf>
    <xf numFmtId="0" fontId="0" fillId="7" borderId="12" xfId="0" applyNumberFormat="1" applyFont="1" applyFill="1" applyBorder="1" applyAlignment="1" applyProtection="1">
      <alignment horizontal="left" vertical="center" wrapText="1" indent="2"/>
      <protection locked="0"/>
    </xf>
    <xf numFmtId="49" fontId="90" fillId="10" borderId="19" xfId="0" applyFont="1" applyFill="1" applyBorder="1" applyAlignment="1">
      <alignment horizontal="center" vertical="top"/>
    </xf>
    <xf numFmtId="49" fontId="90" fillId="10" borderId="10" xfId="0" applyFont="1" applyFill="1" applyBorder="1" applyAlignment="1">
      <alignment horizontal="center" vertical="top"/>
    </xf>
    <xf numFmtId="0" fontId="27" fillId="0" borderId="25" xfId="0" applyNumberFormat="1" applyFont="1" applyBorder="1" applyAlignment="1">
      <alignment vertical="center" wrapText="1"/>
    </xf>
    <xf numFmtId="49" fontId="59" fillId="0" borderId="12" xfId="0" applyFont="1" applyBorder="1" applyAlignment="1">
      <alignment horizontal="center" vertical="center" wrapText="1"/>
    </xf>
    <xf numFmtId="0" fontId="59" fillId="0" borderId="12" xfId="0" applyNumberFormat="1" applyFont="1" applyBorder="1" applyAlignment="1">
      <alignment horizontal="left" vertical="center" wrapText="1" indent="2"/>
    </xf>
    <xf numFmtId="49" fontId="91" fillId="0" borderId="13" xfId="0" applyFont="1" applyBorder="1" applyAlignment="1">
      <alignment horizontal="left" vertical="center" wrapText="1"/>
    </xf>
    <xf numFmtId="0" fontId="8" fillId="0" borderId="25" xfId="0" applyNumberFormat="1" applyFont="1" applyBorder="1" applyAlignment="1">
      <alignment vertical="top" wrapText="1"/>
    </xf>
    <xf numFmtId="49" fontId="92" fillId="0" borderId="0" xfId="0" applyFont="1" applyBorder="1" applyAlignment="1">
      <alignment horizontal="center" vertical="center" wrapText="1"/>
    </xf>
    <xf numFmtId="0" fontId="0" fillId="7" borderId="12" xfId="0" applyNumberFormat="1" applyFont="1" applyFill="1" applyBorder="1" applyAlignment="1" applyProtection="1">
      <alignment horizontal="left" vertical="center" wrapText="1"/>
      <protection locked="0"/>
    </xf>
    <xf numFmtId="0" fontId="0" fillId="0" borderId="12" xfId="0" applyNumberFormat="1" applyFont="1" applyBorder="1" applyAlignment="1">
      <alignment horizontal="left" vertical="center" wrapText="1" indent="2"/>
    </xf>
    <xf numFmtId="164" fontId="0" fillId="7" borderId="12" xfId="0" applyNumberFormat="1" applyFont="1" applyFill="1" applyBorder="1" applyAlignment="1" applyProtection="1">
      <alignment horizontal="left" vertical="center" wrapText="1"/>
      <protection locked="0"/>
    </xf>
    <xf numFmtId="0" fontId="0" fillId="0" borderId="12" xfId="0" applyNumberFormat="1" applyFont="1" applyBorder="1" applyAlignment="1">
      <alignment horizontal="left" vertical="center" wrapText="1"/>
    </xf>
    <xf numFmtId="164" fontId="0" fillId="7" borderId="19" xfId="0" applyNumberFormat="1" applyFont="1" applyFill="1" applyBorder="1" applyAlignment="1" applyProtection="1">
      <alignment horizontal="left" vertical="center" wrapText="1"/>
      <protection locked="0"/>
    </xf>
    <xf numFmtId="164" fontId="0" fillId="7" borderId="13" xfId="0" applyNumberFormat="1" applyFont="1" applyFill="1" applyBorder="1" applyAlignment="1" applyProtection="1">
      <alignment horizontal="left" vertical="center" wrapText="1"/>
      <protection locked="0"/>
    </xf>
    <xf numFmtId="0" fontId="0" fillId="0" borderId="30" xfId="0" applyNumberFormat="1" applyFont="1" applyBorder="1" applyAlignment="1">
      <alignment horizontal="center" vertical="center" wrapText="1"/>
    </xf>
    <xf numFmtId="0" fontId="0" fillId="8" borderId="13" xfId="0" applyNumberFormat="1" applyFont="1" applyFill="1" applyBorder="1" applyAlignment="1">
      <alignment horizontal="right" vertical="center" wrapText="1" indent="1"/>
    </xf>
    <xf numFmtId="49" fontId="0" fillId="8" borderId="25" xfId="0" applyFont="1" applyFill="1" applyBorder="1" applyAlignment="1">
      <alignment horizontal="center" vertical="center" wrapText="1"/>
    </xf>
    <xf numFmtId="49" fontId="46" fillId="10" borderId="21" xfId="0" applyFont="1" applyFill="1" applyBorder="1" applyAlignment="1">
      <alignment horizontal="left" vertical="center" indent="2"/>
    </xf>
    <xf numFmtId="49" fontId="0" fillId="8" borderId="13" xfId="0" applyFont="1" applyFill="1" applyBorder="1" applyAlignment="1">
      <alignment horizontal="center" vertical="center" wrapText="1"/>
    </xf>
    <xf numFmtId="0" fontId="8" fillId="0" borderId="30" xfId="0" applyNumberFormat="1" applyFont="1" applyBorder="1" applyAlignment="1">
      <alignment horizontal="left" vertical="top" wrapText="1"/>
    </xf>
    <xf numFmtId="49" fontId="8" fillId="0" borderId="14" xfId="0" applyFont="1" applyBorder="1" applyAlignment="1">
      <alignment vertical="top"/>
    </xf>
    <xf numFmtId="0" fontId="7" fillId="0" borderId="0" xfId="0" applyNumberFormat="1" applyFont="1" applyBorder="1" applyAlignment="1">
      <alignment horizontal="right" vertical="top" wrapText="1"/>
    </xf>
    <xf numFmtId="0" fontId="0" fillId="0" borderId="12" xfId="0" applyNumberFormat="1" applyFont="1" applyBorder="1" applyAlignment="1">
      <alignment horizontal="left" vertical="top" wrapText="1"/>
    </xf>
    <xf numFmtId="49" fontId="46" fillId="0" borderId="14" xfId="0" applyFont="1" applyBorder="1" applyAlignment="1">
      <alignment horizontal="left" vertical="center"/>
    </xf>
    <xf numFmtId="49" fontId="46" fillId="0" borderId="14" xfId="0" applyFont="1" applyBorder="1" applyAlignment="1">
      <alignment horizontal="left" vertical="center" indent="2"/>
    </xf>
    <xf numFmtId="49" fontId="90" fillId="0" borderId="14" xfId="0" applyFont="1" applyBorder="1" applyAlignment="1">
      <alignment horizontal="center" vertical="top"/>
    </xf>
    <xf numFmtId="0" fontId="8" fillId="0" borderId="14" xfId="0" applyNumberFormat="1" applyFont="1" applyBorder="1" applyAlignment="1">
      <alignment horizontal="left" vertical="top" wrapText="1"/>
    </xf>
    <xf numFmtId="3" fontId="8" fillId="0" borderId="13" xfId="0" applyNumberFormat="1" applyFont="1" applyBorder="1" applyAlignment="1">
      <alignment vertical="center" wrapText="1"/>
    </xf>
    <xf numFmtId="4" fontId="8" fillId="0" borderId="13" xfId="0" applyNumberFormat="1" applyFont="1" applyBorder="1" applyAlignment="1">
      <alignment horizontal="right" vertical="center" wrapText="1"/>
    </xf>
    <xf numFmtId="0" fontId="28" fillId="0" borderId="0" xfId="0" applyNumberFormat="1" applyFont="1" applyBorder="1" applyAlignment="1">
      <alignment vertical="center" wrapText="1"/>
    </xf>
    <xf numFmtId="49" fontId="37" fillId="0" borderId="0" xfId="0" applyFont="1" applyBorder="1" applyAlignment="1">
      <alignment horizontal="center" vertical="center"/>
    </xf>
    <xf numFmtId="0" fontId="93" fillId="8" borderId="0" xfId="0" applyNumberFormat="1" applyFont="1" applyFill="1" applyBorder="1" applyAlignment="1">
      <alignment horizontal="center" vertical="center" wrapText="1"/>
    </xf>
    <xf numFmtId="0" fontId="13" fillId="8" borderId="0" xfId="0" applyNumberFormat="1" applyFont="1" applyFill="1" applyBorder="1" applyAlignment="1"/>
    <xf numFmtId="0" fontId="17" fillId="0" borderId="0" xfId="0" applyNumberFormat="1" applyFont="1" applyBorder="1" applyAlignment="1">
      <alignment vertical="top"/>
    </xf>
    <xf numFmtId="0" fontId="8" fillId="0" borderId="0" xfId="0" applyNumberFormat="1" applyFont="1" applyBorder="1" applyAlignment="1"/>
    <xf numFmtId="0" fontId="37" fillId="0" borderId="0" xfId="0" applyNumberFormat="1" applyFont="1" applyBorder="1" applyAlignment="1">
      <alignment horizontal="center" vertical="center"/>
    </xf>
    <xf numFmtId="0" fontId="37" fillId="8" borderId="0" xfId="0" applyNumberFormat="1" applyFont="1" applyFill="1" applyBorder="1" applyAlignment="1">
      <alignment horizontal="center" vertical="center"/>
    </xf>
    <xf numFmtId="0" fontId="58" fillId="0" borderId="0" xfId="0" applyNumberFormat="1" applyFont="1" applyBorder="1" applyAlignment="1"/>
    <xf numFmtId="0" fontId="8" fillId="8" borderId="25" xfId="0" applyNumberFormat="1" applyFont="1" applyFill="1" applyBorder="1" applyAlignment="1">
      <alignment horizontal="center" vertical="center"/>
    </xf>
    <xf numFmtId="49" fontId="8" fillId="0" borderId="25" xfId="0" applyFont="1" applyBorder="1" applyAlignment="1">
      <alignment horizontal="left" vertical="center" wrapText="1"/>
    </xf>
    <xf numFmtId="49" fontId="46" fillId="10" borderId="19" xfId="0" applyFont="1" applyFill="1" applyBorder="1" applyAlignment="1">
      <alignment horizontal="left" vertical="center"/>
    </xf>
    <xf numFmtId="49" fontId="47" fillId="0" borderId="0" xfId="0" applyFont="1" applyBorder="1" applyAlignment="1">
      <alignment horizontal="right" vertical="top"/>
    </xf>
    <xf numFmtId="49" fontId="8" fillId="8" borderId="12" xfId="0" applyFont="1" applyFill="1" applyBorder="1" applyAlignment="1">
      <alignment horizontal="center" vertical="center"/>
    </xf>
    <xf numFmtId="0" fontId="15" fillId="8" borderId="0" xfId="0" applyNumberFormat="1" applyFont="1" applyFill="1" applyBorder="1" applyAlignment="1"/>
    <xf numFmtId="0" fontId="8" fillId="7" borderId="12" xfId="0" applyNumberFormat="1" applyFont="1" applyFill="1" applyBorder="1" applyAlignment="1" applyProtection="1">
      <alignment horizontal="left" vertical="center" wrapText="1"/>
      <protection locked="0"/>
    </xf>
    <xf numFmtId="0" fontId="77" fillId="8" borderId="0" xfId="0" applyNumberFormat="1" applyFont="1" applyFill="1" applyBorder="1" applyAlignment="1"/>
    <xf numFmtId="0" fontId="27" fillId="8" borderId="12" xfId="0" applyNumberFormat="1" applyFont="1" applyFill="1" applyBorder="1" applyAlignment="1">
      <alignment vertical="center" wrapText="1"/>
    </xf>
    <xf numFmtId="0" fontId="17" fillId="8" borderId="0" xfId="0" applyNumberFormat="1" applyFont="1" applyFill="1" applyBorder="1" applyAlignment="1">
      <alignment horizontal="center" vertical="center" wrapText="1"/>
    </xf>
    <xf numFmtId="0" fontId="39" fillId="8" borderId="0" xfId="0" applyNumberFormat="1" applyFont="1" applyFill="1" applyBorder="1" applyAlignment="1">
      <alignment vertical="center" wrapText="1"/>
    </xf>
    <xf numFmtId="0" fontId="17" fillId="8" borderId="12" xfId="0" applyNumberFormat="1" applyFont="1" applyFill="1" applyBorder="1" applyAlignment="1">
      <alignment horizontal="center" vertical="center"/>
    </xf>
    <xf numFmtId="0" fontId="59" fillId="8" borderId="0" xfId="0" applyNumberFormat="1" applyFont="1" applyFill="1" applyBorder="1" applyAlignment="1"/>
    <xf numFmtId="0" fontId="81" fillId="8" borderId="0" xfId="0" applyNumberFormat="1" applyFont="1" applyFill="1" applyBorder="1" applyAlignment="1"/>
    <xf numFmtId="14" fontId="8" fillId="7" borderId="12" xfId="0" applyNumberFormat="1" applyFont="1" applyFill="1" applyBorder="1" applyAlignment="1" applyProtection="1">
      <alignment horizontal="left" vertical="center" wrapText="1" indent="1"/>
      <protection locked="0"/>
    </xf>
    <xf numFmtId="0" fontId="94" fillId="0" borderId="0" xfId="0" applyNumberFormat="1" applyFont="1" applyBorder="1" applyAlignment="1">
      <alignment vertical="center"/>
    </xf>
    <xf numFmtId="165" fontId="8" fillId="0" borderId="22" xfId="0" applyNumberFormat="1" applyFont="1" applyBorder="1" applyAlignment="1">
      <alignment horizontal="center" vertical="center" wrapText="1"/>
    </xf>
    <xf numFmtId="165" fontId="8" fillId="0" borderId="25" xfId="0" applyNumberFormat="1" applyFont="1" applyBorder="1" applyAlignment="1">
      <alignment horizontal="center" vertical="center" wrapText="1"/>
    </xf>
    <xf numFmtId="14" fontId="8" fillId="9" borderId="12" xfId="0" applyNumberFormat="1" applyFont="1" applyFill="1" applyBorder="1" applyAlignment="1">
      <alignment horizontal="left" vertical="center" wrapText="1"/>
    </xf>
    <xf numFmtId="49" fontId="23" fillId="10" borderId="28" xfId="0" applyFont="1" applyFill="1" applyBorder="1" applyAlignment="1">
      <alignment horizontal="right" vertical="center" wrapText="1"/>
    </xf>
    <xf numFmtId="49" fontId="0" fillId="10" borderId="21" xfId="0" applyFont="1" applyFill="1" applyBorder="1" applyAlignment="1">
      <alignment horizontal="right" vertical="center" wrapText="1"/>
    </xf>
    <xf numFmtId="0" fontId="94" fillId="0" borderId="0" xfId="0" applyNumberFormat="1" applyFont="1" applyBorder="1" applyAlignment="1">
      <alignment vertical="center" wrapText="1"/>
    </xf>
    <xf numFmtId="0" fontId="8" fillId="6" borderId="18" xfId="0" applyNumberFormat="1" applyFont="1" applyFill="1" applyBorder="1" applyAlignment="1">
      <alignment horizontal="left" vertical="center" wrapText="1" indent="1"/>
    </xf>
    <xf numFmtId="164" fontId="17" fillId="0" borderId="0" xfId="0" applyNumberFormat="1" applyFont="1" applyBorder="1" applyAlignment="1">
      <alignment horizontal="center" vertical="center" wrapText="1"/>
    </xf>
    <xf numFmtId="165" fontId="8" fillId="0" borderId="18" xfId="0" applyNumberFormat="1" applyFont="1" applyBorder="1" applyAlignment="1">
      <alignment horizontal="center" vertical="center" wrapText="1"/>
    </xf>
    <xf numFmtId="14" fontId="8" fillId="7" borderId="18" xfId="0" applyNumberFormat="1" applyFont="1" applyFill="1" applyBorder="1" applyAlignment="1" applyProtection="1">
      <alignment horizontal="left" vertical="center" wrapText="1" indent="1"/>
      <protection locked="0"/>
    </xf>
    <xf numFmtId="49" fontId="23" fillId="10" borderId="21" xfId="0" applyFont="1" applyFill="1" applyBorder="1" applyAlignment="1">
      <alignment horizontal="right" vertical="center" wrapText="1"/>
    </xf>
    <xf numFmtId="49" fontId="28" fillId="10" borderId="21" xfId="0" applyFont="1" applyFill="1" applyBorder="1" applyAlignment="1">
      <alignment horizontal="left" vertical="center" wrapText="1"/>
    </xf>
    <xf numFmtId="49" fontId="28" fillId="10" borderId="18" xfId="0" applyFont="1" applyFill="1" applyBorder="1" applyAlignment="1">
      <alignment horizontal="left" vertical="center" wrapText="1"/>
    </xf>
    <xf numFmtId="0" fontId="17" fillId="0" borderId="21" xfId="0" applyNumberFormat="1" applyFont="1" applyBorder="1" applyAlignment="1">
      <alignment horizontal="center" vertical="center" wrapText="1"/>
    </xf>
    <xf numFmtId="165" fontId="47" fillId="0" borderId="42" xfId="0" applyNumberFormat="1" applyFont="1" applyBorder="1" applyAlignment="1">
      <alignment horizontal="center" vertical="center" wrapText="1"/>
    </xf>
    <xf numFmtId="165" fontId="73" fillId="0" borderId="42" xfId="0" applyNumberFormat="1" applyFont="1" applyBorder="1" applyAlignment="1">
      <alignment horizontal="center" vertical="center" wrapText="1"/>
    </xf>
    <xf numFmtId="0" fontId="38" fillId="0" borderId="0" xfId="0" applyNumberFormat="1" applyFont="1" applyBorder="1" applyAlignment="1">
      <alignment horizontal="center" vertical="center"/>
    </xf>
    <xf numFmtId="0" fontId="42" fillId="0" borderId="0" xfId="0" applyNumberFormat="1" applyFont="1" applyBorder="1" applyAlignment="1">
      <alignment horizontal="center" vertical="center" wrapText="1"/>
    </xf>
    <xf numFmtId="49" fontId="28" fillId="7" borderId="21" xfId="0" applyFont="1" applyFill="1" applyBorder="1" applyAlignment="1" applyProtection="1">
      <alignment horizontal="left" vertical="center" wrapText="1"/>
      <protection locked="0"/>
    </xf>
    <xf numFmtId="49" fontId="28" fillId="7" borderId="28" xfId="0" applyFont="1" applyFill="1" applyBorder="1" applyAlignment="1" applyProtection="1">
      <alignment horizontal="left" vertical="center" wrapText="1"/>
      <protection locked="0"/>
    </xf>
    <xf numFmtId="49" fontId="28" fillId="7" borderId="18" xfId="0" applyFont="1" applyFill="1" applyBorder="1" applyAlignment="1" applyProtection="1">
      <alignment horizontal="left" vertical="center" wrapText="1"/>
      <protection locked="0"/>
    </xf>
    <xf numFmtId="49" fontId="0" fillId="10" borderId="12" xfId="0" applyFont="1" applyFill="1" applyBorder="1" applyAlignment="1">
      <alignment horizontal="right" vertical="center" wrapText="1"/>
    </xf>
    <xf numFmtId="49" fontId="65" fillId="0" borderId="0" xfId="0" applyFont="1" applyBorder="1" applyAlignment="1">
      <alignment vertical="top"/>
    </xf>
    <xf numFmtId="49" fontId="0" fillId="0" borderId="43" xfId="0" applyFont="1" applyBorder="1" applyAlignment="1">
      <alignment horizontal="center" vertical="center"/>
    </xf>
    <xf numFmtId="49" fontId="0" fillId="17" borderId="0" xfId="0" applyFont="1" applyFill="1" applyBorder="1" applyAlignment="1">
      <alignment vertical="top"/>
    </xf>
    <xf numFmtId="0" fontId="37" fillId="8" borderId="0" xfId="0" applyNumberFormat="1" applyFont="1" applyFill="1" applyBorder="1" applyAlignment="1">
      <alignment horizontal="center"/>
    </xf>
    <xf numFmtId="0" fontId="15" fillId="0" borderId="18" xfId="0" applyNumberFormat="1" applyFont="1" applyBorder="1" applyAlignment="1">
      <alignment horizontal="center" vertical="center" wrapText="1"/>
    </xf>
    <xf numFmtId="14" fontId="8" fillId="9" borderId="12" xfId="0" applyNumberFormat="1" applyFont="1" applyFill="1" applyBorder="1" applyAlignment="1">
      <alignment horizontal="left" vertical="center" wrapText="1" indent="1"/>
    </xf>
    <xf numFmtId="49" fontId="8" fillId="6" borderId="12" xfId="0" applyFont="1" applyFill="1" applyBorder="1" applyAlignment="1">
      <alignment horizontal="center" vertical="center" wrapText="1"/>
    </xf>
    <xf numFmtId="49" fontId="66" fillId="17" borderId="0" xfId="0" applyFont="1" applyFill="1" applyBorder="1" applyAlignment="1">
      <alignment vertical="top"/>
    </xf>
    <xf numFmtId="49" fontId="66" fillId="0" borderId="0" xfId="0" applyFont="1" applyBorder="1" applyAlignment="1">
      <alignment vertical="top"/>
    </xf>
    <xf numFmtId="0" fontId="43" fillId="0" borderId="17" xfId="0" applyNumberFormat="1" applyFont="1" applyBorder="1" applyAlignment="1">
      <alignment horizontal="center" vertical="center" wrapText="1"/>
    </xf>
    <xf numFmtId="0" fontId="57" fillId="0" borderId="25" xfId="0" applyNumberFormat="1" applyFont="1" applyBorder="1" applyAlignment="1">
      <alignment horizontal="center" vertical="center" wrapText="1"/>
    </xf>
    <xf numFmtId="0" fontId="45" fillId="0" borderId="0" xfId="0" applyNumberFormat="1" applyFont="1" applyBorder="1" applyAlignment="1">
      <alignment vertical="center"/>
    </xf>
    <xf numFmtId="49" fontId="0" fillId="0" borderId="12" xfId="0" applyFont="1" applyBorder="1" applyAlignment="1">
      <alignment vertical="top"/>
    </xf>
    <xf numFmtId="0" fontId="43" fillId="0" borderId="12" xfId="0" applyNumberFormat="1" applyFont="1" applyBorder="1" applyAlignment="1">
      <alignment horizontal="center" vertical="center" wrapText="1"/>
    </xf>
    <xf numFmtId="49" fontId="8" fillId="0" borderId="19" xfId="0" applyFont="1" applyBorder="1" applyAlignment="1">
      <alignment horizontal="center" vertical="center" wrapText="1"/>
    </xf>
    <xf numFmtId="49" fontId="55" fillId="7" borderId="12" xfId="0" applyFont="1" applyFill="1" applyBorder="1" applyAlignment="1" applyProtection="1">
      <alignment horizontal="left" vertical="center" wrapText="1" indent="1"/>
      <protection locked="0"/>
    </xf>
    <xf numFmtId="0" fontId="8" fillId="8" borderId="0" xfId="0" applyNumberFormat="1" applyFont="1" applyFill="1" applyBorder="1" applyAlignment="1">
      <alignment horizontal="center" vertical="top" wrapText="1"/>
    </xf>
    <xf numFmtId="0" fontId="17" fillId="8" borderId="12" xfId="0" applyNumberFormat="1" applyFont="1" applyFill="1" applyBorder="1" applyAlignment="1">
      <alignment horizontal="center" vertical="center" wrapText="1"/>
    </xf>
    <xf numFmtId="14" fontId="8" fillId="9" borderId="29" xfId="0" applyNumberFormat="1" applyFont="1" applyFill="1" applyBorder="1" applyAlignment="1">
      <alignment horizontal="left" vertical="center" wrapText="1"/>
    </xf>
    <xf numFmtId="49" fontId="95" fillId="7" borderId="12" xfId="0" applyFont="1" applyFill="1" applyBorder="1" applyAlignment="1" applyProtection="1">
      <alignment horizontal="left" vertical="center" wrapText="1"/>
      <protection locked="0"/>
    </xf>
    <xf numFmtId="49" fontId="0" fillId="7" borderId="12" xfId="0" applyFont="1" applyFill="1" applyBorder="1" applyAlignment="1" applyProtection="1">
      <alignment horizontal="center" vertical="center" wrapText="1"/>
      <protection locked="0"/>
    </xf>
    <xf numFmtId="0" fontId="0" fillId="7" borderId="13" xfId="0" applyNumberFormat="1" applyFont="1" applyFill="1" applyBorder="1" applyAlignment="1" applyProtection="1">
      <alignment horizontal="left" vertical="center" wrapText="1" indent="2"/>
      <protection locked="0"/>
    </xf>
    <xf numFmtId="49" fontId="8" fillId="7" borderId="25" xfId="0" applyFont="1" applyFill="1" applyBorder="1" applyAlignment="1" applyProtection="1">
      <alignment horizontal="left" vertical="center" wrapText="1" indent="1"/>
      <protection locked="0"/>
    </xf>
    <xf numFmtId="0" fontId="8" fillId="0" borderId="17" xfId="0" applyNumberFormat="1" applyFont="1" applyBorder="1" applyAlignment="1">
      <alignment vertical="top" wrapText="1"/>
    </xf>
    <xf numFmtId="49" fontId="8" fillId="0" borderId="30" xfId="0" applyFont="1" applyBorder="1" applyAlignment="1">
      <alignment horizontal="center" vertical="top" wrapText="1"/>
    </xf>
    <xf numFmtId="0" fontId="0" fillId="6" borderId="30" xfId="0" applyNumberFormat="1" applyFont="1" applyFill="1" applyBorder="1" applyAlignment="1">
      <alignment horizontal="left" vertical="top" wrapText="1" indent="1"/>
    </xf>
    <xf numFmtId="49" fontId="8" fillId="9" borderId="30" xfId="0" applyFont="1" applyFill="1" applyBorder="1" applyAlignment="1">
      <alignment horizontal="center" vertical="top" wrapText="1"/>
    </xf>
    <xf numFmtId="49" fontId="0" fillId="7" borderId="30" xfId="0" applyFont="1" applyFill="1" applyBorder="1" applyAlignment="1" applyProtection="1">
      <alignment horizontal="center" vertical="top" wrapText="1"/>
      <protection locked="0"/>
    </xf>
    <xf numFmtId="49" fontId="0" fillId="4" borderId="30" xfId="0" applyFont="1" applyFill="1" applyBorder="1" applyAlignment="1" applyProtection="1">
      <alignment horizontal="center" vertical="top" wrapText="1"/>
      <protection locked="0"/>
    </xf>
    <xf numFmtId="49" fontId="8" fillId="9" borderId="30" xfId="0" applyFont="1" applyFill="1" applyBorder="1" applyAlignment="1">
      <alignment horizontal="left" vertical="top" wrapText="1"/>
    </xf>
    <xf numFmtId="49" fontId="8" fillId="7" borderId="30" xfId="0" applyFont="1" applyFill="1" applyBorder="1" applyAlignment="1" applyProtection="1">
      <alignment horizontal="left" vertical="top" wrapText="1"/>
      <protection locked="0"/>
    </xf>
    <xf numFmtId="49" fontId="0" fillId="6" borderId="30" xfId="0" applyFont="1" applyFill="1" applyBorder="1" applyAlignment="1">
      <alignment horizontal="center" vertical="top" wrapText="1"/>
    </xf>
    <xf numFmtId="0" fontId="8" fillId="6" borderId="30" xfId="0" applyNumberFormat="1" applyFont="1" applyFill="1" applyBorder="1" applyAlignment="1">
      <alignment horizontal="center" vertical="top" wrapText="1"/>
    </xf>
    <xf numFmtId="0" fontId="8" fillId="4" borderId="30" xfId="0" applyNumberFormat="1" applyFont="1" applyFill="1" applyBorder="1" applyAlignment="1" applyProtection="1">
      <alignment horizontal="left" vertical="top" wrapText="1"/>
      <protection locked="0"/>
    </xf>
    <xf numFmtId="0" fontId="96" fillId="0" borderId="44" xfId="0" applyNumberFormat="1" applyFont="1" applyBorder="1" applyAlignment="1">
      <alignment horizontal="left" vertical="center" indent="1"/>
    </xf>
    <xf numFmtId="0" fontId="96" fillId="0" borderId="45" xfId="0" applyNumberFormat="1" applyFont="1" applyBorder="1" applyAlignment="1">
      <alignment horizontal="left" vertical="center" indent="1"/>
    </xf>
    <xf numFmtId="0" fontId="0" fillId="0" borderId="45" xfId="0" applyNumberFormat="1" applyFont="1" applyBorder="1" applyAlignment="1">
      <alignment horizontal="left" vertical="center" wrapText="1"/>
    </xf>
    <xf numFmtId="0" fontId="8" fillId="0" borderId="45"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49" fontId="97" fillId="10" borderId="27" xfId="0" applyFont="1" applyFill="1" applyBorder="1" applyAlignment="1">
      <alignment horizontal="left" vertical="center" indent="1"/>
    </xf>
    <xf numFmtId="49" fontId="48" fillId="10" borderId="27" xfId="0" applyFont="1" applyFill="1" applyBorder="1" applyAlignment="1">
      <alignment horizontal="center" vertical="center"/>
    </xf>
    <xf numFmtId="0" fontId="47" fillId="0" borderId="12" xfId="0" applyNumberFormat="1" applyFont="1" applyBorder="1" applyAlignment="1">
      <alignment horizontal="center" vertical="center"/>
    </xf>
    <xf numFmtId="49" fontId="97" fillId="10" borderId="13" xfId="0" applyFont="1" applyFill="1" applyBorder="1" applyAlignment="1">
      <alignment horizontal="left" vertical="center" indent="1"/>
    </xf>
    <xf numFmtId="49" fontId="97" fillId="10" borderId="10" xfId="0" applyFont="1" applyFill="1" applyBorder="1" applyAlignment="1">
      <alignment horizontal="left" vertical="center" indent="1"/>
    </xf>
    <xf numFmtId="49" fontId="47" fillId="10" borderId="10" xfId="0" applyFont="1" applyFill="1" applyBorder="1" applyAlignment="1">
      <alignment vertical="top" wrapText="1"/>
    </xf>
    <xf numFmtId="49" fontId="47" fillId="10" borderId="19" xfId="0" applyFont="1" applyFill="1" applyBorder="1" applyAlignment="1">
      <alignment vertical="top" wrapText="1"/>
    </xf>
    <xf numFmtId="49" fontId="98" fillId="0" borderId="0" xfId="0" applyFont="1" applyBorder="1" applyAlignment="1">
      <alignment horizontal="center" vertical="top" wrapText="1"/>
    </xf>
    <xf numFmtId="0" fontId="47" fillId="9" borderId="12" xfId="0" applyNumberFormat="1" applyFont="1" applyFill="1" applyBorder="1" applyAlignment="1">
      <alignment horizontal="left" vertical="center" wrapText="1" indent="1"/>
    </xf>
    <xf numFmtId="49" fontId="47" fillId="10" borderId="48" xfId="0" applyFont="1" applyFill="1" applyBorder="1" applyAlignment="1">
      <alignment vertical="top" wrapText="1"/>
    </xf>
    <xf numFmtId="49" fontId="97" fillId="10" borderId="48" xfId="0" applyFont="1" applyFill="1" applyBorder="1" applyAlignment="1">
      <alignment horizontal="left" vertical="center" indent="1"/>
    </xf>
    <xf numFmtId="0" fontId="0" fillId="10" borderId="49" xfId="0" applyNumberFormat="1" applyFont="1" applyFill="1" applyBorder="1" applyAlignment="1">
      <alignment horizontal="left" vertical="center"/>
    </xf>
    <xf numFmtId="49" fontId="46" fillId="10" borderId="50" xfId="0" applyFont="1" applyFill="1" applyBorder="1" applyAlignment="1">
      <alignment horizontal="left" vertical="center" indent="1"/>
    </xf>
    <xf numFmtId="0" fontId="8" fillId="10" borderId="49" xfId="0" applyNumberFormat="1" applyFont="1" applyFill="1" applyBorder="1" applyAlignment="1">
      <alignment vertical="center" wrapText="1"/>
    </xf>
    <xf numFmtId="0" fontId="8" fillId="10" borderId="50" xfId="0" applyNumberFormat="1" applyFont="1" applyFill="1" applyBorder="1" applyAlignment="1">
      <alignment vertical="center" wrapText="1"/>
    </xf>
    <xf numFmtId="0" fontId="8" fillId="10" borderId="51" xfId="0" applyNumberFormat="1" applyFont="1" applyFill="1" applyBorder="1" applyAlignment="1">
      <alignment vertical="center" wrapText="1"/>
    </xf>
    <xf numFmtId="49" fontId="0" fillId="6" borderId="30" xfId="0" applyFont="1" applyFill="1" applyBorder="1" applyAlignment="1">
      <alignment vertical="top"/>
    </xf>
    <xf numFmtId="49" fontId="0" fillId="0" borderId="30" xfId="0" applyFont="1" applyBorder="1" applyAlignment="1">
      <alignment vertical="top"/>
    </xf>
    <xf numFmtId="49" fontId="8" fillId="9" borderId="25" xfId="0" applyFont="1" applyFill="1" applyBorder="1" applyAlignment="1">
      <alignment vertical="center" wrapText="1"/>
    </xf>
    <xf numFmtId="49" fontId="0" fillId="7" borderId="30" xfId="0" applyFont="1" applyFill="1" applyBorder="1" applyAlignment="1" applyProtection="1">
      <alignment vertical="top"/>
      <protection locked="0"/>
    </xf>
    <xf numFmtId="49" fontId="0" fillId="7" borderId="25" xfId="0" applyFont="1" applyFill="1" applyBorder="1" applyAlignment="1" applyProtection="1">
      <alignment vertical="top"/>
      <protection locked="0"/>
    </xf>
    <xf numFmtId="14" fontId="8" fillId="9" borderId="30" xfId="0" applyNumberFormat="1" applyFont="1" applyFill="1" applyBorder="1" applyAlignment="1">
      <alignment horizontal="left" vertical="center" wrapText="1" indent="1"/>
    </xf>
    <xf numFmtId="49" fontId="8" fillId="9" borderId="30" xfId="0" applyFont="1" applyFill="1" applyBorder="1" applyAlignment="1">
      <alignment vertical="center" wrapText="1"/>
    </xf>
    <xf numFmtId="49" fontId="8" fillId="9" borderId="18" xfId="0" applyFont="1" applyFill="1" applyBorder="1" applyAlignment="1">
      <alignment vertical="center" wrapText="1"/>
    </xf>
    <xf numFmtId="49" fontId="0" fillId="7" borderId="18" xfId="0" applyFont="1" applyFill="1" applyBorder="1" applyAlignment="1" applyProtection="1">
      <alignment vertical="top"/>
      <protection locked="0"/>
    </xf>
    <xf numFmtId="49" fontId="98" fillId="0" borderId="30" xfId="0" applyFont="1" applyBorder="1" applyAlignment="1">
      <alignment horizontal="center" vertical="top" wrapText="1"/>
    </xf>
    <xf numFmtId="0" fontId="47" fillId="0" borderId="19" xfId="0" applyNumberFormat="1" applyFont="1" applyBorder="1" applyAlignment="1">
      <alignment horizontal="center" vertical="center"/>
    </xf>
    <xf numFmtId="0" fontId="96" fillId="0" borderId="52" xfId="0" applyNumberFormat="1" applyFont="1" applyBorder="1" applyAlignment="1">
      <alignment horizontal="left" vertical="center" indent="1"/>
    </xf>
    <xf numFmtId="49" fontId="8" fillId="0" borderId="53" xfId="0" applyFont="1" applyBorder="1" applyAlignment="1">
      <alignment horizontal="center" vertical="center"/>
    </xf>
    <xf numFmtId="0" fontId="8" fillId="0" borderId="53" xfId="0" applyNumberFormat="1" applyFont="1" applyBorder="1" applyAlignment="1">
      <alignment horizontal="right" vertical="center"/>
    </xf>
    <xf numFmtId="0" fontId="8" fillId="0" borderId="53" xfId="0" applyNumberFormat="1" applyFont="1" applyBorder="1" applyAlignment="1">
      <alignment horizontal="center" vertical="center"/>
    </xf>
    <xf numFmtId="0" fontId="8" fillId="0" borderId="10" xfId="0" applyNumberFormat="1" applyFont="1" applyBorder="1" applyAlignment="1">
      <alignment horizontal="right" vertical="center"/>
    </xf>
    <xf numFmtId="0" fontId="8" fillId="0" borderId="19" xfId="0" applyNumberFormat="1" applyFont="1" applyBorder="1" applyAlignment="1">
      <alignment horizontal="right" vertical="center"/>
    </xf>
    <xf numFmtId="0" fontId="8" fillId="4" borderId="12" xfId="0" applyNumberFormat="1" applyFont="1" applyFill="1" applyBorder="1" applyAlignment="1" applyProtection="1">
      <alignment horizontal="left" vertical="center" indent="1"/>
      <protection locked="0"/>
    </xf>
    <xf numFmtId="0" fontId="8" fillId="16" borderId="12" xfId="0" applyNumberFormat="1" applyFont="1" applyFill="1" applyBorder="1" applyAlignment="1">
      <alignment horizontal="right" vertical="center"/>
    </xf>
    <xf numFmtId="3" fontId="8" fillId="4" borderId="12" xfId="0" applyNumberFormat="1" applyFont="1" applyFill="1" applyBorder="1" applyAlignment="1" applyProtection="1">
      <alignment horizontal="right" vertical="center"/>
      <protection locked="0"/>
    </xf>
    <xf numFmtId="4" fontId="8" fillId="4" borderId="12" xfId="0" applyNumberFormat="1" applyFont="1" applyFill="1" applyBorder="1" applyAlignment="1" applyProtection="1">
      <alignment horizontal="right" vertical="center"/>
      <protection locked="0"/>
    </xf>
    <xf numFmtId="49" fontId="46" fillId="10" borderId="54" xfId="0" applyFont="1" applyFill="1" applyBorder="1" applyAlignment="1">
      <alignment horizontal="left" vertical="center" indent="1"/>
    </xf>
    <xf numFmtId="49" fontId="46" fillId="18" borderId="19" xfId="0" applyFont="1" applyFill="1" applyBorder="1" applyAlignment="1">
      <alignment horizontal="left" vertical="center" indent="1"/>
    </xf>
    <xf numFmtId="0" fontId="46" fillId="0" borderId="12" xfId="0" applyNumberFormat="1" applyFont="1" applyBorder="1" applyAlignment="1">
      <alignment horizontal="left" vertical="center" indent="1"/>
    </xf>
    <xf numFmtId="0" fontId="17" fillId="0" borderId="18" xfId="0" applyNumberFormat="1" applyFont="1" applyBorder="1" applyAlignment="1">
      <alignment vertical="center" wrapText="1"/>
    </xf>
    <xf numFmtId="2" fontId="17" fillId="0" borderId="18" xfId="0" applyNumberFormat="1" applyFont="1" applyBorder="1" applyAlignment="1">
      <alignment horizontal="center" vertical="center" wrapText="1"/>
    </xf>
    <xf numFmtId="0" fontId="17" fillId="0" borderId="0" xfId="0" applyNumberFormat="1" applyFont="1" applyBorder="1" applyAlignment="1">
      <alignment horizontal="center" vertical="top"/>
    </xf>
    <xf numFmtId="49" fontId="17" fillId="0" borderId="13" xfId="0" applyFont="1" applyBorder="1" applyAlignment="1">
      <alignment horizontal="left" vertical="center"/>
    </xf>
    <xf numFmtId="49" fontId="17" fillId="0" borderId="10" xfId="0" applyFont="1" applyBorder="1" applyAlignment="1">
      <alignment horizontal="left" vertical="center" indent="1"/>
    </xf>
    <xf numFmtId="49" fontId="17" fillId="0" borderId="10" xfId="0" applyFont="1" applyBorder="1" applyAlignment="1">
      <alignment horizontal="left" vertical="center"/>
    </xf>
    <xf numFmtId="49" fontId="17" fillId="0" borderId="19" xfId="0" applyFont="1" applyBorder="1" applyAlignment="1">
      <alignment horizontal="left" vertical="center" indent="1"/>
    </xf>
    <xf numFmtId="0" fontId="17" fillId="0" borderId="12" xfId="0" applyNumberFormat="1" applyFont="1" applyBorder="1" applyAlignment="1">
      <alignment horizontal="left" vertical="center" indent="1"/>
    </xf>
    <xf numFmtId="49" fontId="0" fillId="0" borderId="14" xfId="0" applyFont="1" applyBorder="1" applyAlignment="1">
      <alignment vertical="top"/>
    </xf>
    <xf numFmtId="49" fontId="0" fillId="0" borderId="19" xfId="0" applyFont="1" applyBorder="1" applyAlignment="1">
      <alignment horizontal="center" vertical="center" wrapText="1"/>
    </xf>
    <xf numFmtId="49" fontId="0" fillId="0" borderId="29" xfId="0" applyFont="1" applyBorder="1" applyAlignment="1">
      <alignment horizontal="center" vertical="center" wrapText="1"/>
    </xf>
    <xf numFmtId="49" fontId="0" fillId="10" borderId="28" xfId="0" applyFont="1" applyFill="1" applyBorder="1" applyAlignment="1">
      <alignment horizontal="center" vertical="center"/>
    </xf>
    <xf numFmtId="49" fontId="0" fillId="10" borderId="10" xfId="0" applyFont="1" applyFill="1" applyBorder="1" applyAlignment="1">
      <alignment horizontal="center" vertical="center"/>
    </xf>
    <xf numFmtId="49" fontId="0" fillId="0" borderId="16" xfId="0" applyFont="1" applyBorder="1" applyAlignment="1">
      <alignment vertical="top"/>
    </xf>
    <xf numFmtId="49" fontId="0" fillId="0" borderId="17" xfId="0" applyFont="1" applyBorder="1" applyAlignment="1">
      <alignment vertical="top"/>
    </xf>
    <xf numFmtId="49" fontId="0" fillId="0" borderId="0" xfId="0" applyFont="1" applyBorder="1" applyAlignment="1">
      <alignment horizontal="left" vertical="top"/>
    </xf>
    <xf numFmtId="49" fontId="0" fillId="0" borderId="30" xfId="0" applyFont="1" applyBorder="1" applyAlignment="1">
      <alignment horizontal="left" vertical="top"/>
    </xf>
    <xf numFmtId="0" fontId="8" fillId="9" borderId="30" xfId="0" applyNumberFormat="1" applyFont="1" applyFill="1" applyBorder="1" applyAlignment="1">
      <alignment horizontal="center" vertical="top" wrapText="1"/>
    </xf>
    <xf numFmtId="49" fontId="0" fillId="9" borderId="30" xfId="0" applyFont="1" applyFill="1" applyBorder="1" applyAlignment="1">
      <alignment horizontal="left" vertical="top"/>
    </xf>
    <xf numFmtId="49" fontId="0" fillId="4" borderId="30" xfId="0" applyFont="1" applyFill="1" applyBorder="1" applyAlignment="1" applyProtection="1">
      <alignment horizontal="left" vertical="top"/>
      <protection locked="0"/>
    </xf>
    <xf numFmtId="49" fontId="8" fillId="9" borderId="0" xfId="0" applyFont="1" applyFill="1" applyBorder="1" applyAlignment="1">
      <alignment horizontal="center" vertical="center" wrapText="1"/>
    </xf>
    <xf numFmtId="0" fontId="46" fillId="0" borderId="30" xfId="0" applyNumberFormat="1" applyFont="1" applyBorder="1" applyAlignment="1">
      <alignment horizontal="left" vertical="center"/>
    </xf>
    <xf numFmtId="49" fontId="0" fillId="9" borderId="30" xfId="0" applyFont="1" applyFill="1" applyBorder="1" applyAlignment="1" applyProtection="1">
      <alignment horizontal="left" vertical="center" wrapText="1"/>
      <protection locked="0"/>
    </xf>
    <xf numFmtId="49" fontId="8" fillId="9" borderId="30" xfId="0" applyFont="1" applyFill="1" applyBorder="1" applyAlignment="1">
      <alignment horizontal="center" vertical="center" wrapText="1"/>
    </xf>
    <xf numFmtId="0" fontId="46" fillId="4" borderId="30" xfId="0" applyNumberFormat="1" applyFont="1" applyFill="1" applyBorder="1" applyAlignment="1" applyProtection="1">
      <alignment horizontal="left" vertical="center"/>
      <protection locked="0"/>
    </xf>
    <xf numFmtId="0" fontId="46" fillId="7" borderId="30" xfId="0" applyNumberFormat="1" applyFont="1" applyFill="1" applyBorder="1" applyAlignment="1" applyProtection="1">
      <alignment horizontal="left" vertical="center"/>
      <protection locked="0"/>
    </xf>
    <xf numFmtId="49" fontId="0" fillId="4" borderId="30" xfId="0" applyFont="1" applyFill="1" applyBorder="1" applyAlignment="1" applyProtection="1">
      <alignment vertical="top"/>
      <protection locked="0"/>
    </xf>
    <xf numFmtId="49" fontId="8" fillId="0" borderId="30" xfId="0" applyFont="1" applyBorder="1" applyAlignment="1">
      <alignment vertical="center" wrapText="1"/>
    </xf>
    <xf numFmtId="49" fontId="37" fillId="0" borderId="30" xfId="0" applyFont="1" applyBorder="1" applyAlignment="1">
      <alignment vertical="center" wrapText="1"/>
    </xf>
    <xf numFmtId="0" fontId="8" fillId="0" borderId="30" xfId="0" applyNumberFormat="1" applyFont="1" applyBorder="1" applyAlignment="1">
      <alignment horizontal="left" vertical="center" wrapText="1"/>
    </xf>
    <xf numFmtId="49" fontId="8" fillId="0" borderId="30" xfId="0" applyFont="1" applyBorder="1" applyAlignment="1">
      <alignment horizontal="left" vertical="center" wrapText="1"/>
    </xf>
    <xf numFmtId="49" fontId="8" fillId="0" borderId="30" xfId="0" applyFont="1" applyBorder="1" applyAlignment="1">
      <alignment horizontal="center" vertical="center" wrapText="1"/>
    </xf>
    <xf numFmtId="0" fontId="46" fillId="0" borderId="18" xfId="0" applyNumberFormat="1" applyFont="1" applyBorder="1" applyAlignment="1">
      <alignment horizontal="left" vertical="center"/>
    </xf>
    <xf numFmtId="0" fontId="46" fillId="10" borderId="22" xfId="0" applyNumberFormat="1" applyFont="1" applyFill="1" applyBorder="1" applyAlignment="1">
      <alignment horizontal="left" vertical="center"/>
    </xf>
    <xf numFmtId="49" fontId="37" fillId="0" borderId="30" xfId="0" applyFont="1" applyBorder="1" applyAlignment="1">
      <alignment horizontal="center" vertical="center" wrapText="1"/>
    </xf>
    <xf numFmtId="0" fontId="46" fillId="10" borderId="22" xfId="0" applyNumberFormat="1" applyFont="1" applyFill="1" applyBorder="1" applyAlignment="1">
      <alignment vertical="center"/>
    </xf>
    <xf numFmtId="49" fontId="59" fillId="10" borderId="13" xfId="0" applyFont="1" applyFill="1" applyBorder="1" applyAlignment="1">
      <alignment vertical="top"/>
    </xf>
    <xf numFmtId="49" fontId="59" fillId="10" borderId="10" xfId="0" applyFont="1" applyFill="1" applyBorder="1" applyAlignment="1">
      <alignment vertical="top"/>
    </xf>
    <xf numFmtId="49" fontId="0" fillId="0" borderId="0" xfId="0" applyFont="1" applyBorder="1" applyAlignment="1">
      <alignment vertical="center" wrapText="1"/>
    </xf>
    <xf numFmtId="49" fontId="13" fillId="13" borderId="0" xfId="0" applyFont="1" applyFill="1" applyBorder="1" applyAlignment="1">
      <alignment horizontal="center" vertical="center"/>
    </xf>
    <xf numFmtId="49" fontId="13" fillId="13" borderId="0" xfId="0" applyFont="1" applyFill="1" applyBorder="1" applyAlignment="1">
      <alignment horizontal="center" vertical="center" wrapText="1"/>
    </xf>
    <xf numFmtId="49" fontId="8" fillId="0" borderId="12" xfId="0" applyFont="1" applyBorder="1" applyAlignment="1">
      <alignment horizontal="center" vertical="top"/>
    </xf>
    <xf numFmtId="49" fontId="8" fillId="0" borderId="0" xfId="0" applyFont="1" applyBorder="1" applyAlignment="1">
      <alignment horizontal="center" vertical="top"/>
    </xf>
    <xf numFmtId="49" fontId="15" fillId="13" borderId="0" xfId="0" applyFont="1" applyFill="1" applyBorder="1" applyAlignment="1">
      <alignment horizontal="center" vertical="center" wrapText="1"/>
    </xf>
    <xf numFmtId="0" fontId="0" fillId="12" borderId="12" xfId="0" applyNumberFormat="1" applyFont="1" applyFill="1" applyBorder="1" applyAlignment="1">
      <alignment horizontal="center" vertical="center"/>
    </xf>
    <xf numFmtId="49" fontId="15" fillId="13" borderId="12" xfId="0" applyFont="1" applyFill="1" applyBorder="1" applyAlignment="1">
      <alignment horizontal="center" vertical="center"/>
    </xf>
    <xf numFmtId="49" fontId="15" fillId="14" borderId="12" xfId="0" applyFont="1" applyFill="1" applyBorder="1" applyAlignment="1">
      <alignment horizontal="center" vertical="center"/>
    </xf>
    <xf numFmtId="49" fontId="0" fillId="15" borderId="12" xfId="0" applyFont="1" applyFill="1" applyBorder="1" applyAlignment="1">
      <alignment horizontal="center" vertical="center"/>
    </xf>
    <xf numFmtId="0" fontId="8" fillId="0" borderId="12" xfId="0" applyNumberFormat="1" applyFont="1" applyBorder="1" applyAlignment="1">
      <alignment vertical="center"/>
    </xf>
    <xf numFmtId="0" fontId="0" fillId="0" borderId="12" xfId="0" applyNumberFormat="1" applyFont="1" applyBorder="1" applyAlignment="1">
      <alignment vertical="center"/>
    </xf>
    <xf numFmtId="0" fontId="0" fillId="0" borderId="13" xfId="0" applyNumberFormat="1" applyFont="1" applyBorder="1" applyAlignment="1">
      <alignment vertical="center"/>
    </xf>
    <xf numFmtId="0" fontId="8" fillId="0" borderId="13" xfId="0" applyNumberFormat="1" applyFont="1" applyBorder="1" applyAlignment="1">
      <alignment horizontal="left" vertical="center"/>
    </xf>
    <xf numFmtId="49" fontId="8" fillId="0" borderId="55" xfId="0" applyFont="1" applyBorder="1" applyAlignment="1">
      <alignment vertical="center"/>
    </xf>
    <xf numFmtId="49" fontId="8" fillId="0" borderId="56" xfId="0" applyFont="1" applyBorder="1" applyAlignment="1">
      <alignment vertical="top"/>
    </xf>
    <xf numFmtId="49" fontId="8" fillId="0" borderId="57" xfId="0" applyFont="1" applyBorder="1" applyAlignment="1">
      <alignment vertical="top"/>
    </xf>
    <xf numFmtId="0" fontId="0" fillId="0" borderId="19" xfId="0" applyNumberFormat="1" applyFont="1" applyBorder="1" applyAlignment="1">
      <alignment vertical="center"/>
    </xf>
    <xf numFmtId="0" fontId="0" fillId="0" borderId="12" xfId="0" applyNumberFormat="1" applyFont="1" applyBorder="1" applyAlignment="1">
      <alignment horizontal="right" vertical="top"/>
    </xf>
    <xf numFmtId="0" fontId="0" fillId="0" borderId="12" xfId="0" applyNumberFormat="1" applyFont="1" applyBorder="1" applyAlignment="1">
      <alignment vertical="top"/>
    </xf>
    <xf numFmtId="0" fontId="8" fillId="0" borderId="19" xfId="0" applyNumberFormat="1" applyFont="1" applyBorder="1" applyAlignment="1">
      <alignment vertical="center"/>
    </xf>
    <xf numFmtId="49" fontId="8" fillId="0" borderId="12" xfId="0" applyFont="1" applyBorder="1" applyAlignment="1">
      <alignment vertical="center"/>
    </xf>
    <xf numFmtId="0" fontId="8" fillId="0" borderId="12" xfId="0" applyNumberFormat="1" applyFont="1" applyBorder="1" applyAlignment="1">
      <alignment vertical="top"/>
    </xf>
    <xf numFmtId="0" fontId="0" fillId="19" borderId="0" xfId="0" applyNumberFormat="1" applyFont="1" applyFill="1" applyBorder="1" applyAlignment="1">
      <alignment horizontal="right" vertical="center"/>
    </xf>
    <xf numFmtId="49" fontId="13" fillId="0" borderId="0" xfId="0" applyFont="1" applyBorder="1" applyAlignment="1">
      <alignment horizontal="center" vertical="center"/>
    </xf>
    <xf numFmtId="0" fontId="0" fillId="19" borderId="0" xfId="0" applyNumberFormat="1" applyFont="1" applyFill="1" applyBorder="1" applyAlignment="1">
      <alignment horizontal="left" vertical="center"/>
    </xf>
    <xf numFmtId="0" fontId="0" fillId="0" borderId="0" xfId="0" applyNumberFormat="1" applyFont="1" applyBorder="1" applyAlignment="1">
      <alignment horizontal="right" vertical="top"/>
    </xf>
    <xf numFmtId="49" fontId="8" fillId="0" borderId="13" xfId="0" applyFont="1" applyBorder="1" applyAlignment="1">
      <alignment vertical="top"/>
    </xf>
    <xf numFmtId="0" fontId="0" fillId="0" borderId="0" xfId="0" applyNumberFormat="1" applyFont="1" applyBorder="1" applyAlignment="1">
      <alignment horizontal="left" vertical="center"/>
    </xf>
    <xf numFmtId="0" fontId="44" fillId="19" borderId="0" xfId="0" applyNumberFormat="1" applyFont="1" applyFill="1" applyBorder="1" applyAlignment="1">
      <alignment horizontal="left" vertical="center"/>
    </xf>
    <xf numFmtId="0" fontId="44" fillId="0" borderId="0" xfId="0" applyNumberFormat="1" applyFont="1" applyBorder="1" applyAlignment="1">
      <alignment horizontal="left" vertical="center"/>
    </xf>
    <xf numFmtId="49" fontId="0" fillId="0" borderId="13" xfId="0" applyFont="1" applyBorder="1" applyAlignment="1">
      <alignment vertical="top"/>
    </xf>
    <xf numFmtId="49" fontId="8" fillId="0" borderId="12" xfId="0" applyFont="1" applyBorder="1" applyAlignment="1">
      <alignment horizontal="right" vertical="top"/>
    </xf>
    <xf numFmtId="0" fontId="0" fillId="0" borderId="13" xfId="0" applyNumberFormat="1" applyFont="1" applyBorder="1" applyAlignment="1">
      <alignment horizontal="left" vertical="center"/>
    </xf>
    <xf numFmtId="49" fontId="8" fillId="0" borderId="25" xfId="0" applyFont="1" applyBorder="1" applyAlignment="1">
      <alignment horizontal="right" vertical="top"/>
    </xf>
    <xf numFmtId="0" fontId="0" fillId="0" borderId="25" xfId="0" applyNumberFormat="1" applyFont="1" applyBorder="1" applyAlignment="1">
      <alignment vertical="top"/>
    </xf>
    <xf numFmtId="0" fontId="8" fillId="0" borderId="25" xfId="0" applyNumberFormat="1" applyFont="1" applyBorder="1" applyAlignment="1">
      <alignment vertical="center"/>
    </xf>
    <xf numFmtId="49" fontId="8" fillId="0" borderId="37" xfId="0" applyFont="1" applyBorder="1" applyAlignment="1">
      <alignment horizontal="center" vertical="center"/>
    </xf>
    <xf numFmtId="49" fontId="8" fillId="0" borderId="12" xfId="0" applyFont="1" applyBorder="1" applyAlignment="1">
      <alignment horizontal="right" vertical="center"/>
    </xf>
    <xf numFmtId="49" fontId="8" fillId="0" borderId="12" xfId="0" applyFont="1" applyBorder="1" applyAlignment="1">
      <alignment vertical="top"/>
    </xf>
    <xf numFmtId="0" fontId="8" fillId="19" borderId="0" xfId="0" applyNumberFormat="1" applyFont="1" applyFill="1" applyBorder="1" applyAlignment="1">
      <alignment horizontal="left" vertical="center"/>
    </xf>
    <xf numFmtId="0" fontId="0" fillId="19" borderId="58" xfId="0" applyNumberFormat="1" applyFont="1" applyFill="1" applyBorder="1" applyAlignment="1">
      <alignment horizontal="center"/>
    </xf>
    <xf numFmtId="49" fontId="99" fillId="0" borderId="57" xfId="0" applyFont="1" applyBorder="1" applyAlignment="1">
      <alignment vertical="top"/>
    </xf>
    <xf numFmtId="49" fontId="47" fillId="20" borderId="0" xfId="0" applyFont="1" applyFill="1" applyBorder="1" applyAlignment="1">
      <alignment vertical="center" wrapText="1"/>
    </xf>
    <xf numFmtId="0" fontId="0" fillId="0" borderId="58" xfId="0" applyNumberFormat="1" applyFont="1" applyBorder="1" applyAlignment="1">
      <alignment horizontal="center"/>
    </xf>
    <xf numFmtId="49" fontId="8" fillId="19" borderId="0" xfId="0" applyFont="1" applyFill="1" applyBorder="1" applyAlignment="1">
      <alignment horizontal="center" vertical="center"/>
    </xf>
    <xf numFmtId="49" fontId="0" fillId="4" borderId="37" xfId="0" applyFont="1" applyFill="1" applyBorder="1" applyAlignment="1" applyProtection="1">
      <alignment horizontal="left" vertical="center"/>
      <protection locked="0"/>
    </xf>
    <xf numFmtId="49" fontId="0" fillId="0" borderId="37" xfId="0" applyFont="1" applyBorder="1" applyAlignment="1">
      <alignment horizontal="right" vertical="center"/>
    </xf>
    <xf numFmtId="0" fontId="0" fillId="6" borderId="37" xfId="0" applyNumberFormat="1" applyFont="1" applyFill="1" applyBorder="1" applyAlignment="1">
      <alignment horizontal="center" vertical="center"/>
    </xf>
    <xf numFmtId="49" fontId="0" fillId="0" borderId="37" xfId="0" applyFont="1" applyBorder="1" applyAlignment="1">
      <alignment horizontal="center" vertical="center"/>
    </xf>
    <xf numFmtId="49" fontId="0" fillId="0" borderId="0" xfId="0" applyFont="1" applyBorder="1" applyAlignment="1">
      <alignment horizontal="left" vertical="center"/>
    </xf>
    <xf numFmtId="0" fontId="0" fillId="0" borderId="0"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0" fillId="0" borderId="59" xfId="0" applyNumberFormat="1" applyFont="1" applyBorder="1" applyAlignment="1">
      <alignment horizontal="center" vertical="center"/>
    </xf>
    <xf numFmtId="49" fontId="13" fillId="13" borderId="12" xfId="0" applyFont="1" applyFill="1" applyBorder="1" applyAlignment="1">
      <alignment horizontal="right" vertical="center"/>
    </xf>
    <xf numFmtId="49" fontId="8" fillId="4" borderId="22" xfId="0" applyFont="1" applyFill="1" applyBorder="1" applyAlignment="1" applyProtection="1">
      <alignment vertical="top"/>
      <protection locked="0"/>
    </xf>
    <xf numFmtId="0" fontId="0" fillId="16" borderId="12" xfId="0" applyNumberFormat="1" applyFont="1" applyFill="1" applyBorder="1" applyAlignment="1">
      <alignment horizontal="right" vertical="center"/>
    </xf>
    <xf numFmtId="49" fontId="8" fillId="16" borderId="18" xfId="0" applyFont="1" applyFill="1" applyBorder="1" applyAlignment="1">
      <alignment vertical="top"/>
    </xf>
    <xf numFmtId="49" fontId="8" fillId="16" borderId="12" xfId="0" applyFont="1" applyFill="1" applyBorder="1" applyAlignment="1">
      <alignment vertical="top"/>
    </xf>
    <xf numFmtId="49" fontId="8" fillId="0" borderId="13" xfId="0" applyFont="1" applyBorder="1" applyAlignment="1">
      <alignment horizontal="center" vertical="top"/>
    </xf>
    <xf numFmtId="49" fontId="8" fillId="0" borderId="19" xfId="0" applyFont="1" applyBorder="1" applyAlignment="1">
      <alignment horizontal="center" vertical="top"/>
    </xf>
    <xf numFmtId="0" fontId="8" fillId="6" borderId="28" xfId="0" applyNumberFormat="1" applyFont="1" applyFill="1" applyBorder="1" applyAlignment="1">
      <alignment horizontal="center" vertical="top"/>
    </xf>
    <xf numFmtId="0" fontId="8" fillId="6" borderId="28" xfId="0" applyNumberFormat="1" applyFont="1" applyFill="1" applyBorder="1" applyAlignment="1">
      <alignment horizontal="left" vertical="top"/>
    </xf>
    <xf numFmtId="0" fontId="0" fillId="0" borderId="35" xfId="0" applyNumberFormat="1" applyFont="1" applyBorder="1" applyAlignment="1">
      <alignment horizontal="center" vertical="center"/>
    </xf>
    <xf numFmtId="0" fontId="0" fillId="0" borderId="40" xfId="0" applyNumberFormat="1" applyFont="1" applyBorder="1" applyAlignment="1">
      <alignment horizontal="center" vertical="center"/>
    </xf>
    <xf numFmtId="0" fontId="8" fillId="0" borderId="12" xfId="0" applyNumberFormat="1" applyFont="1" applyBorder="1" applyAlignment="1">
      <alignment horizontal="left" vertical="top"/>
    </xf>
    <xf numFmtId="49" fontId="8" fillId="0" borderId="0" xfId="0" applyFont="1" applyBorder="1" applyAlignment="1">
      <alignment horizontal="left" vertical="top"/>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13" fillId="13" borderId="13" xfId="0" applyFont="1" applyFill="1" applyBorder="1" applyAlignment="1">
      <alignment horizontal="right" vertical="center"/>
    </xf>
    <xf numFmtId="0" fontId="0" fillId="19" borderId="0" xfId="0" applyNumberFormat="1" applyFont="1" applyFill="1" applyBorder="1" applyAlignment="1">
      <alignment horizontal="left" vertical="center" wrapText="1"/>
    </xf>
    <xf numFmtId="49" fontId="100" fillId="0" borderId="0" xfId="0" applyFont="1" applyBorder="1" applyAlignment="1">
      <alignment vertical="top" wrapText="1"/>
    </xf>
    <xf numFmtId="49" fontId="100" fillId="0" borderId="0" xfId="0" applyFont="1" applyBorder="1" applyAlignment="1">
      <alignment vertical="top"/>
    </xf>
    <xf numFmtId="49" fontId="100" fillId="0" borderId="12" xfId="0" applyFont="1" applyBorder="1" applyAlignment="1">
      <alignment vertical="top" wrapText="1"/>
    </xf>
    <xf numFmtId="49" fontId="12" fillId="0" borderId="12" xfId="0" applyFont="1" applyBorder="1" applyAlignment="1">
      <alignment horizontal="center" vertical="top" wrapText="1"/>
    </xf>
    <xf numFmtId="49" fontId="12" fillId="16" borderId="12" xfId="0" applyFont="1" applyFill="1" applyBorder="1" applyAlignment="1">
      <alignment horizontal="center" vertical="top"/>
    </xf>
    <xf numFmtId="49" fontId="12" fillId="0" borderId="12" xfId="0" applyFont="1" applyBorder="1" applyAlignment="1">
      <alignment vertical="top" wrapText="1"/>
    </xf>
    <xf numFmtId="0" fontId="12" fillId="0" borderId="12" xfId="0" applyNumberFormat="1" applyFont="1" applyBorder="1" applyAlignment="1">
      <alignment vertical="top" wrapText="1"/>
    </xf>
    <xf numFmtId="49" fontId="12" fillId="0" borderId="12" xfId="0" applyFont="1" applyBorder="1" applyAlignment="1">
      <alignment vertical="top"/>
    </xf>
    <xf numFmtId="49" fontId="100" fillId="0" borderId="12" xfId="0" applyFont="1" applyBorder="1" applyAlignment="1">
      <alignment vertical="top"/>
    </xf>
    <xf numFmtId="0" fontId="100" fillId="0" borderId="12" xfId="0" applyNumberFormat="1" applyFont="1" applyBorder="1" applyAlignment="1">
      <alignment vertical="top" wrapText="1"/>
    </xf>
    <xf numFmtId="0" fontId="101" fillId="0" borderId="12" xfId="0" applyNumberFormat="1" applyFont="1" applyBorder="1" applyAlignment="1">
      <alignment vertical="top" wrapText="1"/>
    </xf>
    <xf numFmtId="49" fontId="100" fillId="0" borderId="0" xfId="0" applyFont="1" applyBorder="1" applyAlignment="1">
      <alignment horizontal="left" vertical="top" wrapText="1"/>
    </xf>
    <xf numFmtId="49" fontId="100" fillId="16" borderId="0" xfId="0" applyFont="1" applyFill="1" applyBorder="1" applyAlignment="1">
      <alignment horizontal="left" vertical="top" wrapText="1"/>
    </xf>
    <xf numFmtId="0" fontId="100" fillId="0" borderId="0" xfId="0" applyNumberFormat="1" applyFont="1" applyBorder="1" applyAlignment="1">
      <alignment vertical="top" wrapText="1"/>
    </xf>
    <xf numFmtId="49" fontId="100" fillId="0" borderId="12" xfId="0" applyFont="1" applyBorder="1" applyAlignment="1">
      <alignment horizontal="center" vertical="top" wrapText="1"/>
    </xf>
    <xf numFmtId="49" fontId="100" fillId="16" borderId="12" xfId="0" applyFont="1" applyFill="1" applyBorder="1" applyAlignment="1">
      <alignment horizontal="center" vertical="top" wrapText="1"/>
    </xf>
    <xf numFmtId="49" fontId="100" fillId="0" borderId="0" xfId="0" applyFont="1" applyBorder="1" applyAlignment="1">
      <alignment horizontal="center" vertical="top" wrapText="1"/>
    </xf>
    <xf numFmtId="49" fontId="12" fillId="16" borderId="12" xfId="0" applyFont="1" applyFill="1" applyBorder="1" applyAlignment="1">
      <alignment horizontal="center" vertical="top" wrapText="1"/>
    </xf>
    <xf numFmtId="49" fontId="100" fillId="0" borderId="12" xfId="0" applyFont="1" applyBorder="1" applyAlignment="1">
      <alignment horizontal="left" vertical="top" wrapText="1"/>
    </xf>
    <xf numFmtId="0" fontId="12" fillId="16" borderId="12" xfId="0" applyNumberFormat="1" applyFont="1" applyFill="1" applyBorder="1" applyAlignment="1">
      <alignment horizontal="center" vertical="top" wrapText="1"/>
    </xf>
    <xf numFmtId="0" fontId="100" fillId="16" borderId="12" xfId="0" applyNumberFormat="1" applyFont="1" applyFill="1" applyBorder="1" applyAlignment="1">
      <alignment horizontal="right" vertical="center" wrapText="1"/>
    </xf>
    <xf numFmtId="0" fontId="100" fillId="0" borderId="12" xfId="0" applyNumberFormat="1" applyFont="1" applyBorder="1" applyAlignment="1">
      <alignment horizontal="left" vertical="top" wrapText="1"/>
    </xf>
    <xf numFmtId="49" fontId="100" fillId="16" borderId="12" xfId="0" applyFont="1" applyFill="1" applyBorder="1" applyAlignment="1">
      <alignment horizontal="left" vertical="top" wrapText="1"/>
    </xf>
    <xf numFmtId="0" fontId="100" fillId="16" borderId="12" xfId="0" applyNumberFormat="1" applyFont="1" applyFill="1" applyBorder="1" applyAlignment="1">
      <alignment horizontal="center" vertical="center" wrapText="1"/>
    </xf>
    <xf numFmtId="49" fontId="100" fillId="0" borderId="25" xfId="0" applyFont="1" applyBorder="1" applyAlignment="1">
      <alignment horizontal="center" vertical="top" wrapText="1"/>
    </xf>
    <xf numFmtId="0" fontId="100" fillId="0" borderId="25" xfId="0" applyNumberFormat="1" applyFont="1" applyBorder="1" applyAlignment="1">
      <alignment horizontal="left" vertical="top" wrapText="1"/>
    </xf>
    <xf numFmtId="49" fontId="100" fillId="0" borderId="22" xfId="0" applyFont="1" applyBorder="1" applyAlignment="1">
      <alignment horizontal="center" vertical="top" wrapText="1"/>
    </xf>
    <xf numFmtId="0" fontId="100" fillId="0" borderId="19" xfId="0" applyNumberFormat="1" applyFont="1" applyBorder="1" applyAlignment="1">
      <alignment horizontal="left" vertical="top" wrapText="1"/>
    </xf>
    <xf numFmtId="49" fontId="100" fillId="0" borderId="16" xfId="0" applyFont="1" applyBorder="1" applyAlignment="1">
      <alignment horizontal="center" vertical="top" wrapText="1"/>
    </xf>
    <xf numFmtId="0" fontId="100" fillId="0" borderId="25" xfId="0" applyNumberFormat="1" applyFont="1" applyBorder="1" applyAlignment="1">
      <alignment vertical="top" wrapText="1"/>
    </xf>
    <xf numFmtId="49" fontId="12" fillId="0" borderId="12" xfId="0" applyFont="1" applyBorder="1" applyAlignment="1">
      <alignment horizontal="left" vertical="top" wrapText="1"/>
    </xf>
    <xf numFmtId="0" fontId="12" fillId="0" borderId="13" xfId="0" applyNumberFormat="1" applyFont="1" applyBorder="1" applyAlignment="1">
      <alignment horizontal="center" vertical="center" wrapText="1"/>
    </xf>
    <xf numFmtId="0" fontId="12" fillId="0" borderId="13" xfId="0" applyNumberFormat="1" applyFont="1" applyBorder="1" applyAlignment="1">
      <alignment horizontal="center" vertical="center"/>
    </xf>
    <xf numFmtId="49" fontId="12" fillId="0" borderId="12" xfId="0" applyFont="1" applyBorder="1" applyAlignment="1">
      <alignment horizontal="center" vertical="center" wrapText="1"/>
    </xf>
    <xf numFmtId="0" fontId="12" fillId="0" borderId="12" xfId="0" applyNumberFormat="1" applyFont="1" applyBorder="1" applyAlignment="1">
      <alignment vertical="center" wrapText="1"/>
    </xf>
    <xf numFmtId="49" fontId="100" fillId="0" borderId="13" xfId="0" applyFont="1" applyBorder="1" applyAlignment="1">
      <alignment horizontal="left" vertical="top" wrapText="1"/>
    </xf>
    <xf numFmtId="0" fontId="12" fillId="0" borderId="12" xfId="0" applyNumberFormat="1" applyFont="1" applyBorder="1" applyAlignment="1">
      <alignment horizontal="center" vertical="center" wrapText="1"/>
    </xf>
    <xf numFmtId="0" fontId="12" fillId="0" borderId="25" xfId="0" applyNumberFormat="1" applyFont="1" applyBorder="1" applyAlignment="1">
      <alignment vertical="center" wrapText="1"/>
    </xf>
    <xf numFmtId="0" fontId="12" fillId="0" borderId="18" xfId="0" applyNumberFormat="1" applyFont="1" applyBorder="1" applyAlignment="1">
      <alignment vertical="center" wrapText="1"/>
    </xf>
    <xf numFmtId="49" fontId="100" fillId="0" borderId="28" xfId="0" applyFont="1" applyBorder="1" applyAlignment="1">
      <alignment horizontal="left" vertical="top" wrapText="1"/>
    </xf>
    <xf numFmtId="49" fontId="100" fillId="0" borderId="19" xfId="0" applyFont="1" applyBorder="1" applyAlignment="1">
      <alignment horizontal="left" vertical="top" wrapText="1"/>
    </xf>
    <xf numFmtId="49" fontId="12" fillId="0" borderId="25" xfId="0" applyFont="1" applyBorder="1" applyAlignment="1">
      <alignment horizontal="center" vertical="center" wrapText="1"/>
    </xf>
    <xf numFmtId="49" fontId="12" fillId="0" borderId="18" xfId="0" applyFont="1" applyBorder="1" applyAlignment="1">
      <alignment horizontal="center" vertical="center" wrapText="1"/>
    </xf>
    <xf numFmtId="0" fontId="12" fillId="0" borderId="25" xfId="0" applyNumberFormat="1" applyFont="1" applyBorder="1" applyAlignment="1">
      <alignment horizontal="center" vertical="center" wrapText="1"/>
    </xf>
    <xf numFmtId="49" fontId="100" fillId="0" borderId="30" xfId="0" applyFont="1" applyBorder="1" applyAlignment="1">
      <alignment horizontal="left" vertical="top" wrapText="1"/>
    </xf>
    <xf numFmtId="0" fontId="100" fillId="0" borderId="30" xfId="0" applyNumberFormat="1" applyFont="1" applyBorder="1" applyAlignment="1">
      <alignment horizontal="left" vertical="top" wrapText="1"/>
    </xf>
    <xf numFmtId="0" fontId="8" fillId="9" borderId="12" xfId="0" applyNumberFormat="1" applyFont="1" applyFill="1" applyBorder="1" applyAlignment="1" applyProtection="1">
      <alignment horizontal="left" vertical="center" wrapText="1" indent="6"/>
      <protection locked="0"/>
    </xf>
    <xf numFmtId="49" fontId="84" fillId="10" borderId="13" xfId="0" applyFont="1" applyFill="1" applyBorder="1" applyAlignment="1">
      <alignment horizontal="left" vertical="center"/>
    </xf>
    <xf numFmtId="49" fontId="102" fillId="10" borderId="10" xfId="0" applyFont="1" applyFill="1" applyBorder="1" applyAlignment="1">
      <alignment horizontal="left" vertical="center" indent="3"/>
    </xf>
    <xf numFmtId="49" fontId="39" fillId="10" borderId="10" xfId="0" applyFont="1" applyFill="1" applyBorder="1" applyAlignment="1">
      <alignment horizontal="center" vertical="center" wrapText="1"/>
    </xf>
    <xf numFmtId="49" fontId="59" fillId="10" borderId="10" xfId="0" applyFont="1" applyFill="1" applyBorder="1" applyAlignment="1">
      <alignment horizontal="center" vertical="center" wrapText="1"/>
    </xf>
    <xf numFmtId="49" fontId="59" fillId="10" borderId="19" xfId="0" applyFont="1" applyFill="1" applyBorder="1" applyAlignment="1">
      <alignment horizontal="center" vertical="center" wrapText="1"/>
    </xf>
    <xf numFmtId="49" fontId="102" fillId="10" borderId="10" xfId="0" applyFont="1" applyFill="1" applyBorder="1" applyAlignment="1">
      <alignment horizontal="left" vertical="center" indent="2"/>
    </xf>
    <xf numFmtId="49" fontId="102" fillId="10" borderId="10" xfId="0" applyFont="1" applyFill="1" applyBorder="1" applyAlignment="1">
      <alignment horizontal="left" vertical="center" indent="1"/>
    </xf>
    <xf numFmtId="49" fontId="15" fillId="0" borderId="0" xfId="0" applyFont="1" applyBorder="1" applyAlignment="1">
      <alignment horizontal="left" vertical="top"/>
    </xf>
    <xf numFmtId="49" fontId="59" fillId="10" borderId="13" xfId="0" applyFont="1" applyFill="1" applyBorder="1" applyAlignment="1">
      <alignment horizontal="left" vertical="top"/>
    </xf>
    <xf numFmtId="49" fontId="102" fillId="10" borderId="10" xfId="0" applyFont="1" applyFill="1" applyBorder="1" applyAlignment="1">
      <alignment horizontal="left" vertical="center"/>
    </xf>
    <xf numFmtId="49" fontId="8" fillId="0" borderId="0" xfId="0" applyFont="1" applyBorder="1" applyAlignment="1">
      <alignment horizontal="left" vertical="center"/>
    </xf>
    <xf numFmtId="0" fontId="85" fillId="0" borderId="0" xfId="0" applyNumberFormat="1" applyFont="1" applyBorder="1" applyAlignment="1">
      <alignment horizontal="left" vertical="center" wrapText="1"/>
    </xf>
    <xf numFmtId="0" fontId="0" fillId="0" borderId="0" xfId="0" applyNumberFormat="1" applyFont="1" applyBorder="1" applyAlignment="1">
      <alignment horizontal="right" vertical="center" wrapText="1" indent="1"/>
    </xf>
    <xf numFmtId="0" fontId="56" fillId="0" borderId="0" xfId="0" applyNumberFormat="1" applyFont="1" applyBorder="1" applyAlignment="1">
      <alignment vertical="center" wrapText="1"/>
    </xf>
    <xf numFmtId="49" fontId="17" fillId="0" borderId="0" xfId="0" applyFont="1" applyBorder="1" applyAlignment="1">
      <alignment vertical="center"/>
    </xf>
    <xf numFmtId="0" fontId="37" fillId="8" borderId="0" xfId="0" applyNumberFormat="1" applyFont="1" applyFill="1" applyBorder="1" applyAlignment="1">
      <alignment vertical="center" wrapText="1"/>
    </xf>
    <xf numFmtId="49" fontId="8" fillId="7" borderId="12" xfId="0" applyFont="1" applyFill="1" applyBorder="1" applyAlignment="1" applyProtection="1">
      <alignment horizontal="left" vertical="center" wrapText="1" indent="4"/>
      <protection locked="0"/>
    </xf>
    <xf numFmtId="166" fontId="0" fillId="7" borderId="12" xfId="0" applyNumberFormat="1" applyFont="1" applyFill="1" applyBorder="1" applyAlignment="1" applyProtection="1">
      <alignment horizontal="right" vertical="center"/>
      <protection locked="0"/>
    </xf>
    <xf numFmtId="4" fontId="0" fillId="8" borderId="13" xfId="0" applyNumberFormat="1" applyFont="1" applyFill="1" applyBorder="1" applyAlignment="1">
      <alignment horizontal="right" vertical="center"/>
    </xf>
    <xf numFmtId="0" fontId="8" fillId="0" borderId="13" xfId="0" applyNumberFormat="1" applyFont="1" applyBorder="1" applyAlignment="1">
      <alignment horizontal="left" vertical="center" wrapText="1" indent="6"/>
    </xf>
    <xf numFmtId="49" fontId="64" fillId="10" borderId="13" xfId="0" applyFont="1" applyFill="1" applyBorder="1" applyAlignment="1">
      <alignment horizontal="center" vertical="center"/>
    </xf>
    <xf numFmtId="49" fontId="64" fillId="10" borderId="10" xfId="0" applyFont="1" applyFill="1" applyBorder="1" applyAlignment="1">
      <alignment horizontal="left" vertical="center"/>
    </xf>
    <xf numFmtId="49" fontId="8" fillId="10" borderId="29" xfId="0" applyFont="1" applyFill="1" applyBorder="1" applyAlignment="1">
      <alignment horizontal="center" vertical="center" wrapText="1"/>
    </xf>
    <xf numFmtId="0" fontId="17" fillId="0" borderId="0" xfId="0" applyNumberFormat="1" applyFont="1" applyBorder="1" applyAlignment="1">
      <alignment vertical="top" wrapText="1"/>
    </xf>
    <xf numFmtId="49" fontId="0" fillId="0" borderId="13" xfId="0" applyFont="1" applyBorder="1" applyAlignment="1">
      <alignment horizontal="center" vertical="top"/>
    </xf>
    <xf numFmtId="49" fontId="0" fillId="21" borderId="25" xfId="0" applyFont="1" applyFill="1" applyBorder="1" applyAlignment="1">
      <alignment vertical="top"/>
    </xf>
    <xf numFmtId="49" fontId="0" fillId="22" borderId="12" xfId="0" applyFont="1" applyFill="1" applyBorder="1" applyAlignment="1">
      <alignment vertical="top"/>
    </xf>
    <xf numFmtId="49" fontId="0" fillId="0" borderId="10" xfId="0" applyFont="1" applyBorder="1" applyAlignment="1">
      <alignment horizontal="center" vertical="top"/>
    </xf>
    <xf numFmtId="49" fontId="0" fillId="23" borderId="12" xfId="0" applyFont="1" applyFill="1" applyBorder="1" applyAlignment="1">
      <alignment vertical="top"/>
    </xf>
    <xf numFmtId="49" fontId="0" fillId="24" borderId="12" xfId="0" applyFont="1" applyFill="1" applyBorder="1" applyAlignment="1">
      <alignment vertical="top"/>
    </xf>
    <xf numFmtId="49" fontId="0" fillId="25" borderId="25" xfId="0" applyFont="1" applyFill="1" applyBorder="1" applyAlignment="1">
      <alignment vertical="top"/>
    </xf>
    <xf numFmtId="49" fontId="0" fillId="26" borderId="13" xfId="0" applyFont="1" applyFill="1" applyBorder="1" applyAlignment="1">
      <alignment vertical="top"/>
    </xf>
    <xf numFmtId="49" fontId="0" fillId="26" borderId="12" xfId="0" applyFont="1" applyFill="1" applyBorder="1" applyAlignment="1">
      <alignment vertical="top"/>
    </xf>
    <xf numFmtId="49" fontId="0" fillId="25" borderId="12" xfId="0" applyFont="1" applyFill="1" applyBorder="1" applyAlignment="1">
      <alignment vertical="top"/>
    </xf>
    <xf numFmtId="49" fontId="0" fillId="8" borderId="0" xfId="0" applyFont="1" applyFill="1" applyBorder="1" applyAlignment="1">
      <alignment vertical="top"/>
    </xf>
    <xf numFmtId="0" fontId="105" fillId="0" borderId="0" xfId="0" applyNumberFormat="1" applyFont="1" applyBorder="1" applyAlignment="1"/>
    <xf numFmtId="0" fontId="0" fillId="0" borderId="0" xfId="0" applyNumberFormat="1" applyFont="1" applyBorder="1" applyAlignment="1"/>
    <xf numFmtId="49" fontId="8" fillId="6" borderId="58" xfId="0" applyFont="1" applyFill="1" applyBorder="1" applyAlignment="1">
      <alignment horizontal="center" vertical="top"/>
    </xf>
    <xf numFmtId="49" fontId="106" fillId="0" borderId="7" xfId="0" applyFont="1" applyBorder="1" applyAlignment="1">
      <alignment vertical="top" wrapText="1"/>
    </xf>
    <xf numFmtId="0" fontId="0" fillId="0" borderId="7" xfId="0" applyNumberFormat="1" applyFont="1" applyBorder="1" applyAlignment="1">
      <alignment vertical="top" wrapText="1"/>
    </xf>
    <xf numFmtId="0" fontId="7" fillId="0" borderId="60" xfId="0" applyNumberFormat="1" applyFont="1" applyBorder="1" applyAlignment="1">
      <alignment vertical="top" wrapText="1"/>
    </xf>
    <xf numFmtId="0" fontId="0" fillId="0" borderId="12" xfId="0" applyNumberFormat="1" applyFont="1" applyBorder="1" applyAlignment="1">
      <alignment vertical="top" wrapText="1"/>
    </xf>
    <xf numFmtId="49" fontId="0" fillId="0" borderId="25" xfId="0" applyFont="1" applyBorder="1" applyAlignment="1">
      <alignment vertical="top"/>
    </xf>
    <xf numFmtId="0" fontId="23" fillId="0" borderId="7" xfId="0" applyNumberFormat="1" applyFont="1" applyBorder="1" applyAlignment="1">
      <alignment vertical="center" wrapText="1"/>
    </xf>
    <xf numFmtId="0" fontId="7" fillId="0" borderId="0" xfId="0" applyNumberFormat="1" applyFont="1" applyBorder="1" applyAlignment="1">
      <alignment vertical="top" wrapText="1"/>
    </xf>
    <xf numFmtId="0" fontId="8" fillId="0" borderId="7" xfId="0" applyNumberFormat="1" applyFont="1" applyBorder="1" applyAlignment="1">
      <alignment vertical="center" wrapText="1"/>
    </xf>
    <xf numFmtId="0" fontId="8" fillId="0" borderId="12" xfId="0" applyNumberFormat="1" applyFont="1" applyBorder="1" applyAlignment="1">
      <alignment horizontal="center" vertical="center" wrapText="1"/>
    </xf>
    <xf numFmtId="4" fontId="8" fillId="0" borderId="12"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14" xfId="0" applyNumberFormat="1" applyFont="1" applyBorder="1" applyAlignment="1">
      <alignment horizontal="left" vertical="center" wrapText="1" indent="1"/>
    </xf>
    <xf numFmtId="0" fontId="8" fillId="0" borderId="21" xfId="0" applyNumberFormat="1" applyFont="1" applyBorder="1" applyAlignment="1">
      <alignment horizontal="left" vertical="center" indent="1"/>
    </xf>
    <xf numFmtId="0" fontId="0" fillId="0" borderId="0" xfId="0" applyNumberFormat="1" applyFont="1" applyBorder="1" applyAlignment="1">
      <alignment horizontal="left" vertical="center" wrapText="1" indent="2"/>
    </xf>
    <xf numFmtId="0" fontId="8" fillId="8" borderId="0" xfId="0" applyNumberFormat="1" applyFont="1" applyFill="1" applyBorder="1" applyAlignment="1">
      <alignment horizontal="center" vertical="center" wrapText="1"/>
    </xf>
    <xf numFmtId="0" fontId="55" fillId="0" borderId="22" xfId="0" applyNumberFormat="1" applyFont="1" applyBorder="1" applyAlignment="1">
      <alignment horizontal="center" vertical="center" wrapText="1"/>
    </xf>
    <xf numFmtId="0" fontId="55"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3" fillId="0" borderId="23" xfId="0" applyFont="1" applyBorder="1" applyAlignment="1">
      <alignment horizontal="center" vertical="center" wrapText="1"/>
    </xf>
    <xf numFmtId="49" fontId="43" fillId="0" borderId="12" xfId="0" applyFont="1" applyBorder="1" applyAlignment="1">
      <alignment horizontal="center" vertical="center" wrapText="1"/>
    </xf>
    <xf numFmtId="49" fontId="8" fillId="0" borderId="12" xfId="0" applyFont="1" applyBorder="1" applyAlignment="1">
      <alignment horizontal="center" vertical="center" wrapText="1"/>
    </xf>
    <xf numFmtId="0" fontId="8" fillId="9" borderId="12" xfId="0" applyNumberFormat="1" applyFont="1" applyFill="1" applyBorder="1" applyAlignment="1">
      <alignment horizontal="left" vertical="center" wrapText="1" indent="2"/>
    </xf>
    <xf numFmtId="49" fontId="8" fillId="9" borderId="18" xfId="0" applyFont="1" applyFill="1" applyBorder="1" applyAlignment="1">
      <alignment horizontal="center" vertical="center" wrapText="1"/>
    </xf>
    <xf numFmtId="14" fontId="57" fillId="0" borderId="23"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9" borderId="12" xfId="0" applyNumberFormat="1" applyFont="1" applyFill="1" applyBorder="1" applyAlignment="1" applyProtection="1">
      <alignment horizontal="left" vertical="center" wrapText="1" indent="1"/>
      <protection locked="0"/>
    </xf>
    <xf numFmtId="49" fontId="8" fillId="9" borderId="12" xfId="0" applyFont="1" applyFill="1" applyBorder="1" applyAlignment="1">
      <alignment horizontal="center" vertical="center" wrapText="1"/>
    </xf>
    <xf numFmtId="0" fontId="8" fillId="0" borderId="14" xfId="0" applyNumberFormat="1" applyFont="1" applyBorder="1" applyAlignment="1">
      <alignment horizontal="left" vertical="top" wrapText="1" indent="1"/>
    </xf>
    <xf numFmtId="0" fontId="39" fillId="0" borderId="0" xfId="0" applyNumberFormat="1" applyFont="1" applyBorder="1" applyAlignment="1">
      <alignment horizontal="left" vertical="center" wrapText="1" indent="1"/>
    </xf>
    <xf numFmtId="0" fontId="0" fillId="0" borderId="12" xfId="0" applyNumberFormat="1" applyFont="1" applyBorder="1" applyAlignment="1">
      <alignment horizontal="center" vertical="center" wrapText="1"/>
    </xf>
    <xf numFmtId="49" fontId="17" fillId="8" borderId="21" xfId="0" applyFont="1" applyFill="1" applyBorder="1" applyAlignment="1">
      <alignment horizontal="center" vertical="center" wrapText="1"/>
    </xf>
    <xf numFmtId="0" fontId="0" fillId="0" borderId="12" xfId="0" applyNumberFormat="1" applyFont="1" applyBorder="1" applyAlignment="1">
      <alignment horizontal="center" vertical="top"/>
    </xf>
    <xf numFmtId="0" fontId="8" fillId="0" borderId="12" xfId="0" applyNumberFormat="1" applyFont="1" applyBorder="1" applyAlignment="1">
      <alignment horizontal="left" vertical="top" wrapText="1"/>
    </xf>
    <xf numFmtId="0" fontId="8" fillId="9" borderId="12" xfId="0" applyNumberFormat="1" applyFont="1" applyFill="1" applyBorder="1" applyAlignment="1">
      <alignment horizontal="center" vertical="top" wrapText="1"/>
    </xf>
    <xf numFmtId="0" fontId="0" fillId="0" borderId="22" xfId="0" applyNumberFormat="1" applyFont="1" applyBorder="1" applyAlignment="1">
      <alignment horizontal="center" vertical="center"/>
    </xf>
    <xf numFmtId="0" fontId="0" fillId="0" borderId="14" xfId="0" applyNumberFormat="1" applyFont="1" applyBorder="1" applyAlignment="1">
      <alignment horizontal="center" vertical="center"/>
    </xf>
    <xf numFmtId="49" fontId="8" fillId="0" borderId="14" xfId="0" applyFont="1" applyBorder="1" applyAlignment="1">
      <alignment horizontal="left" vertical="center" wrapText="1"/>
    </xf>
    <xf numFmtId="49" fontId="8" fillId="0" borderId="14" xfId="0" applyFont="1" applyBorder="1" applyAlignment="1">
      <alignment horizontal="center" vertical="center" wrapText="1"/>
    </xf>
    <xf numFmtId="0" fontId="0" fillId="0" borderId="14" xfId="0" applyNumberFormat="1" applyFont="1" applyBorder="1" applyAlignment="1">
      <alignment horizontal="left" vertical="center" wrapText="1"/>
    </xf>
    <xf numFmtId="49" fontId="0" fillId="0" borderId="14" xfId="0" applyFont="1" applyBorder="1" applyAlignment="1">
      <alignment horizontal="left" vertical="center" wrapText="1"/>
    </xf>
    <xf numFmtId="0" fontId="0" fillId="0" borderId="0" xfId="0" applyNumberFormat="1" applyFont="1" applyBorder="1" applyAlignment="1">
      <alignment horizontal="left" vertical="top" wrapText="1"/>
    </xf>
    <xf numFmtId="0" fontId="0" fillId="0" borderId="0" xfId="0" applyNumberFormat="1" applyFont="1" applyBorder="1" applyAlignment="1">
      <alignment horizontal="left" vertical="top" wrapText="1" indent="1"/>
    </xf>
    <xf numFmtId="0" fontId="8" fillId="9" borderId="12" xfId="0" applyNumberFormat="1" applyFont="1" applyFill="1" applyBorder="1" applyAlignment="1">
      <alignment horizontal="left" vertical="top" wrapText="1"/>
    </xf>
    <xf numFmtId="0" fontId="0" fillId="0" borderId="12" xfId="0" applyNumberFormat="1" applyFont="1" applyBorder="1" applyAlignment="1">
      <alignment horizontal="center" vertical="center"/>
    </xf>
    <xf numFmtId="49" fontId="8" fillId="4" borderId="12" xfId="0" applyFont="1" applyFill="1" applyBorder="1" applyAlignment="1" applyProtection="1">
      <alignment horizontal="left" vertical="center" wrapText="1"/>
      <protection locked="0"/>
    </xf>
    <xf numFmtId="0" fontId="0" fillId="9" borderId="12" xfId="0" applyNumberFormat="1" applyFont="1" applyFill="1" applyBorder="1" applyAlignment="1" applyProtection="1">
      <alignment horizontal="left" vertical="center" wrapText="1"/>
      <protection locked="0"/>
    </xf>
    <xf numFmtId="49" fontId="0" fillId="8" borderId="12" xfId="0" applyFont="1" applyFill="1" applyBorder="1" applyAlignment="1">
      <alignment horizontal="left" vertical="center" wrapText="1"/>
    </xf>
    <xf numFmtId="49" fontId="17" fillId="0" borderId="12" xfId="0" applyFont="1" applyBorder="1" applyAlignment="1">
      <alignment horizontal="center" vertical="center" wrapText="1"/>
    </xf>
    <xf numFmtId="0" fontId="8" fillId="0" borderId="21" xfId="0" applyNumberFormat="1" applyFont="1" applyBorder="1" applyAlignment="1">
      <alignment horizontal="left" vertical="center" wrapText="1" indent="1"/>
    </xf>
    <xf numFmtId="0" fontId="8" fillId="0" borderId="25" xfId="0" applyNumberFormat="1" applyFont="1" applyBorder="1" applyAlignment="1">
      <alignment horizontal="center" vertical="center" wrapText="1"/>
    </xf>
    <xf numFmtId="0" fontId="8" fillId="0" borderId="13"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0" borderId="25" xfId="0" applyFont="1" applyBorder="1" applyAlignment="1">
      <alignment horizontal="center" vertical="center"/>
    </xf>
    <xf numFmtId="0" fontId="8" fillId="0" borderId="25" xfId="0" applyNumberFormat="1" applyFont="1" applyBorder="1" applyAlignment="1">
      <alignment horizontal="left" vertical="center" wrapText="1"/>
    </xf>
    <xf numFmtId="0" fontId="8" fillId="0" borderId="14" xfId="0" applyNumberFormat="1" applyFont="1" applyBorder="1" applyAlignment="1">
      <alignment horizontal="center" vertical="center"/>
    </xf>
    <xf numFmtId="0" fontId="46" fillId="0" borderId="17" xfId="0" applyNumberFormat="1" applyFont="1" applyBorder="1" applyAlignment="1">
      <alignment horizontal="left" vertical="center"/>
    </xf>
    <xf numFmtId="0" fontId="46" fillId="0" borderId="29" xfId="0" applyNumberFormat="1" applyFont="1" applyBorder="1" applyAlignment="1">
      <alignment horizontal="left" vertical="center"/>
    </xf>
    <xf numFmtId="49" fontId="8" fillId="0" borderId="12" xfId="0" applyFont="1" applyBorder="1" applyAlignment="1">
      <alignment horizontal="center" vertical="center"/>
    </xf>
    <xf numFmtId="0" fontId="8" fillId="0" borderId="12" xfId="0" applyNumberFormat="1" applyFont="1" applyBorder="1" applyAlignment="1">
      <alignment horizontal="left" vertical="center" wrapText="1"/>
    </xf>
    <xf numFmtId="0" fontId="26" fillId="8" borderId="0" xfId="0" applyNumberFormat="1" applyFont="1" applyFill="1" applyBorder="1" applyAlignment="1">
      <alignment horizontal="left" vertical="center" wrapText="1"/>
    </xf>
    <xf numFmtId="49" fontId="0" fillId="8" borderId="12" xfId="0" applyFont="1" applyFill="1" applyBorder="1" applyAlignment="1">
      <alignment horizontal="center" vertical="center" wrapText="1"/>
    </xf>
    <xf numFmtId="0" fontId="0" fillId="8" borderId="12" xfId="0" applyNumberFormat="1" applyFont="1" applyFill="1" applyBorder="1" applyAlignment="1">
      <alignment horizontal="center" vertical="center" wrapText="1"/>
    </xf>
    <xf numFmtId="0" fontId="8" fillId="8" borderId="17" xfId="0" applyNumberFormat="1" applyFont="1" applyFill="1" applyBorder="1" applyAlignment="1">
      <alignment horizontal="center" vertical="center" wrapText="1"/>
    </xf>
    <xf numFmtId="0" fontId="8" fillId="8" borderId="12" xfId="0" applyNumberFormat="1" applyFont="1" applyFill="1" applyBorder="1" applyAlignment="1">
      <alignment horizontal="left" vertical="top" wrapText="1"/>
    </xf>
    <xf numFmtId="49" fontId="8" fillId="8" borderId="0" xfId="0" applyFont="1" applyFill="1" applyBorder="1" applyAlignment="1">
      <alignment horizontal="center" vertical="center" wrapText="1"/>
    </xf>
    <xf numFmtId="0" fontId="47" fillId="0" borderId="0" xfId="0" applyNumberFormat="1" applyFont="1" applyBorder="1" applyAlignment="1">
      <alignment horizontal="right" vertical="top" wrapText="1"/>
    </xf>
    <xf numFmtId="0" fontId="47" fillId="0" borderId="0" xfId="0" applyNumberFormat="1" applyFont="1" applyBorder="1" applyAlignment="1">
      <alignment horizontal="left" vertical="top" wrapText="1" indent="1"/>
    </xf>
    <xf numFmtId="0" fontId="15" fillId="0" borderId="0"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12" xfId="0" applyNumberFormat="1" applyFont="1" applyBorder="1" applyAlignment="1">
      <alignment horizontal="left" vertical="top" wrapText="1"/>
    </xf>
    <xf numFmtId="49" fontId="0" fillId="0" borderId="13" xfId="0" applyFont="1" applyBorder="1" applyAlignment="1">
      <alignment horizontal="center" vertical="center" wrapText="1"/>
    </xf>
    <xf numFmtId="0" fontId="8" fillId="9" borderId="10" xfId="0" applyNumberFormat="1" applyFont="1" applyFill="1" applyBorder="1" applyAlignment="1">
      <alignment horizontal="left" vertical="center" wrapText="1"/>
    </xf>
    <xf numFmtId="0" fontId="27" fillId="0" borderId="12" xfId="0" applyNumberFormat="1" applyFont="1" applyBorder="1" applyAlignment="1">
      <alignment horizontal="left" vertical="top" wrapText="1"/>
    </xf>
    <xf numFmtId="0" fontId="15" fillId="0" borderId="12" xfId="0" applyNumberFormat="1" applyFont="1" applyBorder="1" applyAlignment="1">
      <alignment horizontal="center" vertical="center"/>
    </xf>
    <xf numFmtId="0" fontId="8" fillId="6" borderId="12" xfId="0" applyNumberFormat="1" applyFont="1" applyFill="1" applyBorder="1" applyAlignment="1">
      <alignment horizontal="left" vertical="center" wrapText="1"/>
    </xf>
    <xf numFmtId="0" fontId="15" fillId="0" borderId="12" xfId="0" applyNumberFormat="1" applyFont="1" applyBorder="1" applyAlignment="1">
      <alignment horizontal="center" vertical="center" wrapText="1"/>
    </xf>
    <xf numFmtId="0" fontId="17" fillId="0" borderId="0" xfId="0" applyNumberFormat="1" applyFont="1" applyBorder="1" applyAlignment="1">
      <alignment horizontal="center" vertical="center" wrapText="1"/>
    </xf>
    <xf numFmtId="0" fontId="8" fillId="9" borderId="12" xfId="0" applyNumberFormat="1" applyFont="1" applyFill="1" applyBorder="1" applyAlignment="1">
      <alignment horizontal="left" vertical="center" wrapText="1"/>
    </xf>
    <xf numFmtId="164" fontId="0" fillId="7" borderId="12" xfId="0" applyNumberFormat="1" applyFont="1" applyFill="1" applyBorder="1" applyAlignment="1" applyProtection="1">
      <alignment horizontal="center" vertical="center" wrapText="1"/>
      <protection locked="0"/>
    </xf>
    <xf numFmtId="0" fontId="73" fillId="0" borderId="12" xfId="0" applyNumberFormat="1" applyFont="1" applyBorder="1" applyAlignment="1">
      <alignment horizontal="left" vertical="top" wrapText="1"/>
    </xf>
    <xf numFmtId="164" fontId="15" fillId="0" borderId="12" xfId="0" applyNumberFormat="1" applyFont="1" applyBorder="1" applyAlignment="1">
      <alignment horizontal="center" vertical="center" wrapText="1"/>
    </xf>
    <xf numFmtId="49" fontId="15" fillId="0" borderId="12" xfId="0" applyFont="1" applyBorder="1" applyAlignment="1">
      <alignment horizontal="center" vertical="center" wrapText="1"/>
    </xf>
    <xf numFmtId="0" fontId="0" fillId="8" borderId="12" xfId="0" applyNumberFormat="1" applyFont="1" applyFill="1" applyBorder="1" applyAlignment="1">
      <alignment horizontal="right" vertical="center" wrapText="1" indent="1"/>
    </xf>
    <xf numFmtId="0" fontId="8" fillId="6" borderId="12" xfId="0" applyNumberFormat="1" applyFont="1" applyFill="1" applyBorder="1" applyAlignment="1">
      <alignment horizontal="left" vertical="center" wrapText="1" indent="1"/>
    </xf>
    <xf numFmtId="164" fontId="8" fillId="6" borderId="12" xfId="0" applyNumberFormat="1" applyFont="1" applyFill="1" applyBorder="1" applyAlignment="1">
      <alignment horizontal="left" vertical="center" wrapText="1" indent="1"/>
    </xf>
    <xf numFmtId="0" fontId="37" fillId="0" borderId="21" xfId="0" applyNumberFormat="1" applyFont="1" applyBorder="1" applyAlignment="1">
      <alignment horizontal="center" vertical="center" wrapText="1"/>
    </xf>
    <xf numFmtId="0" fontId="8" fillId="8" borderId="12" xfId="0" applyNumberFormat="1" applyFont="1" applyFill="1" applyBorder="1" applyAlignment="1">
      <alignment horizontal="left" vertical="center" wrapText="1"/>
    </xf>
    <xf numFmtId="0" fontId="8" fillId="8" borderId="12" xfId="0" applyNumberFormat="1" applyFont="1" applyFill="1" applyBorder="1" applyAlignment="1">
      <alignment horizontal="center" vertical="center" wrapText="1"/>
    </xf>
    <xf numFmtId="49" fontId="46" fillId="10" borderId="12" xfId="0" applyFont="1" applyFill="1" applyBorder="1" applyAlignment="1">
      <alignment horizontal="center" vertical="center" textRotation="90" wrapText="1"/>
    </xf>
    <xf numFmtId="0" fontId="27" fillId="0" borderId="12" xfId="0" applyNumberFormat="1" applyFont="1" applyBorder="1" applyAlignment="1">
      <alignment horizontal="center" vertical="center" wrapText="1"/>
    </xf>
    <xf numFmtId="0" fontId="71" fillId="8" borderId="14" xfId="0" applyNumberFormat="1" applyFont="1" applyFill="1" applyBorder="1" applyAlignment="1">
      <alignment horizontal="center" vertical="center" wrapText="1"/>
    </xf>
    <xf numFmtId="0" fontId="8" fillId="0" borderId="0" xfId="0" applyNumberFormat="1" applyFont="1" applyBorder="1" applyAlignment="1">
      <alignment horizontal="left" vertical="top" wrapText="1"/>
    </xf>
    <xf numFmtId="0" fontId="17" fillId="0" borderId="12" xfId="0" applyNumberFormat="1" applyFont="1" applyBorder="1" applyAlignment="1">
      <alignment horizontal="center" vertical="center" wrapText="1"/>
    </xf>
    <xf numFmtId="0" fontId="27" fillId="0" borderId="13"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17" fillId="0" borderId="12" xfId="0" applyNumberFormat="1" applyFont="1" applyBorder="1" applyAlignment="1">
      <alignment horizontal="left" vertical="center" wrapText="1"/>
    </xf>
    <xf numFmtId="0" fontId="8" fillId="0" borderId="12" xfId="0" applyNumberFormat="1" applyFont="1" applyBorder="1" applyAlignment="1">
      <alignment horizontal="center" vertical="center"/>
    </xf>
    <xf numFmtId="0" fontId="8" fillId="6" borderId="19" xfId="0" applyNumberFormat="1" applyFont="1" applyFill="1" applyBorder="1" applyAlignment="1">
      <alignment horizontal="left" vertical="center" wrapText="1"/>
    </xf>
    <xf numFmtId="0" fontId="17" fillId="0" borderId="19" xfId="0" applyNumberFormat="1" applyFont="1" applyBorder="1" applyAlignment="1">
      <alignment horizontal="left" vertical="center" wrapText="1"/>
    </xf>
    <xf numFmtId="0" fontId="17" fillId="0" borderId="17" xfId="0" applyNumberFormat="1" applyFont="1" applyBorder="1" applyAlignment="1">
      <alignment horizontal="center" vertical="top" wrapText="1"/>
    </xf>
    <xf numFmtId="49" fontId="8" fillId="7" borderId="12" xfId="0" applyFont="1" applyFill="1" applyBorder="1" applyAlignment="1" applyProtection="1">
      <alignment horizontal="left" vertical="center" wrapText="1" indent="6"/>
      <protection locked="0"/>
    </xf>
    <xf numFmtId="0" fontId="37" fillId="0" borderId="12" xfId="0" applyNumberFormat="1" applyFont="1" applyBorder="1" applyAlignment="1">
      <alignment horizontal="center" vertical="center" wrapText="1"/>
    </xf>
    <xf numFmtId="49" fontId="8" fillId="8" borderId="12" xfId="0" applyFont="1" applyFill="1" applyBorder="1" applyAlignment="1">
      <alignment horizontal="center" vertical="center" wrapText="1"/>
    </xf>
    <xf numFmtId="49" fontId="8" fillId="9" borderId="12" xfId="0" applyFont="1" applyFill="1" applyBorder="1" applyAlignment="1">
      <alignment horizontal="left" vertical="center" wrapText="1" indent="1"/>
    </xf>
    <xf numFmtId="0" fontId="0" fillId="8" borderId="19" xfId="0" applyNumberFormat="1" applyFont="1" applyFill="1" applyBorder="1" applyAlignment="1">
      <alignment horizontal="center" vertical="center" wrapText="1"/>
    </xf>
    <xf numFmtId="0" fontId="8" fillId="8" borderId="13" xfId="0" applyNumberFormat="1" applyFont="1" applyFill="1" applyBorder="1" applyAlignment="1">
      <alignment horizontal="center" vertical="center" wrapText="1"/>
    </xf>
    <xf numFmtId="0" fontId="0" fillId="8" borderId="25" xfId="0" applyNumberFormat="1" applyFont="1" applyFill="1" applyBorder="1" applyAlignment="1">
      <alignment horizontal="center" vertical="center" wrapText="1"/>
    </xf>
    <xf numFmtId="0" fontId="8" fillId="7" borderId="12" xfId="0" applyNumberFormat="1" applyFont="1" applyFill="1" applyBorder="1" applyAlignment="1" applyProtection="1">
      <alignment horizontal="center" vertical="center" wrapText="1"/>
      <protection locked="0"/>
    </xf>
    <xf numFmtId="49" fontId="8" fillId="0" borderId="12" xfId="0" applyFont="1" applyBorder="1" applyAlignment="1">
      <alignment horizontal="left" vertical="center" wrapText="1" indent="1"/>
    </xf>
    <xf numFmtId="0" fontId="15" fillId="0" borderId="13" xfId="0" applyNumberFormat="1" applyFont="1" applyBorder="1" applyAlignment="1">
      <alignment horizontal="center" vertical="center"/>
    </xf>
    <xf numFmtId="0" fontId="8" fillId="4" borderId="12" xfId="0" applyNumberFormat="1" applyFont="1" applyFill="1" applyBorder="1" applyAlignment="1" applyProtection="1">
      <alignment horizontal="left" vertical="center" wrapText="1"/>
      <protection locked="0"/>
    </xf>
    <xf numFmtId="0" fontId="47" fillId="0" borderId="12" xfId="0" applyNumberFormat="1" applyFont="1" applyBorder="1" applyAlignment="1">
      <alignment horizontal="left" vertical="top" wrapText="1"/>
    </xf>
    <xf numFmtId="49" fontId="8" fillId="4" borderId="12" xfId="0" applyFont="1" applyFill="1" applyBorder="1" applyAlignment="1" applyProtection="1">
      <alignment horizontal="left" vertical="center" wrapText="1" indent="6"/>
      <protection locked="0"/>
    </xf>
    <xf numFmtId="4" fontId="8" fillId="7" borderId="12" xfId="0" applyNumberFormat="1" applyFont="1" applyFill="1" applyBorder="1" applyAlignment="1" applyProtection="1">
      <alignment horizontal="left" vertical="center" wrapText="1" indent="1"/>
      <protection locked="0"/>
    </xf>
    <xf numFmtId="49" fontId="8" fillId="9" borderId="12" xfId="0" applyFont="1" applyFill="1" applyBorder="1" applyAlignment="1" applyProtection="1">
      <alignment horizontal="left" vertical="center" wrapText="1" indent="1"/>
      <protection locked="0"/>
    </xf>
    <xf numFmtId="4" fontId="8" fillId="7" borderId="12" xfId="0" applyNumberFormat="1" applyFont="1" applyFill="1" applyBorder="1" applyAlignment="1" applyProtection="1">
      <alignment horizontal="center" vertical="center" wrapText="1"/>
      <protection locked="0"/>
    </xf>
    <xf numFmtId="49" fontId="8" fillId="9" borderId="19" xfId="0" applyFont="1" applyFill="1" applyBorder="1" applyAlignment="1">
      <alignment horizontal="center" vertical="center" wrapText="1"/>
    </xf>
    <xf numFmtId="0" fontId="8" fillId="0" borderId="19" xfId="0" applyNumberFormat="1" applyFont="1" applyBorder="1" applyAlignment="1">
      <alignment horizontal="right" vertical="center" wrapText="1" indent="1"/>
    </xf>
    <xf numFmtId="0" fontId="8" fillId="0" borderId="13" xfId="0" applyNumberFormat="1" applyFont="1" applyBorder="1" applyAlignment="1">
      <alignment horizontal="right" vertical="center" wrapText="1"/>
    </xf>
    <xf numFmtId="49" fontId="12" fillId="3" borderId="0" xfId="0" applyFont="1" applyFill="1" applyBorder="1" applyAlignment="1">
      <alignment horizontal="center" vertical="center" textRotation="90" wrapText="1"/>
    </xf>
    <xf numFmtId="0" fontId="39" fillId="0" borderId="0" xfId="0" applyNumberFormat="1" applyFont="1" applyBorder="1" applyAlignment="1">
      <alignment horizontal="center" vertical="center" wrapText="1"/>
    </xf>
    <xf numFmtId="0" fontId="0" fillId="0" borderId="12" xfId="0" applyNumberFormat="1" applyFont="1" applyBorder="1" applyAlignment="1">
      <alignment horizontal="right" vertical="center" wrapText="1" indent="1"/>
    </xf>
    <xf numFmtId="0" fontId="0" fillId="6" borderId="12" xfId="0" applyNumberFormat="1" applyFont="1" applyFill="1" applyBorder="1" applyAlignment="1">
      <alignment horizontal="left" vertical="center" wrapText="1" indent="1"/>
    </xf>
    <xf numFmtId="0" fontId="15" fillId="0" borderId="0" xfId="0" applyNumberFormat="1" applyFont="1" applyBorder="1" applyAlignment="1">
      <alignment horizontal="center" vertical="top"/>
    </xf>
    <xf numFmtId="0" fontId="8" fillId="0" borderId="18" xfId="0" applyNumberFormat="1" applyFont="1" applyBorder="1" applyAlignment="1">
      <alignment horizontal="left" vertical="center" wrapText="1"/>
    </xf>
    <xf numFmtId="0" fontId="47" fillId="0" borderId="0" xfId="0" applyNumberFormat="1" applyFont="1" applyBorder="1" applyAlignment="1">
      <alignment horizontal="left" vertical="top" wrapText="1"/>
    </xf>
    <xf numFmtId="0" fontId="17" fillId="0" borderId="19" xfId="0" applyNumberFormat="1" applyFont="1" applyBorder="1" applyAlignment="1">
      <alignment horizontal="right" vertical="center" wrapText="1" indent="1"/>
    </xf>
    <xf numFmtId="0" fontId="8" fillId="6" borderId="12" xfId="0" applyNumberFormat="1" applyFont="1" applyFill="1" applyBorder="1" applyAlignment="1">
      <alignment horizontal="left" vertical="top" wrapText="1"/>
    </xf>
    <xf numFmtId="49" fontId="8" fillId="11" borderId="0" xfId="0" applyFont="1" applyFill="1" applyBorder="1" applyAlignment="1">
      <alignment horizontal="center" vertical="center" textRotation="90" wrapText="1"/>
    </xf>
    <xf numFmtId="49" fontId="8" fillId="0" borderId="0" xfId="0" applyFont="1" applyBorder="1" applyAlignment="1">
      <alignment vertical="center" wrapText="1"/>
    </xf>
    <xf numFmtId="0" fontId="37" fillId="0" borderId="17" xfId="0" applyNumberFormat="1" applyFont="1" applyBorder="1" applyAlignment="1">
      <alignment horizontal="center" vertical="center" wrapText="1"/>
    </xf>
    <xf numFmtId="0" fontId="8" fillId="6" borderId="12" xfId="0" applyNumberFormat="1" applyFont="1" applyFill="1" applyBorder="1" applyAlignment="1">
      <alignment horizontal="left" vertical="top" wrapText="1" indent="1"/>
    </xf>
    <xf numFmtId="0" fontId="0" fillId="0" borderId="12" xfId="0" applyNumberFormat="1" applyFont="1" applyBorder="1" applyAlignment="1">
      <alignment horizontal="left" vertical="center" wrapText="1" indent="1"/>
    </xf>
    <xf numFmtId="49" fontId="0" fillId="0" borderId="12" xfId="0" applyFont="1" applyBorder="1" applyAlignment="1">
      <alignment horizontal="center" vertical="center" wrapText="1"/>
    </xf>
    <xf numFmtId="49" fontId="8" fillId="0" borderId="12" xfId="0" applyFont="1" applyBorder="1" applyAlignment="1">
      <alignment horizontal="left" vertical="center" wrapText="1"/>
    </xf>
    <xf numFmtId="0" fontId="8" fillId="0" borderId="6" xfId="0" applyNumberFormat="1" applyFont="1" applyBorder="1" applyAlignment="1">
      <alignment horizontal="center" vertical="center"/>
    </xf>
    <xf numFmtId="0" fontId="27" fillId="8" borderId="12" xfId="0" applyNumberFormat="1" applyFont="1" applyFill="1" applyBorder="1" applyAlignment="1">
      <alignment horizontal="center" vertical="center" wrapText="1"/>
    </xf>
    <xf numFmtId="0" fontId="8" fillId="0" borderId="0" xfId="0" applyNumberFormat="1" applyFont="1" applyBorder="1" applyAlignment="1">
      <alignment horizontal="left" vertical="center" wrapText="1"/>
    </xf>
    <xf numFmtId="0" fontId="8" fillId="0" borderId="41" xfId="0" applyNumberFormat="1" applyFont="1" applyBorder="1" applyAlignment="1">
      <alignment horizontal="center" vertical="center"/>
    </xf>
    <xf numFmtId="49" fontId="0" fillId="0" borderId="12" xfId="0" applyFont="1" applyBorder="1" applyAlignment="1">
      <alignment horizontal="center" vertical="center"/>
    </xf>
    <xf numFmtId="0" fontId="0" fillId="6" borderId="12" xfId="0" applyNumberFormat="1" applyFont="1" applyFill="1" applyBorder="1" applyAlignment="1">
      <alignment horizontal="center" vertical="center" wrapText="1"/>
    </xf>
    <xf numFmtId="49" fontId="0" fillId="0" borderId="12" xfId="0" applyFont="1" applyBorder="1" applyAlignment="1">
      <alignment vertical="center" wrapText="1"/>
    </xf>
    <xf numFmtId="49" fontId="0" fillId="0" borderId="12" xfId="0" applyFont="1" applyBorder="1" applyAlignment="1">
      <alignment horizontal="left" vertical="center" wrapText="1"/>
    </xf>
    <xf numFmtId="0" fontId="8" fillId="0" borderId="15" xfId="0" applyNumberFormat="1" applyFont="1" applyBorder="1" applyAlignment="1">
      <alignment horizontal="left" vertical="top" wrapText="1"/>
    </xf>
    <xf numFmtId="0" fontId="8" fillId="0" borderId="29" xfId="0" applyNumberFormat="1" applyFont="1" applyBorder="1" applyAlignment="1">
      <alignment horizontal="left" vertical="center" wrapText="1" indent="1"/>
    </xf>
    <xf numFmtId="0" fontId="8" fillId="12" borderId="12" xfId="0" applyNumberFormat="1" applyFont="1" applyFill="1" applyBorder="1" applyAlignment="1">
      <alignment horizontal="center" vertical="center" wrapText="1"/>
    </xf>
    <xf numFmtId="49" fontId="15" fillId="13" borderId="12" xfId="0" applyFont="1" applyFill="1" applyBorder="1" applyAlignment="1">
      <alignment horizontal="center" vertical="center" wrapText="1"/>
    </xf>
    <xf numFmtId="49" fontId="15" fillId="14" borderId="12" xfId="0" applyFont="1" applyFill="1" applyBorder="1" applyAlignment="1">
      <alignment horizontal="center" vertical="center" wrapText="1"/>
    </xf>
    <xf numFmtId="49" fontId="8" fillId="15" borderId="13" xfId="0" applyFont="1" applyFill="1" applyBorder="1" applyAlignment="1">
      <alignment horizontal="center" vertical="center" wrapText="1"/>
    </xf>
    <xf numFmtId="49" fontId="8" fillId="16" borderId="10" xfId="0" applyFont="1" applyFill="1" applyBorder="1" applyAlignment="1">
      <alignment horizontal="center" vertical="center" wrapText="1"/>
    </xf>
    <xf numFmtId="49" fontId="8" fillId="16" borderId="12" xfId="0" applyFont="1" applyFill="1" applyBorder="1" applyAlignment="1">
      <alignment horizontal="center" vertical="center" wrapText="1"/>
    </xf>
    <xf numFmtId="0" fontId="8" fillId="16" borderId="12" xfId="0" applyNumberFormat="1" applyFont="1" applyFill="1" applyBorder="1" applyAlignment="1">
      <alignment horizontal="center" vertical="center" wrapText="1"/>
    </xf>
    <xf numFmtId="0" fontId="8" fillId="16" borderId="13" xfId="0" applyNumberFormat="1" applyFont="1" applyFill="1" applyBorder="1" applyAlignment="1">
      <alignment horizontal="center" vertical="center" wrapText="1"/>
    </xf>
    <xf numFmtId="0" fontId="8" fillId="16" borderId="19" xfId="0" applyNumberFormat="1" applyFont="1" applyFill="1" applyBorder="1" applyAlignment="1">
      <alignment horizontal="center" vertical="center" wrapText="1"/>
    </xf>
    <xf numFmtId="0" fontId="8" fillId="8" borderId="25" xfId="0" applyNumberFormat="1" applyFont="1" applyFill="1" applyBorder="1" applyAlignment="1">
      <alignment horizontal="center" vertical="center" wrapText="1"/>
    </xf>
    <xf numFmtId="0" fontId="8" fillId="8" borderId="12" xfId="0" applyNumberFormat="1" applyFont="1" applyFill="1" applyBorder="1" applyAlignment="1">
      <alignment horizontal="center" vertical="center"/>
    </xf>
    <xf numFmtId="0" fontId="0" fillId="0" borderId="12" xfId="0" applyNumberFormat="1" applyFont="1" applyBorder="1" applyAlignment="1">
      <alignment horizontal="left" vertical="center" wrapText="1"/>
    </xf>
    <xf numFmtId="0" fontId="8" fillId="0" borderId="10" xfId="0" applyNumberFormat="1" applyFont="1" applyBorder="1" applyAlignment="1">
      <alignment horizontal="left" vertical="top" wrapText="1" indent="1"/>
    </xf>
    <xf numFmtId="49" fontId="43" fillId="8" borderId="14" xfId="0" applyFont="1" applyFill="1" applyBorder="1" applyAlignment="1">
      <alignment horizontal="center" vertical="center" wrapText="1"/>
    </xf>
    <xf numFmtId="0" fontId="0" fillId="0" borderId="25" xfId="0" applyNumberFormat="1" applyFont="1" applyBorder="1" applyAlignment="1">
      <alignment horizontal="left" vertical="center" wrapText="1"/>
    </xf>
    <xf numFmtId="0" fontId="72" fillId="8" borderId="0" xfId="0" applyNumberFormat="1" applyFont="1" applyFill="1" applyBorder="1" applyAlignment="1">
      <alignment horizontal="center" vertical="top" wrapText="1"/>
    </xf>
    <xf numFmtId="0" fontId="0" fillId="6" borderId="13" xfId="0" applyNumberFormat="1" applyFont="1" applyFill="1" applyBorder="1" applyAlignment="1">
      <alignment horizontal="left" vertical="center" wrapText="1" indent="1"/>
    </xf>
    <xf numFmtId="0" fontId="8" fillId="0" borderId="25" xfId="0" applyNumberFormat="1" applyFont="1" applyBorder="1" applyAlignment="1">
      <alignment horizontal="left" vertical="top" wrapText="1"/>
    </xf>
    <xf numFmtId="0" fontId="72" fillId="8" borderId="17" xfId="0" applyNumberFormat="1" applyFont="1" applyFill="1" applyBorder="1" applyAlignment="1">
      <alignment horizontal="center" vertical="top" wrapText="1"/>
    </xf>
    <xf numFmtId="49" fontId="0" fillId="8" borderId="18" xfId="0" applyFont="1" applyFill="1" applyBorder="1" applyAlignment="1">
      <alignment horizontal="center" vertical="center" wrapText="1"/>
    </xf>
    <xf numFmtId="0" fontId="0" fillId="6" borderId="18" xfId="0" applyNumberFormat="1" applyFont="1" applyFill="1" applyBorder="1" applyAlignment="1">
      <alignment horizontal="left" vertical="center" wrapText="1" indent="1"/>
    </xf>
    <xf numFmtId="0" fontId="27" fillId="0" borderId="25" xfId="0" applyNumberFormat="1" applyFont="1" applyBorder="1" applyAlignment="1">
      <alignment horizontal="left" vertical="top" wrapText="1"/>
    </xf>
    <xf numFmtId="0" fontId="8" fillId="0" borderId="18" xfId="0" applyNumberFormat="1" applyFont="1" applyBorder="1" applyAlignment="1">
      <alignment horizontal="left" vertical="top" wrapText="1"/>
    </xf>
    <xf numFmtId="0" fontId="27" fillId="0" borderId="10" xfId="0" applyNumberFormat="1" applyFont="1" applyBorder="1" applyAlignment="1">
      <alignment horizontal="left" vertical="center" wrapText="1" indent="1"/>
    </xf>
    <xf numFmtId="49" fontId="88" fillId="0" borderId="0" xfId="0" applyFont="1" applyBorder="1" applyAlignment="1">
      <alignment horizontal="left" vertical="top" wrapText="1"/>
    </xf>
    <xf numFmtId="49" fontId="8" fillId="0" borderId="0" xfId="0" applyFont="1" applyBorder="1" applyAlignment="1">
      <alignment horizontal="left" vertical="top" wrapText="1"/>
    </xf>
    <xf numFmtId="0" fontId="0" fillId="8" borderId="12" xfId="0" applyNumberFormat="1" applyFont="1" applyFill="1" applyBorder="1" applyAlignment="1">
      <alignment horizontal="left" vertical="top" wrapText="1"/>
    </xf>
    <xf numFmtId="49" fontId="27" fillId="0" borderId="19" xfId="0" applyFont="1" applyBorder="1" applyAlignment="1">
      <alignment horizontal="left" vertical="top" wrapText="1"/>
    </xf>
    <xf numFmtId="165" fontId="8" fillId="0" borderId="12" xfId="0" applyNumberFormat="1" applyFont="1" applyBorder="1" applyAlignment="1">
      <alignment horizontal="center" vertical="center" wrapText="1"/>
    </xf>
    <xf numFmtId="14" fontId="8" fillId="9" borderId="12" xfId="0" applyNumberFormat="1" applyFont="1" applyFill="1" applyBorder="1" applyAlignment="1">
      <alignment horizontal="left" vertical="center" wrapText="1"/>
    </xf>
    <xf numFmtId="49" fontId="8" fillId="9" borderId="13" xfId="0" applyFont="1" applyFill="1" applyBorder="1" applyAlignment="1">
      <alignment horizontal="left" vertical="center" wrapText="1"/>
    </xf>
    <xf numFmtId="165" fontId="47" fillId="0" borderId="42" xfId="0" applyNumberFormat="1" applyFont="1" applyBorder="1" applyAlignment="1">
      <alignment horizontal="center" vertical="center" wrapText="1"/>
    </xf>
    <xf numFmtId="0" fontId="8" fillId="0" borderId="18" xfId="0" applyNumberFormat="1" applyFont="1" applyBorder="1" applyAlignment="1">
      <alignment horizontal="center" vertical="center" wrapText="1"/>
    </xf>
    <xf numFmtId="165" fontId="8" fillId="0" borderId="18" xfId="0" applyNumberFormat="1" applyFont="1" applyBorder="1" applyAlignment="1">
      <alignment horizontal="center" vertical="center" wrapText="1"/>
    </xf>
    <xf numFmtId="165" fontId="8" fillId="0" borderId="30" xfId="0" applyNumberFormat="1" applyFont="1" applyBorder="1" applyAlignment="1">
      <alignment horizontal="center" vertical="center" wrapText="1"/>
    </xf>
    <xf numFmtId="0" fontId="8" fillId="6" borderId="18" xfId="0" applyNumberFormat="1" applyFont="1" applyFill="1" applyBorder="1" applyAlignment="1">
      <alignment horizontal="left" vertical="center" wrapText="1"/>
    </xf>
    <xf numFmtId="14" fontId="8" fillId="9" borderId="18" xfId="0" applyNumberFormat="1" applyFont="1" applyFill="1" applyBorder="1" applyAlignment="1">
      <alignment horizontal="left" vertical="center" wrapText="1"/>
    </xf>
    <xf numFmtId="49" fontId="8" fillId="9" borderId="28" xfId="0" applyFont="1" applyFill="1" applyBorder="1" applyAlignment="1">
      <alignment horizontal="left" vertical="center" wrapText="1"/>
    </xf>
    <xf numFmtId="49" fontId="0" fillId="0" borderId="10" xfId="0" applyFont="1" applyBorder="1" applyAlignment="1">
      <alignment horizontal="left" vertical="center" indent="1"/>
    </xf>
    <xf numFmtId="14" fontId="57" fillId="0" borderId="25" xfId="0" applyNumberFormat="1" applyFont="1" applyBorder="1" applyAlignment="1">
      <alignment horizontal="center" vertical="center" wrapText="1"/>
    </xf>
    <xf numFmtId="0" fontId="55" fillId="0" borderId="12" xfId="0" applyNumberFormat="1" applyFont="1" applyBorder="1" applyAlignment="1">
      <alignment horizontal="left" vertical="center" wrapText="1" indent="1"/>
    </xf>
    <xf numFmtId="0" fontId="43" fillId="0" borderId="12" xfId="0" applyNumberFormat="1" applyFont="1" applyBorder="1" applyAlignment="1">
      <alignment horizontal="center" vertical="center" wrapText="1"/>
    </xf>
    <xf numFmtId="0" fontId="8" fillId="9" borderId="12" xfId="0" applyNumberFormat="1" applyFont="1" applyFill="1" applyBorder="1" applyAlignment="1">
      <alignment horizontal="left" vertical="center" wrapText="1" indent="1"/>
    </xf>
    <xf numFmtId="49" fontId="8" fillId="0" borderId="12" xfId="0" applyFont="1" applyBorder="1" applyAlignment="1">
      <alignment horizontal="center" vertical="top" wrapText="1"/>
    </xf>
    <xf numFmtId="0" fontId="0" fillId="6" borderId="12" xfId="0" applyNumberFormat="1" applyFont="1" applyFill="1" applyBorder="1" applyAlignment="1">
      <alignment horizontal="left" vertical="top" wrapText="1" indent="1"/>
    </xf>
    <xf numFmtId="49" fontId="8" fillId="9" borderId="12" xfId="0" applyFont="1" applyFill="1" applyBorder="1" applyAlignment="1">
      <alignment horizontal="center" vertical="top" wrapText="1"/>
    </xf>
    <xf numFmtId="164" fontId="0" fillId="7" borderId="12" xfId="0" applyNumberFormat="1" applyFont="1" applyFill="1" applyBorder="1" applyAlignment="1" applyProtection="1">
      <alignment horizontal="center" vertical="top" wrapText="1"/>
      <protection locked="0"/>
    </xf>
    <xf numFmtId="164" fontId="0" fillId="4" borderId="12" xfId="0" applyNumberFormat="1" applyFont="1" applyFill="1" applyBorder="1" applyAlignment="1" applyProtection="1">
      <alignment horizontal="center" vertical="top" wrapText="1"/>
      <protection locked="0"/>
    </xf>
    <xf numFmtId="49" fontId="8" fillId="9" borderId="12" xfId="0" applyFont="1" applyFill="1" applyBorder="1" applyAlignment="1">
      <alignment horizontal="left" vertical="top" wrapText="1"/>
    </xf>
    <xf numFmtId="49" fontId="8" fillId="7" borderId="12" xfId="0" applyFont="1" applyFill="1" applyBorder="1" applyAlignment="1" applyProtection="1">
      <alignment horizontal="left" vertical="top" wrapText="1"/>
      <protection locked="0"/>
    </xf>
    <xf numFmtId="49" fontId="0" fillId="6" borderId="12" xfId="0" applyFont="1" applyFill="1" applyBorder="1" applyAlignment="1">
      <alignment horizontal="center" vertical="top" wrapText="1"/>
    </xf>
    <xf numFmtId="0" fontId="8" fillId="6" borderId="12" xfId="0" applyNumberFormat="1" applyFont="1" applyFill="1" applyBorder="1" applyAlignment="1">
      <alignment horizontal="center" vertical="top" wrapText="1"/>
    </xf>
    <xf numFmtId="0" fontId="8" fillId="4" borderId="12" xfId="0" applyNumberFormat="1" applyFont="1" applyFill="1" applyBorder="1" applyAlignment="1" applyProtection="1">
      <alignment horizontal="left" vertical="top" wrapText="1"/>
      <protection locked="0"/>
    </xf>
    <xf numFmtId="49" fontId="8" fillId="6" borderId="42" xfId="0" applyFont="1" applyFill="1" applyBorder="1" applyAlignment="1">
      <alignment horizontal="center" vertical="center" wrapText="1"/>
    </xf>
    <xf numFmtId="49" fontId="8" fillId="0" borderId="19" xfId="0" applyFont="1" applyBorder="1" applyAlignment="1">
      <alignment horizontal="center" vertical="center" wrapText="1"/>
    </xf>
    <xf numFmtId="49" fontId="8" fillId="9" borderId="19" xfId="0" applyFont="1" applyFill="1" applyBorder="1" applyAlignment="1">
      <alignment horizontal="left" vertical="center" wrapText="1"/>
    </xf>
    <xf numFmtId="49" fontId="8" fillId="9" borderId="12" xfId="0" applyFont="1" applyFill="1" applyBorder="1" applyAlignment="1">
      <alignment horizontal="left" vertical="center" wrapText="1"/>
    </xf>
    <xf numFmtId="49" fontId="8" fillId="7" borderId="12" xfId="0" applyFont="1" applyFill="1" applyBorder="1" applyAlignment="1" applyProtection="1">
      <alignment horizontal="left" vertical="center" wrapText="1"/>
      <protection locked="0"/>
    </xf>
    <xf numFmtId="49" fontId="8" fillId="9" borderId="13" xfId="0" applyFont="1" applyFill="1" applyBorder="1" applyAlignment="1">
      <alignment horizontal="center" vertical="center" wrapText="1"/>
    </xf>
    <xf numFmtId="3" fontId="8" fillId="7" borderId="12" xfId="0" applyNumberFormat="1" applyFont="1" applyFill="1" applyBorder="1" applyAlignment="1" applyProtection="1">
      <alignment horizontal="center" vertical="center" wrapText="1"/>
      <protection locked="0"/>
    </xf>
    <xf numFmtId="49" fontId="98" fillId="0" borderId="19" xfId="0" applyFont="1" applyBorder="1" applyAlignment="1">
      <alignment horizontal="center" vertical="center" wrapText="1"/>
    </xf>
    <xf numFmtId="0" fontId="47" fillId="0" borderId="12" xfId="0" applyNumberFormat="1" applyFont="1" applyBorder="1" applyAlignment="1">
      <alignment horizontal="center" vertical="center"/>
    </xf>
    <xf numFmtId="49" fontId="46" fillId="10" borderId="50" xfId="0" applyFont="1" applyFill="1" applyBorder="1" applyAlignment="1">
      <alignment horizontal="left" vertical="center" indent="1"/>
    </xf>
    <xf numFmtId="49" fontId="98" fillId="0" borderId="12" xfId="0" applyFont="1" applyBorder="1" applyAlignment="1">
      <alignment horizontal="center" vertical="center" wrapText="1"/>
    </xf>
    <xf numFmtId="49" fontId="37" fillId="0" borderId="12" xfId="0" applyFont="1" applyBorder="1" applyAlignment="1">
      <alignment horizontal="center" vertical="top" wrapText="1"/>
    </xf>
    <xf numFmtId="49" fontId="8" fillId="7" borderId="13" xfId="0" applyFont="1" applyFill="1" applyBorder="1" applyAlignment="1" applyProtection="1">
      <alignment horizontal="left" vertical="center" wrapText="1" indent="1"/>
      <protection locked="0"/>
    </xf>
    <xf numFmtId="0" fontId="0" fillId="0" borderId="25" xfId="0" applyNumberFormat="1" applyFont="1" applyBorder="1" applyAlignment="1">
      <alignment horizontal="center" vertical="center" wrapText="1"/>
    </xf>
    <xf numFmtId="0" fontId="0" fillId="7" borderId="12" xfId="0" applyNumberFormat="1" applyFont="1" applyFill="1" applyBorder="1" applyAlignment="1" applyProtection="1">
      <alignment horizontal="left" vertical="center" wrapText="1"/>
      <protection locked="0"/>
    </xf>
    <xf numFmtId="49" fontId="0" fillId="7" borderId="13" xfId="0" applyFont="1" applyFill="1" applyBorder="1" applyAlignment="1" applyProtection="1">
      <alignment horizontal="left" vertical="center" wrapText="1"/>
      <protection locked="0"/>
    </xf>
    <xf numFmtId="49" fontId="0" fillId="7" borderId="12" xfId="0" applyFont="1" applyFill="1" applyBorder="1" applyAlignment="1" applyProtection="1">
      <alignment horizontal="left" vertical="center" wrapText="1"/>
      <protection locked="0"/>
    </xf>
    <xf numFmtId="49" fontId="8" fillId="0" borderId="30" xfId="0" applyFont="1" applyBorder="1" applyAlignment="1">
      <alignment horizontal="center" vertical="center"/>
    </xf>
    <xf numFmtId="0" fontId="8" fillId="0" borderId="30" xfId="0" applyNumberFormat="1" applyFont="1" applyBorder="1" applyAlignment="1">
      <alignment horizontal="center" vertical="center" wrapText="1"/>
    </xf>
    <xf numFmtId="0" fontId="8" fillId="0" borderId="17" xfId="0" applyNumberFormat="1" applyFont="1" applyBorder="1" applyAlignment="1">
      <alignment horizontal="center" vertical="center"/>
    </xf>
    <xf numFmtId="49" fontId="8" fillId="4" borderId="25" xfId="0" applyFont="1" applyFill="1" applyBorder="1" applyAlignment="1" applyProtection="1">
      <alignment horizontal="left" vertical="center" wrapText="1"/>
      <protection locked="0"/>
    </xf>
    <xf numFmtId="49" fontId="8" fillId="9" borderId="25" xfId="0" applyFont="1" applyFill="1" applyBorder="1" applyAlignment="1">
      <alignment horizontal="center" vertical="center" wrapText="1"/>
    </xf>
    <xf numFmtId="49" fontId="8" fillId="7" borderId="25" xfId="0" applyFont="1" applyFill="1" applyBorder="1" applyAlignment="1" applyProtection="1">
      <alignment horizontal="left" vertical="center" wrapText="1"/>
      <protection locked="0"/>
    </xf>
    <xf numFmtId="0" fontId="8" fillId="9" borderId="25" xfId="0" applyNumberFormat="1" applyFont="1" applyFill="1" applyBorder="1" applyAlignment="1">
      <alignment horizontal="left" vertical="center" wrapText="1"/>
    </xf>
    <xf numFmtId="0" fontId="46" fillId="10" borderId="19" xfId="0" applyNumberFormat="1" applyFont="1" applyFill="1" applyBorder="1" applyAlignment="1">
      <alignment horizontal="left" vertical="center"/>
    </xf>
    <xf numFmtId="0" fontId="46" fillId="10" borderId="15" xfId="0" applyNumberFormat="1" applyFont="1" applyFill="1" applyBorder="1" applyAlignment="1">
      <alignment horizontal="left" vertical="center"/>
    </xf>
    <xf numFmtId="49" fontId="100" fillId="0" borderId="12" xfId="0" applyFont="1" applyBorder="1" applyAlignment="1">
      <alignment horizontal="center" vertical="top" wrapText="1"/>
    </xf>
    <xf numFmtId="0" fontId="100" fillId="16" borderId="12" xfId="0" applyNumberFormat="1" applyFont="1" applyFill="1" applyBorder="1" applyAlignment="1">
      <alignment horizontal="center" vertical="center" wrapText="1"/>
    </xf>
    <xf numFmtId="49" fontId="100" fillId="0" borderId="13" xfId="0" applyFont="1" applyBorder="1" applyAlignment="1">
      <alignment horizontal="center" vertical="top" wrapText="1"/>
    </xf>
    <xf numFmtId="0" fontId="7" fillId="0" borderId="14" xfId="0" applyNumberFormat="1" applyFont="1" applyBorder="1" applyAlignment="1">
      <alignment horizontal="left" vertical="center" wrapText="1" indent="1"/>
    </xf>
    <xf numFmtId="0" fontId="7" fillId="0" borderId="21" xfId="0" applyNumberFormat="1" applyFont="1" applyBorder="1" applyAlignment="1">
      <alignment horizontal="left" vertical="center" wrapText="1" indent="1"/>
    </xf>
    <xf numFmtId="0" fontId="8" fillId="0" borderId="0" xfId="0" applyNumberFormat="1" applyFont="1" applyBorder="1" applyAlignment="1">
      <alignment horizontal="right" vertical="center" wrapText="1"/>
    </xf>
    <xf numFmtId="4" fontId="8" fillId="6" borderId="12" xfId="0" applyNumberFormat="1" applyFont="1" applyFill="1" applyBorder="1" applyAlignment="1">
      <alignment horizontal="left" vertical="center" wrapText="1"/>
    </xf>
    <xf numFmtId="0" fontId="8" fillId="9" borderId="12" xfId="0" applyNumberFormat="1" applyFont="1" applyFill="1" applyBorder="1" applyAlignment="1" applyProtection="1">
      <alignment horizontal="left" vertical="center" wrapText="1"/>
      <protection locked="0"/>
    </xf>
    <xf numFmtId="0" fontId="27" fillId="0" borderId="0" xfId="0" applyNumberFormat="1" applyFont="1" applyBorder="1" applyAlignment="1">
      <alignment horizontal="left" vertical="top" wrapText="1"/>
    </xf>
    <xf numFmtId="0" fontId="103" fillId="0" borderId="10" xfId="0" applyNumberFormat="1" applyFont="1" applyBorder="1" applyAlignment="1">
      <alignment horizontal="left" vertical="center" wrapText="1" indent="1"/>
    </xf>
    <xf numFmtId="0" fontId="56" fillId="0" borderId="0" xfId="0" applyNumberFormat="1" applyFont="1" applyBorder="1" applyAlignment="1">
      <alignment horizontal="center" vertical="center" wrapText="1"/>
    </xf>
    <xf numFmtId="0" fontId="43" fillId="8" borderId="0" xfId="0" applyNumberFormat="1" applyFont="1" applyFill="1" applyBorder="1" applyAlignment="1">
      <alignment horizontal="center" vertical="center" wrapText="1"/>
    </xf>
    <xf numFmtId="49" fontId="0" fillId="0" borderId="13" xfId="0" applyFont="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absolute">
    <xdr:from>
      <xdr:col>8</xdr:col>
      <xdr:colOff>0</xdr:colOff>
      <xdr:row>4</xdr:row>
      <xdr:rowOff>0</xdr:rowOff>
    </xdr:from>
    <xdr:to>
      <xdr:col>8</xdr:col>
      <xdr:colOff>218880</xdr:colOff>
      <xdr:row>4</xdr:row>
      <xdr:rowOff>218880</xdr:rowOff>
    </xdr:to>
    <xdr:pic>
      <xdr:nvPicPr>
        <xdr:cNvPr id="2" name="cmdCreatePrintedForm" descr="Создание печатной формы"/>
        <xdr:cNvPicPr/>
      </xdr:nvPicPr>
      <xdr:blipFill>
        <a:blip xmlns:r="http://schemas.openxmlformats.org/officeDocument/2006/relationships" r:embed="rId1"/>
        <a:stretch/>
      </xdr:blipFill>
      <xdr:spPr>
        <a:xfrm>
          <a:off x="5889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247320</xdr:rowOff>
    </xdr:to>
    <xdr:pic>
      <xdr:nvPicPr>
        <xdr:cNvPr id="3" name="UPDATE_PLAN1X_DATA" descr="update_org.png"/>
        <xdr:cNvPicPr/>
      </xdr:nvPicPr>
      <xdr:blipFill>
        <a:blip xmlns:r="http://schemas.openxmlformats.org/officeDocument/2006/relationships" r:embed="rId2"/>
        <a:stretch/>
      </xdr:blipFill>
      <xdr:spPr>
        <a:xfrm>
          <a:off x="281880" y="3714840"/>
          <a:ext cx="287640" cy="24732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4" name="PHONE_PIC" descr="update_org.png"/>
        <xdr:cNvPicPr/>
      </xdr:nvPicPr>
      <xdr:blipFill>
        <a:blip xmlns:r="http://schemas.openxmlformats.org/officeDocument/2006/relationships" r:embed="rId3"/>
        <a:stretch/>
      </xdr:blipFill>
      <xdr:spPr>
        <a:xfrm>
          <a:off x="297720" y="618192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xmlns:r="http://schemas.openxmlformats.org/officeDocument/2006/relationships"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xdr:cNvPicPr/>
      </xdr:nvPicPr>
      <xdr:blipFill>
        <a:blip xmlns:r="http://schemas.openxmlformats.org/officeDocument/2006/relationships"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73440</xdr:colOff>
      <xdr:row>7</xdr:row>
      <xdr:rowOff>0</xdr:rowOff>
    </xdr:from>
    <xdr:to>
      <xdr:col>4</xdr:col>
      <xdr:colOff>155160</xdr:colOff>
      <xdr:row>7</xdr:row>
      <xdr:rowOff>0</xdr:rowOff>
    </xdr:to>
    <xdr:pic>
      <xdr:nvPicPr>
        <xdr:cNvPr id="5" name="Рисунок 8"/>
        <xdr:cNvPicPr/>
      </xdr:nvPicPr>
      <xdr:blipFill>
        <a:blip xmlns:r="http://schemas.openxmlformats.org/officeDocument/2006/relationships"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2</xdr:col>
      <xdr:colOff>192600</xdr:colOff>
      <xdr:row>13</xdr:row>
      <xdr:rowOff>247320</xdr:rowOff>
    </xdr:to>
    <xdr:pic>
      <xdr:nvPicPr>
        <xdr:cNvPr id="6" name="UNFREEZE_PANES" descr="update_org.png"/>
        <xdr:cNvPicPr/>
      </xdr:nvPicPr>
      <xdr:blipFill>
        <a:blip xmlns:r="http://schemas.openxmlformats.org/officeDocument/2006/relationships" r:embed="rId1"/>
        <a:stretch/>
      </xdr:blipFill>
      <xdr:spPr>
        <a:xfrm>
          <a:off x="0" y="18108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0</xdr:colOff>
      <xdr:row>13</xdr:row>
      <xdr:rowOff>0</xdr:rowOff>
    </xdr:from>
    <xdr:to>
      <xdr:col>3</xdr:col>
      <xdr:colOff>192600</xdr:colOff>
      <xdr:row>13</xdr:row>
      <xdr:rowOff>171000</xdr:rowOff>
    </xdr:to>
    <xdr:pic>
      <xdr:nvPicPr>
        <xdr:cNvPr id="7" name="UNFREEZE_PANES" descr="update_org.png"/>
        <xdr:cNvPicPr/>
      </xdr:nvPicPr>
      <xdr:blipFill>
        <a:blip xmlns:r="http://schemas.openxmlformats.org/officeDocument/2006/relationships"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4</xdr:row>
      <xdr:rowOff>0</xdr:rowOff>
    </xdr:from>
    <xdr:to>
      <xdr:col>2</xdr:col>
      <xdr:colOff>192600</xdr:colOff>
      <xdr:row>4</xdr:row>
      <xdr:rowOff>247320</xdr:rowOff>
    </xdr:to>
    <xdr:pic>
      <xdr:nvPicPr>
        <xdr:cNvPr id="8" name="UNFREEZE_PANES" descr="update_org.png"/>
        <xdr:cNvPicPr/>
      </xdr:nvPicPr>
      <xdr:blipFill>
        <a:blip xmlns:r="http://schemas.openxmlformats.org/officeDocument/2006/relationships" r:embed="rId1"/>
        <a:stretch/>
      </xdr:blipFill>
      <xdr:spPr>
        <a:xfrm>
          <a:off x="0" y="76320"/>
          <a:ext cx="192600" cy="247320"/>
        </a:xfrm>
        <a:prstGeom prst="rect">
          <a:avLst/>
        </a:prstGeom>
        <a:ln w="0">
          <a:noFill/>
        </a:ln>
      </xdr:spPr>
    </xdr:pic>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zoomScaleNormal="100" workbookViewId="0"/>
  </sheetViews>
  <sheetFormatPr defaultColWidth="11" defaultRowHeight="12.75"/>
  <cols>
    <col min="1" max="1" width="5.42578125" style="15" customWidth="1"/>
    <col min="2" max="2" width="9.140625" style="15" customWidth="1"/>
    <col min="3" max="3" width="16.42578125" style="15" customWidth="1"/>
    <col min="4" max="25" width="6.28515625" style="15" customWidth="1"/>
    <col min="26" max="28" width="11" style="15"/>
  </cols>
  <sheetData>
    <row r="1" spans="1:28" ht="15.75" customHeight="1">
      <c r="A1" s="16"/>
      <c r="B1" s="17"/>
      <c r="C1" s="17"/>
      <c r="D1" s="17"/>
      <c r="E1" s="17"/>
      <c r="F1" s="17"/>
      <c r="G1" s="17"/>
      <c r="H1" s="17"/>
      <c r="I1" s="17"/>
      <c r="J1" s="17"/>
      <c r="K1" s="17"/>
      <c r="L1" s="17"/>
      <c r="M1" s="17"/>
      <c r="N1" s="17"/>
      <c r="O1" s="17"/>
      <c r="P1" s="17"/>
      <c r="Q1" s="17"/>
      <c r="R1" s="17"/>
      <c r="S1" s="17"/>
      <c r="T1" s="17"/>
      <c r="U1" s="17"/>
      <c r="V1" s="17"/>
      <c r="W1" s="17"/>
      <c r="X1" s="17"/>
      <c r="Y1" s="18"/>
      <c r="Z1" s="17"/>
      <c r="AA1" s="19" t="s">
        <v>0</v>
      </c>
      <c r="AB1" s="17"/>
    </row>
    <row r="2" spans="1:28" ht="17.25" customHeight="1">
      <c r="A2" s="17"/>
      <c r="B2" s="14" t="s">
        <v>1</v>
      </c>
      <c r="C2" s="14"/>
      <c r="D2" s="14"/>
      <c r="E2" s="14"/>
      <c r="F2" s="14"/>
      <c r="G2" s="14"/>
      <c r="H2" s="14"/>
      <c r="I2" s="14"/>
      <c r="J2" s="14"/>
      <c r="K2" s="14"/>
      <c r="L2" s="14"/>
      <c r="M2" s="14"/>
      <c r="N2" s="14"/>
      <c r="O2" s="14"/>
      <c r="P2" s="14"/>
      <c r="Q2" s="20"/>
      <c r="R2" s="20"/>
      <c r="S2" s="20"/>
      <c r="T2" s="20"/>
      <c r="U2" s="20"/>
      <c r="V2" s="21"/>
      <c r="W2" s="20"/>
      <c r="X2" s="20"/>
      <c r="Y2" s="18"/>
      <c r="Z2" s="17"/>
      <c r="AA2" s="19"/>
      <c r="AB2" s="17"/>
    </row>
    <row r="3" spans="1:28" ht="15.75" customHeight="1">
      <c r="A3" s="17"/>
      <c r="B3" s="13" t="s">
        <v>2</v>
      </c>
      <c r="C3" s="13"/>
      <c r="D3" s="13"/>
      <c r="E3" s="13"/>
      <c r="F3" s="13"/>
      <c r="G3" s="13"/>
      <c r="H3" s="13"/>
      <c r="I3" s="13"/>
      <c r="J3" s="13"/>
      <c r="K3" s="13"/>
      <c r="L3" s="13"/>
      <c r="M3" s="13"/>
      <c r="N3" s="13"/>
      <c r="O3" s="13"/>
      <c r="P3" s="13"/>
      <c r="Q3" s="21"/>
      <c r="R3" s="21"/>
      <c r="S3" s="20"/>
      <c r="T3" s="20"/>
      <c r="U3" s="20"/>
      <c r="V3" s="21"/>
      <c r="W3" s="21"/>
      <c r="X3" s="21"/>
      <c r="Y3" s="21"/>
      <c r="Z3" s="17"/>
      <c r="AA3" s="19"/>
      <c r="AB3" s="17"/>
    </row>
    <row r="4" spans="1:28" ht="17.25" customHeight="1">
      <c r="A4" s="17"/>
      <c r="B4" s="22"/>
      <c r="C4" s="17"/>
      <c r="D4" s="21"/>
      <c r="E4" s="21"/>
      <c r="F4" s="21"/>
      <c r="G4" s="21"/>
      <c r="H4" s="21"/>
      <c r="I4" s="21"/>
      <c r="J4" s="21"/>
      <c r="K4" s="21"/>
      <c r="L4" s="21"/>
      <c r="M4" s="21"/>
      <c r="N4" s="21"/>
      <c r="O4" s="21"/>
      <c r="P4" s="21"/>
      <c r="Q4" s="21"/>
      <c r="R4" s="21"/>
      <c r="S4" s="21"/>
      <c r="T4" s="21"/>
      <c r="U4" s="21"/>
      <c r="V4" s="21"/>
      <c r="W4" s="21"/>
      <c r="X4" s="21"/>
      <c r="Y4" s="21"/>
      <c r="Z4" s="17"/>
      <c r="AA4" s="19"/>
      <c r="AB4" s="17"/>
    </row>
    <row r="5" spans="1:28" ht="22.5" customHeight="1">
      <c r="A5" s="23"/>
      <c r="B5" s="1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2"/>
      <c r="D5" s="12"/>
      <c r="E5" s="12"/>
      <c r="F5" s="12"/>
      <c r="G5" s="12"/>
      <c r="H5" s="12"/>
      <c r="I5" s="12"/>
      <c r="J5" s="12"/>
      <c r="K5" s="12"/>
      <c r="L5" s="12"/>
      <c r="M5" s="12"/>
      <c r="N5" s="12"/>
      <c r="O5" s="12"/>
      <c r="P5" s="12"/>
      <c r="Q5" s="12"/>
      <c r="R5" s="12"/>
      <c r="S5" s="12"/>
      <c r="T5" s="12"/>
      <c r="U5" s="12"/>
      <c r="V5" s="12"/>
      <c r="W5" s="12"/>
      <c r="X5" s="12"/>
      <c r="Y5" s="12"/>
      <c r="Z5" s="23"/>
      <c r="AA5" s="19"/>
      <c r="AB5" s="23"/>
    </row>
    <row r="6" spans="1:28" ht="15" customHeight="1">
      <c r="A6" s="24"/>
      <c r="B6" s="11" t="s">
        <v>3</v>
      </c>
      <c r="C6" s="11"/>
      <c r="D6" s="25"/>
      <c r="E6" s="25"/>
      <c r="F6" s="25"/>
      <c r="G6" s="25"/>
      <c r="H6" s="25"/>
      <c r="I6" s="25"/>
      <c r="J6" s="25"/>
      <c r="K6" s="25"/>
      <c r="L6" s="25"/>
      <c r="M6" s="25"/>
      <c r="N6" s="25"/>
      <c r="O6" s="25"/>
      <c r="P6" s="25"/>
      <c r="Q6" s="25"/>
      <c r="R6" s="25"/>
      <c r="S6" s="25"/>
      <c r="T6" s="25"/>
      <c r="U6" s="25"/>
      <c r="V6" s="25"/>
      <c r="W6" s="25"/>
      <c r="X6" s="25"/>
      <c r="Y6" s="26"/>
      <c r="Z6" s="27"/>
      <c r="AA6" s="28"/>
      <c r="AB6" s="28"/>
    </row>
    <row r="7" spans="1:28" ht="15" customHeight="1">
      <c r="A7" s="24"/>
      <c r="B7" s="11"/>
      <c r="C7" s="11"/>
      <c r="D7" s="25"/>
      <c r="E7" s="25"/>
      <c r="F7" s="29"/>
      <c r="G7" s="29"/>
      <c r="H7" s="29"/>
      <c r="I7" s="29"/>
      <c r="J7" s="29"/>
      <c r="K7" s="29"/>
      <c r="L7" s="29"/>
      <c r="M7" s="29"/>
      <c r="N7" s="29"/>
      <c r="O7" s="25"/>
      <c r="P7" s="29"/>
      <c r="Q7" s="29"/>
      <c r="R7" s="29"/>
      <c r="S7" s="29"/>
      <c r="T7" s="29"/>
      <c r="U7" s="29"/>
      <c r="V7" s="29"/>
      <c r="W7" s="29"/>
      <c r="X7" s="29"/>
      <c r="Y7" s="26"/>
      <c r="Z7" s="27"/>
      <c r="AA7" s="28"/>
      <c r="AB7" s="28"/>
    </row>
    <row r="8" spans="1:28" ht="15" customHeight="1">
      <c r="A8" s="24"/>
      <c r="B8" s="11"/>
      <c r="C8" s="11"/>
      <c r="D8" s="30"/>
      <c r="E8" s="31" t="s">
        <v>4</v>
      </c>
      <c r="F8" s="10" t="s">
        <v>5</v>
      </c>
      <c r="G8" s="10"/>
      <c r="H8" s="10"/>
      <c r="I8" s="10"/>
      <c r="J8" s="10"/>
      <c r="K8" s="10"/>
      <c r="L8" s="10"/>
      <c r="M8" s="10"/>
      <c r="N8" s="30"/>
      <c r="O8" s="32" t="s">
        <v>4</v>
      </c>
      <c r="P8" s="9" t="s">
        <v>6</v>
      </c>
      <c r="Q8" s="9"/>
      <c r="R8" s="9"/>
      <c r="S8" s="9"/>
      <c r="T8" s="9"/>
      <c r="U8" s="9"/>
      <c r="V8" s="9"/>
      <c r="W8" s="9"/>
      <c r="X8" s="9"/>
      <c r="Y8" s="26"/>
      <c r="Z8" s="27"/>
      <c r="AA8" s="28"/>
      <c r="AB8" s="28"/>
    </row>
    <row r="9" spans="1:28" ht="15" customHeight="1">
      <c r="A9" s="24"/>
      <c r="B9" s="11"/>
      <c r="C9" s="11"/>
      <c r="D9" s="30"/>
      <c r="E9" s="33" t="s">
        <v>4</v>
      </c>
      <c r="F9" s="10" t="s">
        <v>7</v>
      </c>
      <c r="G9" s="10"/>
      <c r="H9" s="10"/>
      <c r="I9" s="10"/>
      <c r="J9" s="10"/>
      <c r="K9" s="10"/>
      <c r="L9" s="10"/>
      <c r="M9" s="10"/>
      <c r="N9" s="30"/>
      <c r="O9" s="34" t="s">
        <v>4</v>
      </c>
      <c r="P9" s="9" t="s">
        <v>8</v>
      </c>
      <c r="Q9" s="9"/>
      <c r="R9" s="9"/>
      <c r="S9" s="9"/>
      <c r="T9" s="9"/>
      <c r="U9" s="9"/>
      <c r="V9" s="9"/>
      <c r="W9" s="9"/>
      <c r="X9" s="9"/>
      <c r="Y9" s="26"/>
      <c r="Z9" s="27"/>
      <c r="AA9" s="28"/>
      <c r="AB9" s="28"/>
    </row>
    <row r="10" spans="1:28" ht="30" customHeight="1">
      <c r="A10" s="24"/>
      <c r="B10" s="11"/>
      <c r="C10" s="11"/>
      <c r="D10" s="35"/>
      <c r="E10" s="36"/>
      <c r="F10" s="29"/>
      <c r="G10" s="29"/>
      <c r="H10" s="29"/>
      <c r="I10" s="29"/>
      <c r="J10" s="29"/>
      <c r="K10" s="29"/>
      <c r="L10" s="29"/>
      <c r="M10" s="29"/>
      <c r="N10" s="29"/>
      <c r="O10" s="36"/>
      <c r="P10" s="29"/>
      <c r="Q10" s="29"/>
      <c r="R10" s="29"/>
      <c r="S10" s="29"/>
      <c r="T10" s="29"/>
      <c r="U10" s="29"/>
      <c r="V10" s="29"/>
      <c r="W10" s="29"/>
      <c r="X10" s="29"/>
      <c r="Y10" s="26"/>
      <c r="Z10" s="27"/>
      <c r="AA10" s="28"/>
      <c r="AB10" s="28"/>
    </row>
    <row r="11" spans="1:28" ht="19.5" customHeight="1">
      <c r="A11" s="24"/>
      <c r="B11" s="8" t="s">
        <v>9</v>
      </c>
      <c r="C11" s="8"/>
      <c r="D11" s="30"/>
      <c r="E11" s="37"/>
      <c r="F11" s="37"/>
      <c r="G11" s="37"/>
      <c r="H11" s="37"/>
      <c r="I11" s="37"/>
      <c r="J11" s="37"/>
      <c r="K11" s="37"/>
      <c r="L11" s="37"/>
      <c r="M11" s="37"/>
      <c r="N11" s="37"/>
      <c r="O11" s="37"/>
      <c r="P11" s="37"/>
      <c r="Q11" s="37"/>
      <c r="R11" s="37"/>
      <c r="S11" s="37"/>
      <c r="T11" s="37"/>
      <c r="U11" s="37"/>
      <c r="V11" s="37"/>
      <c r="W11" s="37"/>
      <c r="X11" s="37"/>
      <c r="Y11" s="26"/>
      <c r="Z11" s="27"/>
      <c r="AA11" s="28"/>
      <c r="AB11" s="28"/>
    </row>
    <row r="12" spans="1:28" ht="69" customHeight="1">
      <c r="A12" s="24"/>
      <c r="B12" s="8"/>
      <c r="C12" s="8"/>
      <c r="D12" s="38"/>
      <c r="E12" s="7" t="s">
        <v>10</v>
      </c>
      <c r="F12" s="7"/>
      <c r="G12" s="7"/>
      <c r="H12" s="7"/>
      <c r="I12" s="7"/>
      <c r="J12" s="7"/>
      <c r="K12" s="7"/>
      <c r="L12" s="7"/>
      <c r="M12" s="7"/>
      <c r="N12" s="7"/>
      <c r="O12" s="7"/>
      <c r="P12" s="7"/>
      <c r="Q12" s="7"/>
      <c r="R12" s="7"/>
      <c r="S12" s="7"/>
      <c r="T12" s="7"/>
      <c r="U12" s="7"/>
      <c r="V12" s="7"/>
      <c r="W12" s="7"/>
      <c r="X12" s="7"/>
      <c r="Y12" s="26"/>
      <c r="Z12" s="27"/>
      <c r="AA12" s="28"/>
      <c r="AB12" s="28"/>
    </row>
    <row r="13" spans="1:28" ht="15" customHeight="1">
      <c r="A13" s="24"/>
      <c r="B13" s="6" t="s">
        <v>11</v>
      </c>
      <c r="C13" s="6"/>
      <c r="D13" s="25"/>
      <c r="E13" s="37"/>
      <c r="F13" s="37"/>
      <c r="G13" s="37"/>
      <c r="H13" s="37"/>
      <c r="I13" s="37"/>
      <c r="J13" s="37"/>
      <c r="K13" s="37"/>
      <c r="L13" s="37"/>
      <c r="M13" s="37"/>
      <c r="N13" s="37"/>
      <c r="O13" s="37"/>
      <c r="P13" s="37"/>
      <c r="Q13" s="37"/>
      <c r="R13" s="37"/>
      <c r="S13" s="37"/>
      <c r="T13" s="37"/>
      <c r="U13" s="37"/>
      <c r="V13" s="37"/>
      <c r="W13" s="37"/>
      <c r="X13" s="37"/>
      <c r="Y13" s="26"/>
      <c r="Z13" s="27"/>
      <c r="AA13" s="28"/>
      <c r="AB13" s="28"/>
    </row>
    <row r="14" spans="1:28" ht="57" customHeight="1">
      <c r="A14" s="24"/>
      <c r="B14" s="6"/>
      <c r="C14" s="6"/>
      <c r="D14" s="30"/>
      <c r="E14" s="5" t="s">
        <v>12</v>
      </c>
      <c r="F14" s="5"/>
      <c r="G14" s="5"/>
      <c r="H14" s="5"/>
      <c r="I14" s="5"/>
      <c r="J14" s="5"/>
      <c r="K14" s="5"/>
      <c r="L14" s="5"/>
      <c r="M14" s="5"/>
      <c r="N14" s="5"/>
      <c r="O14" s="5"/>
      <c r="P14" s="5"/>
      <c r="Q14" s="5"/>
      <c r="R14" s="5"/>
      <c r="S14" s="5"/>
      <c r="T14" s="5"/>
      <c r="U14" s="5"/>
      <c r="V14" s="5"/>
      <c r="W14" s="5"/>
      <c r="X14" s="5"/>
      <c r="Y14" s="26"/>
      <c r="Z14" s="27"/>
      <c r="AA14" s="28"/>
      <c r="AB14" s="28"/>
    </row>
    <row r="15" spans="1:28" ht="16.5" customHeight="1">
      <c r="A15" s="24"/>
      <c r="B15" s="6"/>
      <c r="C15" s="6"/>
      <c r="D15" s="39"/>
      <c r="E15" s="40"/>
      <c r="F15" s="40"/>
      <c r="G15" s="40"/>
      <c r="H15" s="40"/>
      <c r="I15" s="40"/>
      <c r="J15" s="40"/>
      <c r="K15" s="40"/>
      <c r="L15" s="40"/>
      <c r="M15" s="40"/>
      <c r="N15" s="40"/>
      <c r="O15" s="40"/>
      <c r="P15" s="40"/>
      <c r="Q15" s="40"/>
      <c r="R15" s="40"/>
      <c r="S15" s="40"/>
      <c r="T15" s="40"/>
      <c r="U15" s="40"/>
      <c r="V15" s="40"/>
      <c r="W15" s="40"/>
      <c r="X15" s="40"/>
      <c r="Y15" s="41"/>
      <c r="Z15" s="27"/>
      <c r="AA15" s="42"/>
      <c r="AB15" s="28"/>
    </row>
    <row r="16" spans="1:28" ht="95.25" customHeight="1">
      <c r="A16" s="17"/>
      <c r="B16" s="5"/>
      <c r="C16" s="5"/>
      <c r="D16" s="5"/>
      <c r="E16" s="5"/>
      <c r="F16" s="5"/>
      <c r="G16" s="5"/>
      <c r="H16" s="5"/>
      <c r="I16" s="5"/>
      <c r="J16" s="5"/>
      <c r="K16" s="5"/>
      <c r="L16" s="5"/>
      <c r="M16" s="5"/>
      <c r="N16" s="5"/>
      <c r="O16" s="5"/>
      <c r="P16" s="5"/>
      <c r="Q16" s="5"/>
      <c r="R16" s="5"/>
      <c r="S16" s="5"/>
      <c r="T16" s="5"/>
      <c r="U16" s="5"/>
      <c r="V16" s="5"/>
      <c r="W16" s="5"/>
      <c r="X16" s="5"/>
      <c r="Y16" s="5"/>
      <c r="Z16" s="17"/>
      <c r="AA16" s="19"/>
      <c r="AB16" s="17"/>
    </row>
    <row r="17" spans="1:28" ht="14.25"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8"/>
      <c r="Z17" s="17"/>
      <c r="AA17" s="19"/>
      <c r="AB17" s="17"/>
    </row>
    <row r="18" spans="1:28" ht="14.2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8"/>
      <c r="Z18" s="17"/>
      <c r="AA18" s="19"/>
      <c r="AB18" s="17"/>
    </row>
    <row r="19" spans="1:28" ht="14.2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8"/>
      <c r="Z19" s="17"/>
      <c r="AA19" s="19"/>
      <c r="AB19" s="17"/>
    </row>
    <row r="20" spans="1:28" ht="14.2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8"/>
      <c r="Z20" s="17"/>
      <c r="AA20" s="19"/>
      <c r="AB20" s="17"/>
    </row>
    <row r="21" spans="1:28" ht="14.2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8"/>
      <c r="Z21" s="17"/>
      <c r="AA21" s="19"/>
      <c r="AB21" s="17"/>
    </row>
  </sheetData>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625" bottom="0.625" header="0.3" footer="0.3"/>
  <pageSetup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5" zoomScale="90" zoomScaleNormal="90" workbookViewId="0">
      <selection activeCell="F33" sqref="F33"/>
    </sheetView>
  </sheetViews>
  <sheetFormatPr defaultColWidth="9.140625" defaultRowHeight="11.25"/>
  <cols>
    <col min="1" max="1" width="10.7109375" style="43" hidden="1" customWidth="1"/>
    <col min="2" max="2" width="10.7109375" style="44" hidden="1" customWidth="1"/>
    <col min="3" max="3" width="3.7109375" style="45" customWidth="1"/>
    <col min="4" max="4" width="1.7109375" style="46" customWidth="1"/>
    <col min="5" max="5" width="55.28515625" style="46" customWidth="1"/>
    <col min="6" max="6" width="50.7109375" style="46" customWidth="1"/>
    <col min="7" max="7" width="1.7109375" style="47" customWidth="1"/>
    <col min="8" max="8" width="18" style="46" hidden="1" customWidth="1"/>
    <col min="9" max="9" width="9.5703125" style="48" customWidth="1"/>
    <col min="10" max="10" width="52.140625" style="49" hidden="1" customWidth="1"/>
    <col min="11" max="11" width="9.140625" style="46"/>
    <col min="12" max="12" width="78" style="46" customWidth="1"/>
    <col min="13" max="16" width="9.140625" style="46"/>
  </cols>
  <sheetData>
    <row r="1" spans="1:11" s="51" customFormat="1" ht="3" customHeight="1">
      <c r="A1" s="43"/>
      <c r="B1" s="50"/>
      <c r="F1" s="51">
        <v>26354809</v>
      </c>
      <c r="G1" s="48"/>
      <c r="H1" s="52"/>
      <c r="I1" s="48"/>
      <c r="J1" s="53"/>
    </row>
    <row r="2" spans="1:11" s="52" customFormat="1" ht="14.25" customHeight="1">
      <c r="A2" s="43"/>
      <c r="B2" s="44"/>
      <c r="E2" s="54" t="str">
        <f>code</f>
        <v>Код отчёта: PP108.OPEN.INFO.PRICE.VOTV.EIAS</v>
      </c>
      <c r="F2" s="55"/>
      <c r="G2" s="56"/>
      <c r="H2" s="56"/>
      <c r="I2" s="56"/>
      <c r="J2" s="57"/>
      <c r="K2" s="56"/>
    </row>
    <row r="3" spans="1:11" ht="14.25" customHeight="1">
      <c r="E3" s="58" t="str">
        <f>version</f>
        <v>Версия отчёта: 1.0.5</v>
      </c>
      <c r="F3" s="55"/>
      <c r="G3" s="59"/>
      <c r="H3" s="59"/>
      <c r="I3" s="59"/>
      <c r="J3" s="60"/>
      <c r="K3" s="59"/>
    </row>
    <row r="4" spans="1:11" s="64" customFormat="1" ht="6" customHeight="1">
      <c r="A4" s="43"/>
      <c r="B4" s="61"/>
      <c r="C4" s="62"/>
      <c r="D4" s="63"/>
      <c r="F4" s="65"/>
      <c r="G4" s="47"/>
      <c r="H4" s="46"/>
      <c r="I4" s="48"/>
      <c r="J4" s="66"/>
    </row>
    <row r="5" spans="1:11" ht="37.5" customHeight="1">
      <c r="D5" s="67"/>
      <c r="E5" s="4" t="str">
        <f>NameTemplatesInTitle</f>
        <v>Показатели, подлежащие раскрытию в сфере водоотведения (цены и тарифы)</v>
      </c>
      <c r="F5" s="4"/>
      <c r="G5" s="68"/>
      <c r="J5" s="69"/>
    </row>
    <row r="6" spans="1:11" s="64" customFormat="1" ht="6" customHeight="1">
      <c r="A6" s="43"/>
      <c r="B6" s="61"/>
      <c r="C6" s="62"/>
      <c r="D6" s="63"/>
      <c r="E6" s="70"/>
      <c r="F6" s="71"/>
      <c r="G6" s="68"/>
      <c r="H6" s="46"/>
      <c r="I6" s="48"/>
      <c r="J6" s="66"/>
    </row>
    <row r="7" spans="1:11" ht="19.5" customHeight="1">
      <c r="D7" s="67"/>
      <c r="E7" s="72" t="s">
        <v>13</v>
      </c>
      <c r="F7" s="73" t="s">
        <v>14</v>
      </c>
      <c r="G7" s="68"/>
    </row>
    <row r="8" spans="1:11" s="64" customFormat="1" ht="6" customHeight="1">
      <c r="A8" s="74"/>
      <c r="B8" s="61"/>
      <c r="C8" s="62"/>
      <c r="D8" s="75"/>
      <c r="E8" s="70"/>
      <c r="F8" s="76"/>
      <c r="G8" s="77"/>
      <c r="H8" s="46"/>
      <c r="I8" s="48"/>
      <c r="J8" s="78"/>
    </row>
    <row r="9" spans="1:11" s="46" customFormat="1" ht="19.5" hidden="1" customHeight="1">
      <c r="A9" s="43"/>
      <c r="B9" s="44"/>
      <c r="C9" s="45"/>
      <c r="D9" s="67"/>
      <c r="E9" s="72" t="s">
        <v>15</v>
      </c>
      <c r="F9" s="79"/>
      <c r="G9" s="68"/>
      <c r="I9" s="48"/>
      <c r="J9" s="49"/>
    </row>
    <row r="10" spans="1:11" s="64" customFormat="1" ht="6" customHeight="1">
      <c r="A10" s="74"/>
      <c r="B10" s="61"/>
      <c r="C10" s="62"/>
      <c r="D10" s="75"/>
      <c r="E10" s="70"/>
      <c r="F10" s="76"/>
      <c r="G10" s="77"/>
      <c r="H10" s="46"/>
      <c r="I10" s="48"/>
      <c r="J10" s="78"/>
    </row>
    <row r="11" spans="1:11" ht="22.5" customHeight="1">
      <c r="A11" s="3" t="s">
        <v>16</v>
      </c>
      <c r="D11" s="67"/>
      <c r="E11" s="80" t="s">
        <v>17</v>
      </c>
      <c r="F11" s="81">
        <v>45292.4626041667</v>
      </c>
      <c r="G11" s="77"/>
      <c r="H11" s="82" t="s">
        <v>18</v>
      </c>
      <c r="J11" s="49" t="s">
        <v>19</v>
      </c>
    </row>
    <row r="12" spans="1:11" ht="22.5" customHeight="1">
      <c r="A12" s="3"/>
      <c r="D12" s="67"/>
      <c r="E12" s="80" t="s">
        <v>20</v>
      </c>
      <c r="F12" s="81">
        <v>47483.462662037004</v>
      </c>
      <c r="G12" s="83"/>
      <c r="J12" s="49" t="s">
        <v>21</v>
      </c>
    </row>
    <row r="13" spans="1:11" s="46" customFormat="1" ht="22.5" hidden="1" customHeight="1">
      <c r="A13" s="84" t="s">
        <v>22</v>
      </c>
      <c r="B13" s="44"/>
      <c r="C13" s="45"/>
      <c r="D13" s="67"/>
      <c r="E13" s="85" t="s">
        <v>23</v>
      </c>
      <c r="F13" s="81"/>
      <c r="G13" s="77"/>
      <c r="H13" s="59"/>
      <c r="I13" s="48"/>
      <c r="J13" s="57" t="s">
        <v>24</v>
      </c>
    </row>
    <row r="14" spans="1:11" s="46" customFormat="1" ht="27" hidden="1" customHeight="1">
      <c r="A14" s="84" t="s">
        <v>25</v>
      </c>
      <c r="B14" s="44"/>
      <c r="C14" s="45"/>
      <c r="D14" s="67"/>
      <c r="E14" s="72" t="s">
        <v>26</v>
      </c>
      <c r="F14" s="86"/>
      <c r="G14" s="77"/>
      <c r="H14" s="59"/>
      <c r="I14" s="48"/>
      <c r="J14" s="49" t="s">
        <v>27</v>
      </c>
    </row>
    <row r="15" spans="1:11" s="46" customFormat="1" ht="19.5" hidden="1" customHeight="1">
      <c r="A15" s="84" t="s">
        <v>28</v>
      </c>
      <c r="B15" s="44"/>
      <c r="C15" s="45"/>
      <c r="D15" s="67"/>
      <c r="E15" s="72" t="s">
        <v>29</v>
      </c>
      <c r="F15" s="86"/>
      <c r="G15" s="77"/>
      <c r="H15" s="59"/>
      <c r="I15" s="48"/>
      <c r="J15" s="49" t="s">
        <v>30</v>
      </c>
    </row>
    <row r="16" spans="1:11" s="64" customFormat="1" ht="6" customHeight="1">
      <c r="A16" s="74"/>
      <c r="B16" s="61"/>
      <c r="C16" s="62"/>
      <c r="D16" s="75"/>
      <c r="E16" s="70"/>
      <c r="F16" s="76"/>
      <c r="G16" s="77"/>
      <c r="H16" s="46"/>
      <c r="I16" s="48"/>
      <c r="J16" s="66"/>
    </row>
    <row r="17" spans="1:10" ht="19.5" customHeight="1">
      <c r="D17" s="67"/>
      <c r="E17" s="72" t="s">
        <v>31</v>
      </c>
      <c r="F17" s="87" t="s">
        <v>32</v>
      </c>
      <c r="G17" s="83"/>
      <c r="H17" s="82" t="s">
        <v>18</v>
      </c>
    </row>
    <row r="18" spans="1:10" ht="25.5" hidden="1" customHeight="1">
      <c r="D18" s="67"/>
      <c r="E18" s="88" t="s">
        <v>33</v>
      </c>
      <c r="F18" s="89"/>
      <c r="G18" s="83"/>
      <c r="I18" s="90"/>
      <c r="J18" s="2" t="s">
        <v>34</v>
      </c>
    </row>
    <row r="19" spans="1:10" ht="25.5" hidden="1" customHeight="1">
      <c r="D19" s="67"/>
      <c r="E19" s="7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89"/>
      <c r="G19" s="83"/>
      <c r="I19" s="90"/>
      <c r="J19" s="2"/>
    </row>
    <row r="20" spans="1:10" ht="22.5" customHeight="1">
      <c r="D20" s="67"/>
      <c r="E20" s="91"/>
      <c r="F20" s="47" t="str">
        <f>"Первичное "&amp;IF(TEMPLATE_GROUP="P","установление тарифов","предложение по тарифам")</f>
        <v>Первичное установление тарифов</v>
      </c>
      <c r="G20" s="83"/>
      <c r="I20" s="77"/>
      <c r="J20" s="69" t="s">
        <v>35</v>
      </c>
    </row>
    <row r="21" spans="1:10" ht="19.5" customHeight="1">
      <c r="D21" s="67"/>
      <c r="E21" s="72" t="str">
        <f>"Дата "&amp;IF(TEMPLATE_GROUP="P","документа","подачи заявления")&amp;" об утверждении тарифов"</f>
        <v>Дата документа об утверждении тарифов</v>
      </c>
      <c r="F21" s="81">
        <v>45266.462974536997</v>
      </c>
      <c r="G21" s="83"/>
      <c r="I21" s="92"/>
    </row>
    <row r="22" spans="1:10" ht="19.5" customHeight="1">
      <c r="D22" s="67"/>
      <c r="E22" s="72" t="str">
        <f>"Номер "&amp;IF(TEMPLATE_GROUP="P","документа","подачи заявления")&amp;" об утверждении тарифов"</f>
        <v>Номер документа об утверждении тарифов</v>
      </c>
      <c r="F22" s="87" t="s">
        <v>36</v>
      </c>
      <c r="G22" s="83"/>
      <c r="I22" s="92"/>
    </row>
    <row r="23" spans="1:10" ht="22.5" customHeight="1">
      <c r="D23" s="67"/>
      <c r="E23" s="72" t="s">
        <v>37</v>
      </c>
      <c r="F23" s="87" t="s">
        <v>38</v>
      </c>
      <c r="G23" s="83"/>
    </row>
    <row r="24" spans="1:10" ht="19.5" customHeight="1">
      <c r="D24" s="67"/>
      <c r="E24" s="72" t="s">
        <v>39</v>
      </c>
      <c r="F24" s="87" t="s">
        <v>38</v>
      </c>
      <c r="G24" s="83"/>
    </row>
    <row r="25" spans="1:10" ht="22.5" hidden="1" customHeight="1">
      <c r="D25" s="67"/>
      <c r="E25" s="91"/>
      <c r="F25" s="47" t="str">
        <f>"Изменение "&amp;IF(TEMPLATE_GROUP="P","тарифов","предложения по тарифам")</f>
        <v>Изменение тарифов</v>
      </c>
      <c r="G25" s="83"/>
      <c r="J25" s="69" t="s">
        <v>40</v>
      </c>
    </row>
    <row r="26" spans="1:10" ht="19.5" hidden="1" customHeight="1">
      <c r="D26" s="67"/>
      <c r="E26" s="72" t="str">
        <f>"Дата "&amp;IF(TEMPLATE_GROUP="P","принятия решения","подачи заявления")&amp;" об изменении тарифов"</f>
        <v>Дата принятия решения об изменении тарифов</v>
      </c>
      <c r="F26" s="89"/>
      <c r="G26" s="83"/>
    </row>
    <row r="27" spans="1:10" ht="19.5" hidden="1" customHeight="1">
      <c r="D27" s="67"/>
      <c r="E27" s="72" t="str">
        <f>"Номер "&amp;IF(TEMPLATE_GROUP="P","принятия решения","заявления")&amp;" об изменении тарифов"</f>
        <v>Номер принятия решения об изменении тарифов</v>
      </c>
      <c r="F27" s="93"/>
      <c r="G27" s="83"/>
    </row>
    <row r="28" spans="1:10" ht="24.75" hidden="1" customHeight="1">
      <c r="D28" s="67"/>
      <c r="E28" s="72" t="s">
        <v>41</v>
      </c>
      <c r="F28" s="93"/>
      <c r="G28" s="83"/>
    </row>
    <row r="29" spans="1:10" ht="19.5" hidden="1" customHeight="1">
      <c r="D29" s="67"/>
      <c r="E29" s="72" t="s">
        <v>39</v>
      </c>
      <c r="F29" s="93"/>
      <c r="G29" s="83"/>
    </row>
    <row r="30" spans="1:10" s="64" customFormat="1" ht="6" customHeight="1">
      <c r="A30" s="74"/>
      <c r="B30" s="61"/>
      <c r="C30" s="62"/>
      <c r="D30" s="75"/>
      <c r="E30" s="70"/>
      <c r="F30" s="76"/>
      <c r="G30" s="77"/>
      <c r="H30" s="46"/>
      <c r="I30" s="48"/>
      <c r="J30" s="66"/>
    </row>
    <row r="31" spans="1:10" ht="19.5" customHeight="1">
      <c r="C31" s="94"/>
      <c r="D31" s="95"/>
      <c r="E31" s="72" t="s">
        <v>42</v>
      </c>
      <c r="F31" s="96" t="s">
        <v>43</v>
      </c>
      <c r="G31" s="97"/>
    </row>
    <row r="32" spans="1:10" ht="19.5" hidden="1" customHeight="1">
      <c r="C32" s="94"/>
      <c r="D32" s="95"/>
      <c r="E32" s="98" t="s">
        <v>44</v>
      </c>
      <c r="F32" s="99"/>
      <c r="G32" s="97"/>
    </row>
    <row r="33" spans="1:10" ht="19.5" customHeight="1">
      <c r="C33" s="94"/>
      <c r="D33" s="95"/>
      <c r="E33" s="72" t="s">
        <v>45</v>
      </c>
      <c r="F33" s="96" t="s">
        <v>46</v>
      </c>
      <c r="G33" s="97"/>
    </row>
    <row r="34" spans="1:10" ht="19.5" customHeight="1">
      <c r="C34" s="94"/>
      <c r="D34" s="95"/>
      <c r="E34" s="72" t="s">
        <v>47</v>
      </c>
      <c r="F34" s="96" t="s">
        <v>48</v>
      </c>
      <c r="G34" s="97"/>
      <c r="H34" s="100"/>
    </row>
    <row r="35" spans="1:10" s="64" customFormat="1" ht="11.25" customHeight="1">
      <c r="A35" s="74"/>
      <c r="B35" s="61"/>
      <c r="C35" s="62"/>
      <c r="D35" s="75"/>
      <c r="E35" s="70"/>
      <c r="F35" s="76"/>
      <c r="G35" s="77"/>
      <c r="H35" s="46"/>
      <c r="I35" s="48"/>
      <c r="J35" s="66"/>
    </row>
    <row r="36" spans="1:10" ht="19.5" hidden="1" customHeight="1">
      <c r="A36" s="101"/>
      <c r="D36" s="95"/>
      <c r="E36" s="72" t="s">
        <v>49</v>
      </c>
      <c r="F36" s="79"/>
      <c r="G36" s="77"/>
    </row>
    <row r="37" spans="1:10" ht="19.5" customHeight="1">
      <c r="A37" s="101"/>
      <c r="D37" s="95"/>
      <c r="E37" s="72" t="s">
        <v>50</v>
      </c>
      <c r="F37" s="79" t="s">
        <v>51</v>
      </c>
      <c r="G37" s="77"/>
    </row>
    <row r="38" spans="1:10" s="64" customFormat="1" ht="6" customHeight="1">
      <c r="A38" s="74"/>
      <c r="B38" s="61"/>
      <c r="C38" s="62"/>
      <c r="D38" s="63"/>
      <c r="E38" s="102"/>
      <c r="F38" s="103"/>
      <c r="G38" s="83"/>
      <c r="H38" s="46"/>
      <c r="I38" s="48"/>
      <c r="J38" s="49"/>
    </row>
    <row r="39" spans="1:10" ht="22.5" customHeight="1">
      <c r="A39" s="74"/>
      <c r="D39" s="67"/>
      <c r="E39" s="72" t="s">
        <v>52</v>
      </c>
      <c r="F39" s="104" t="s">
        <v>53</v>
      </c>
      <c r="G39" s="83"/>
      <c r="H39" s="82" t="s">
        <v>18</v>
      </c>
    </row>
    <row r="40" spans="1:10" s="64" customFormat="1" ht="6" hidden="1" customHeight="1">
      <c r="A40" s="43"/>
      <c r="B40" s="61"/>
      <c r="C40" s="62"/>
      <c r="D40" s="63"/>
      <c r="E40" s="102"/>
      <c r="F40" s="103"/>
      <c r="G40" s="83"/>
      <c r="H40" s="46"/>
      <c r="I40" s="48"/>
      <c r="J40" s="49"/>
    </row>
    <row r="41" spans="1:10" s="46" customFormat="1" ht="19.5" hidden="1" customHeight="1">
      <c r="A41" s="84" t="s">
        <v>22</v>
      </c>
      <c r="B41" s="44"/>
      <c r="C41" s="45"/>
      <c r="D41" s="67"/>
      <c r="E41" s="7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104" t="s">
        <v>53</v>
      </c>
      <c r="G41" s="83"/>
      <c r="I41" s="48"/>
      <c r="J41" s="49"/>
    </row>
    <row r="42" spans="1:10" s="64" customFormat="1" ht="6" hidden="1" customHeight="1">
      <c r="A42" s="43"/>
      <c r="B42" s="61"/>
      <c r="C42" s="62"/>
      <c r="D42" s="63"/>
      <c r="E42" s="102"/>
      <c r="F42" s="103"/>
      <c r="G42" s="83"/>
      <c r="H42" s="46"/>
      <c r="I42" s="48"/>
      <c r="J42" s="66"/>
    </row>
    <row r="43" spans="1:10" s="46" customFormat="1" ht="22.5" hidden="1" customHeight="1">
      <c r="A43" s="43"/>
      <c r="B43" s="44"/>
      <c r="C43" s="45"/>
      <c r="D43" s="67"/>
      <c r="E43" s="72" t="s">
        <v>54</v>
      </c>
      <c r="F43" s="104" t="s">
        <v>53</v>
      </c>
      <c r="G43" s="83"/>
      <c r="I43" s="48"/>
      <c r="J43" s="49"/>
    </row>
    <row r="44" spans="1:10" s="46" customFormat="1" ht="22.5" hidden="1" customHeight="1">
      <c r="A44" s="43"/>
      <c r="B44" s="44"/>
      <c r="C44" s="45"/>
      <c r="D44" s="67"/>
      <c r="E44" s="72" t="s">
        <v>55</v>
      </c>
      <c r="F44" s="105"/>
      <c r="G44" s="83"/>
      <c r="I44" s="48"/>
      <c r="J44" s="49"/>
    </row>
    <row r="45" spans="1:10" s="64" customFormat="1" ht="6" hidden="1" customHeight="1">
      <c r="A45" s="43"/>
      <c r="B45" s="61"/>
      <c r="C45" s="62"/>
      <c r="D45" s="63"/>
      <c r="E45" s="102"/>
      <c r="F45" s="103"/>
      <c r="G45" s="83"/>
      <c r="H45" s="46"/>
      <c r="I45" s="48"/>
      <c r="J45" s="49"/>
    </row>
    <row r="46" spans="1:10" s="64" customFormat="1" ht="22.5" hidden="1" customHeight="1">
      <c r="A46" s="43"/>
      <c r="B46" s="61"/>
      <c r="C46" s="62"/>
      <c r="D46" s="63"/>
      <c r="E46" s="80" t="s">
        <v>56</v>
      </c>
      <c r="F46" s="104" t="s">
        <v>53</v>
      </c>
      <c r="G46" s="83"/>
      <c r="H46" s="46"/>
      <c r="I46" s="48"/>
      <c r="J46" s="49"/>
    </row>
    <row r="47" spans="1:10" s="46" customFormat="1" ht="22.5" hidden="1" customHeight="1">
      <c r="A47" s="43"/>
      <c r="B47" s="44"/>
      <c r="C47" s="45"/>
      <c r="D47" s="67"/>
      <c r="E47" s="80" t="s">
        <v>57</v>
      </c>
      <c r="F47" s="104" t="s">
        <v>53</v>
      </c>
      <c r="G47" s="83"/>
      <c r="I47" s="48"/>
      <c r="J47" s="49"/>
    </row>
    <row r="48" spans="1:10" s="64" customFormat="1" ht="6" customHeight="1">
      <c r="A48" s="43"/>
      <c r="B48" s="61"/>
      <c r="C48" s="62"/>
      <c r="D48" s="63"/>
      <c r="E48" s="102"/>
      <c r="F48" s="103"/>
      <c r="G48" s="83"/>
      <c r="H48" s="46"/>
      <c r="I48" s="48"/>
      <c r="J48" s="49"/>
    </row>
    <row r="49" spans="1:16" ht="19.5" customHeight="1">
      <c r="D49" s="67"/>
      <c r="E49" s="7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04" t="s">
        <v>53</v>
      </c>
      <c r="G49" s="83"/>
    </row>
    <row r="50" spans="1:16" s="64" customFormat="1" ht="6" hidden="1" customHeight="1">
      <c r="A50" s="74"/>
      <c r="B50" s="61"/>
      <c r="C50" s="62"/>
      <c r="D50" s="75"/>
      <c r="E50" s="70"/>
      <c r="F50" s="76"/>
      <c r="G50" s="77"/>
      <c r="H50" s="46"/>
      <c r="I50" s="48"/>
      <c r="J50" s="49"/>
    </row>
    <row r="51" spans="1:16" s="46" customFormat="1" ht="22.5" hidden="1" customHeight="1">
      <c r="A51" s="106"/>
      <c r="B51" s="44"/>
      <c r="C51" s="45"/>
      <c r="D51" s="48"/>
      <c r="E51" s="72" t="s">
        <v>58</v>
      </c>
      <c r="F51" s="104" t="s">
        <v>53</v>
      </c>
      <c r="G51" s="47"/>
      <c r="I51" s="107"/>
      <c r="J51" s="49"/>
      <c r="P51" s="108"/>
    </row>
    <row r="52" spans="1:16" s="64" customFormat="1" ht="6" hidden="1" customHeight="1">
      <c r="A52" s="74"/>
      <c r="B52" s="61"/>
      <c r="C52" s="62"/>
      <c r="D52" s="75"/>
      <c r="E52" s="70"/>
      <c r="F52" s="76"/>
      <c r="G52" s="77"/>
      <c r="H52" s="46"/>
      <c r="I52" s="48"/>
      <c r="J52" s="66"/>
    </row>
    <row r="53" spans="1:16" s="46" customFormat="1" ht="22.5" hidden="1" customHeight="1">
      <c r="A53" s="106"/>
      <c r="B53" s="44"/>
      <c r="C53" s="45"/>
      <c r="D53" s="48"/>
      <c r="E53" s="72" t="s">
        <v>59</v>
      </c>
      <c r="F53" s="109" t="s">
        <v>53</v>
      </c>
      <c r="G53" s="47"/>
      <c r="I53" s="107"/>
      <c r="J53" s="49"/>
      <c r="P53" s="108"/>
    </row>
    <row r="54" spans="1:16" s="46" customFormat="1" ht="22.5" hidden="1" customHeight="1">
      <c r="A54" s="106"/>
      <c r="B54" s="44"/>
      <c r="C54" s="45"/>
      <c r="D54" s="48"/>
      <c r="E54" s="72" t="s">
        <v>60</v>
      </c>
      <c r="F54" s="110"/>
      <c r="G54" s="47"/>
      <c r="I54" s="107"/>
      <c r="J54" s="49"/>
      <c r="P54" s="108"/>
    </row>
    <row r="55" spans="1:16" s="64" customFormat="1" ht="6" hidden="1" customHeight="1">
      <c r="A55" s="74"/>
      <c r="B55" s="61"/>
      <c r="C55" s="62"/>
      <c r="D55" s="75"/>
      <c r="E55" s="70"/>
      <c r="F55" s="76"/>
      <c r="G55" s="77"/>
      <c r="H55" s="46"/>
      <c r="I55" s="48"/>
      <c r="J55" s="66"/>
    </row>
    <row r="56" spans="1:16" s="46" customFormat="1" ht="22.5" hidden="1" customHeight="1">
      <c r="A56" s="106"/>
      <c r="B56" s="44"/>
      <c r="C56" s="45"/>
      <c r="D56" s="48"/>
      <c r="E56" s="72" t="s">
        <v>61</v>
      </c>
      <c r="F56" s="109" t="s">
        <v>53</v>
      </c>
      <c r="G56" s="47"/>
      <c r="I56" s="107"/>
      <c r="J56" s="49"/>
      <c r="P56" s="108"/>
    </row>
    <row r="57" spans="1:16" s="64" customFormat="1" ht="6" hidden="1" customHeight="1">
      <c r="A57" s="74"/>
      <c r="B57" s="61"/>
      <c r="C57" s="62"/>
      <c r="D57" s="75"/>
      <c r="E57" s="70"/>
      <c r="F57" s="76"/>
      <c r="G57" s="77"/>
      <c r="H57" s="46"/>
      <c r="I57" s="48"/>
      <c r="J57" s="66"/>
    </row>
    <row r="58" spans="1:16" s="46" customFormat="1" ht="15" hidden="1" customHeight="1">
      <c r="A58" s="106"/>
      <c r="B58" s="44"/>
      <c r="C58" s="45"/>
      <c r="D58" s="48"/>
      <c r="E58" s="72" t="s">
        <v>62</v>
      </c>
      <c r="F58" s="109" t="s">
        <v>63</v>
      </c>
      <c r="G58" s="47"/>
      <c r="I58" s="107"/>
      <c r="J58" s="49"/>
      <c r="P58" s="108"/>
    </row>
    <row r="59" spans="1:16" s="46" customFormat="1" ht="15" hidden="1" customHeight="1">
      <c r="A59" s="106"/>
      <c r="B59" s="44"/>
      <c r="C59" s="45"/>
      <c r="D59" s="48"/>
      <c r="E59" s="7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
      <c r="G59" s="47"/>
      <c r="I59" s="107"/>
      <c r="J59" s="49"/>
      <c r="P59" s="108"/>
    </row>
    <row r="60" spans="1:16" s="46" customFormat="1" ht="15" hidden="1" customHeight="1">
      <c r="A60" s="106"/>
      <c r="B60" s="44"/>
      <c r="C60" s="45"/>
      <c r="D60" s="48"/>
      <c r="E60" s="72" t="s">
        <v>64</v>
      </c>
      <c r="F60" s="79"/>
      <c r="G60" s="47"/>
      <c r="I60" s="107"/>
      <c r="J60" s="49"/>
      <c r="P60" s="108"/>
    </row>
    <row r="61" spans="1:16" s="64" customFormat="1" ht="6" hidden="1" customHeight="1">
      <c r="A61" s="74"/>
      <c r="B61" s="61"/>
      <c r="C61" s="62"/>
      <c r="D61" s="63"/>
      <c r="E61" s="102"/>
      <c r="F61" s="103"/>
      <c r="G61" s="83"/>
      <c r="H61" s="46"/>
      <c r="I61" s="48"/>
      <c r="J61" s="49"/>
    </row>
    <row r="62" spans="1:16" s="46" customFormat="1" ht="33.75" hidden="1" customHeight="1">
      <c r="A62" s="74"/>
      <c r="B62" s="44"/>
      <c r="C62" s="45"/>
      <c r="D62" s="67"/>
      <c r="E62" s="72" t="s">
        <v>65</v>
      </c>
      <c r="F62" s="104" t="s">
        <v>63</v>
      </c>
      <c r="G62" s="83"/>
      <c r="H62" s="82" t="s">
        <v>18</v>
      </c>
      <c r="I62" s="48"/>
      <c r="J62" s="49"/>
    </row>
    <row r="63" spans="1:16" s="64" customFormat="1" ht="6" customHeight="1">
      <c r="A63" s="74"/>
      <c r="B63" s="61"/>
      <c r="C63" s="62"/>
      <c r="D63" s="75"/>
      <c r="E63" s="70"/>
      <c r="F63" s="76"/>
      <c r="G63" s="77"/>
      <c r="H63" s="46"/>
      <c r="I63" s="48"/>
      <c r="J63" s="66"/>
    </row>
    <row r="64" spans="1:16" ht="19.5" customHeight="1">
      <c r="B64" s="111"/>
      <c r="D64" s="112"/>
      <c r="E64" s="72" t="s">
        <v>66</v>
      </c>
      <c r="F64" s="87" t="s">
        <v>67</v>
      </c>
      <c r="G64" s="77"/>
    </row>
    <row r="65" spans="2:9" ht="19.5" customHeight="1">
      <c r="B65" s="111"/>
      <c r="D65" s="112"/>
      <c r="E65" s="72" t="s">
        <v>68</v>
      </c>
      <c r="F65" s="87" t="s">
        <v>69</v>
      </c>
      <c r="G65" s="77"/>
    </row>
    <row r="66" spans="2:9" ht="35.25" customHeight="1">
      <c r="D66" s="67"/>
      <c r="E66" s="113" t="s">
        <v>70</v>
      </c>
      <c r="F66" s="114"/>
      <c r="G66" s="83"/>
    </row>
    <row r="67" spans="2:9" ht="19.5" customHeight="1">
      <c r="D67" s="67"/>
      <c r="E67" s="72" t="s">
        <v>71</v>
      </c>
      <c r="F67" s="87" t="s">
        <v>72</v>
      </c>
      <c r="G67" s="77"/>
    </row>
    <row r="68" spans="2:9" ht="19.5" customHeight="1">
      <c r="B68" s="111"/>
      <c r="D68" s="112"/>
      <c r="E68" s="72" t="s">
        <v>73</v>
      </c>
      <c r="F68" s="87" t="s">
        <v>74</v>
      </c>
      <c r="G68" s="77"/>
    </row>
    <row r="69" spans="2:9" ht="19.5" customHeight="1">
      <c r="B69" s="111"/>
      <c r="D69" s="112"/>
      <c r="E69" s="72" t="s">
        <v>75</v>
      </c>
      <c r="F69" s="87" t="s">
        <v>76</v>
      </c>
      <c r="G69" s="77"/>
    </row>
    <row r="70" spans="2:9" ht="19.5" customHeight="1">
      <c r="D70" s="67"/>
      <c r="E70" s="72" t="s">
        <v>77</v>
      </c>
      <c r="F70" s="87" t="s">
        <v>78</v>
      </c>
      <c r="G70" s="83"/>
    </row>
    <row r="71" spans="2:9" ht="20.25" customHeight="1">
      <c r="D71" s="83"/>
      <c r="F71" s="115"/>
      <c r="G71" s="77"/>
    </row>
    <row r="72" spans="2:9" ht="19.5" customHeight="1">
      <c r="B72" s="111"/>
      <c r="D72" s="112"/>
      <c r="E72" s="116"/>
      <c r="F72" s="117"/>
      <c r="G72" s="77"/>
    </row>
    <row r="73" spans="2:9" ht="19.5" customHeight="1">
      <c r="B73" s="111"/>
      <c r="D73" s="112"/>
      <c r="E73" s="116"/>
      <c r="F73" s="117"/>
      <c r="G73" s="77"/>
    </row>
    <row r="74" spans="2:9" ht="19.5" customHeight="1">
      <c r="B74" s="111"/>
      <c r="D74" s="112"/>
      <c r="E74" s="118"/>
      <c r="F74" s="117"/>
      <c r="G74" s="77"/>
    </row>
    <row r="75" spans="2:9" ht="19.5" customHeight="1">
      <c r="B75" s="111"/>
      <c r="D75" s="112"/>
      <c r="E75" s="116"/>
      <c r="F75" s="117"/>
      <c r="G75" s="77"/>
    </row>
    <row r="78" spans="2:9" ht="11.25" customHeight="1">
      <c r="E78" s="119"/>
      <c r="F78" s="119"/>
      <c r="G78" s="119"/>
      <c r="H78" s="119"/>
      <c r="I78" s="119"/>
    </row>
  </sheetData>
  <mergeCells count="3">
    <mergeCell ref="E5:F5"/>
    <mergeCell ref="A11:A12"/>
    <mergeCell ref="J18:J19"/>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formula2>0</formula2>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formula2>0</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formula1>0</formula1>
      <formula2>0</formula2>
    </dataValidation>
    <dataValidation type="list" allowBlank="1" showInputMessage="1" showErrorMessage="1" errorTitle="Ошибка" error="Выберите значение из списка" prompt="Выберите значение из списка" sqref="F15">
      <formula1>QUARTER</formula1>
      <formula2>0</formula2>
    </dataValidation>
    <dataValidation type="list" allowBlank="1" showInputMessage="1" showErrorMessage="1" errorTitle="Ошибка" error="Выберите значение из списка" prompt="Выберите значение из списка" sqref="F14">
      <formula1>year_list</formula1>
      <formula2>0</formula2>
    </dataValidation>
    <dataValidation type="list" allowBlank="1" showInputMessage="1" showErrorMessage="1" errorTitle="Ошибка" error="Выберите значение из списка" prompt="Выберите значение из списка" sqref="F36">
      <formula1>kind_of_org_type</formula1>
      <formula2>0</formula2>
    </dataValidation>
    <dataValidation allowBlank="1" showInputMessage="1" showErrorMessage="1" prompt="Для выбора выполните двойной щелчок левой клавиши мыши по соответствующей ячейке." sqref="F39:F41 F43 F45:F47 F49 F51 F53 F56 F58 F62">
      <formula1>0</formula1>
      <formula2>0</formula2>
    </dataValidation>
    <dataValidation type="list" allowBlank="1" showInputMessage="1" showErrorMessage="1" errorTitle="Ошибка" error="Выберите значение из списка" prompt="Выберите значение из списка" sqref="F17">
      <formula1>kind_of_data_type</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1:F13 F18:F19 F21 F26">
      <formula1>0</formula1>
      <formula2>0</formula2>
    </dataValidation>
    <dataValidation type="list" allowBlank="1" showInputMessage="1" showErrorMessage="1" errorTitle="Ошибка" error="Выберите значение из списка" prompt="Выберите значение из списка" sqref="F37:F38 F61">
      <formula1>kind_of_NDS</formula1>
      <formula2>0</formula2>
    </dataValidation>
    <dataValidation type="textLength" operator="lessThanOrEqual" allowBlank="1" showInputMessage="1" showErrorMessage="1" errorTitle="Ошибка" error="Допускается ввод не более 900 символов!" sqref="F22:F24 F27:F29 F32 F64:F65 F67:F70 F72:F75">
      <formula1>900</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ageMargins left="0.75" right="0.75" top="0.875" bottom="0.875" header="0.5" footer="0.5"/>
  <pageSetup paperSize="8" orientation="portrait" horizontalDpi="300" verticalDpi="30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zoomScaleNormal="90" workbookViewId="0">
      <selection activeCell="G13" sqref="G13"/>
    </sheetView>
  </sheetViews>
  <sheetFormatPr defaultColWidth="9.140625" defaultRowHeight="14.25"/>
  <cols>
    <col min="1" max="1" width="8" style="46" hidden="1" customWidth="1"/>
    <col min="2" max="2" width="6" style="49" hidden="1" customWidth="1"/>
    <col min="3" max="3" width="3.7109375" style="46" customWidth="1"/>
    <col min="4" max="4" width="3.7109375" style="120" customWidth="1"/>
    <col min="5" max="5" width="6.28515625" style="46" customWidth="1"/>
    <col min="6" max="6" width="2.7109375" style="46" hidden="1" customWidth="1"/>
    <col min="7" max="7" width="46.7109375" style="46" customWidth="1"/>
    <col min="8" max="8" width="43.140625" style="46" customWidth="1"/>
    <col min="9" max="9" width="14.85546875" style="46" customWidth="1"/>
    <col min="10" max="10" width="3.7109375" style="121" customWidth="1"/>
    <col min="11" max="13" width="9.140625" style="121" hidden="1"/>
    <col min="14" max="14" width="25.7109375" style="121" hidden="1" customWidth="1"/>
    <col min="15" max="15" width="14.42578125" style="121" hidden="1" customWidth="1"/>
    <col min="16" max="19" width="9.140625" style="122" hidden="1"/>
    <col min="20" max="27" width="9.140625" style="46" hidden="1"/>
    <col min="28" max="28" width="9.140625" style="46"/>
  </cols>
  <sheetData>
    <row r="1" spans="1:28" s="53" customFormat="1" ht="5.25" hidden="1" customHeight="1">
      <c r="A1" s="123"/>
      <c r="D1" s="124"/>
      <c r="G1" s="125" t="s">
        <v>79</v>
      </c>
      <c r="H1" s="124" t="s">
        <v>80</v>
      </c>
      <c r="I1" s="126" t="s">
        <v>81</v>
      </c>
      <c r="J1" s="125" t="s">
        <v>79</v>
      </c>
      <c r="K1" s="125"/>
      <c r="L1" s="125"/>
      <c r="M1" s="125"/>
      <c r="N1" s="125"/>
      <c r="O1" s="125"/>
      <c r="P1" s="125"/>
      <c r="Q1" s="125"/>
      <c r="R1" s="125"/>
      <c r="S1" s="125"/>
      <c r="T1" s="126"/>
      <c r="U1" s="126"/>
      <c r="V1" s="126"/>
      <c r="W1" s="126"/>
      <c r="X1" s="126"/>
      <c r="Y1" s="126"/>
      <c r="Z1" s="126"/>
      <c r="AA1" s="126"/>
      <c r="AB1" s="126"/>
    </row>
    <row r="2" spans="1:28" s="130" customFormat="1" ht="11.25" customHeight="1">
      <c r="A2" s="114"/>
      <c r="B2" s="127"/>
      <c r="C2" s="127"/>
      <c r="D2" s="128"/>
      <c r="E2" s="127"/>
      <c r="F2" s="127"/>
      <c r="G2" s="127"/>
      <c r="H2" s="127"/>
      <c r="I2" s="127"/>
      <c r="J2" s="125"/>
      <c r="K2" s="125"/>
      <c r="L2" s="125"/>
      <c r="M2" s="125"/>
      <c r="N2" s="125"/>
      <c r="O2" s="125"/>
      <c r="P2" s="129"/>
      <c r="Q2" s="129"/>
      <c r="R2" s="129"/>
      <c r="S2" s="129"/>
      <c r="T2" s="128"/>
      <c r="U2" s="128"/>
      <c r="V2" s="128"/>
      <c r="W2" s="128"/>
      <c r="X2" s="128"/>
      <c r="Y2" s="128"/>
      <c r="Z2" s="128"/>
      <c r="AA2" s="128"/>
      <c r="AB2" s="128"/>
    </row>
    <row r="3" spans="1:28" s="132" customFormat="1" ht="3" customHeight="1">
      <c r="A3" s="46"/>
      <c r="B3" s="49"/>
      <c r="C3" s="46"/>
      <c r="D3" s="120"/>
      <c r="E3" s="46"/>
      <c r="F3" s="46"/>
      <c r="G3" s="46"/>
      <c r="H3" s="46"/>
      <c r="I3" s="131"/>
      <c r="J3" s="125"/>
      <c r="K3" s="121"/>
      <c r="L3" s="121"/>
      <c r="M3" s="121"/>
      <c r="N3" s="121"/>
      <c r="O3" s="121"/>
      <c r="P3" s="122"/>
      <c r="Q3" s="122"/>
      <c r="R3" s="122"/>
      <c r="S3" s="122"/>
    </row>
    <row r="4" spans="1:28" s="132" customFormat="1" ht="25.5" customHeight="1">
      <c r="A4" s="46"/>
      <c r="B4" s="49"/>
      <c r="C4" s="46"/>
      <c r="D4" s="120"/>
      <c r="E4" s="1" t="str">
        <f>NameTemplatesInListMO</f>
        <v>Перечень муниципальных районов и муниципальных образований (территорий действия тарифа)</v>
      </c>
      <c r="F4" s="1"/>
      <c r="G4" s="1"/>
      <c r="H4" s="1"/>
      <c r="I4" s="1"/>
      <c r="J4" s="125"/>
      <c r="K4" s="121"/>
      <c r="L4" s="121"/>
      <c r="M4" s="121"/>
      <c r="N4" s="121"/>
      <c r="O4" s="121"/>
      <c r="P4" s="122"/>
      <c r="Q4" s="122"/>
      <c r="R4" s="122"/>
      <c r="S4" s="122"/>
    </row>
    <row r="5" spans="1:28" s="132" customFormat="1" ht="3" customHeight="1">
      <c r="A5" s="46"/>
      <c r="B5" s="49"/>
      <c r="C5" s="46"/>
      <c r="D5" s="120"/>
      <c r="E5" s="46"/>
      <c r="F5" s="46"/>
      <c r="G5" s="133"/>
      <c r="H5" s="133"/>
      <c r="I5" s="114"/>
      <c r="J5" s="121"/>
      <c r="K5" s="121"/>
      <c r="L5" s="121"/>
      <c r="M5" s="121"/>
      <c r="N5" s="121"/>
      <c r="O5" s="121"/>
      <c r="P5" s="122"/>
      <c r="Q5" s="122"/>
      <c r="R5" s="122"/>
      <c r="S5" s="122"/>
    </row>
    <row r="6" spans="1:28" s="132" customFormat="1" ht="20.25" hidden="1" customHeight="1">
      <c r="A6" s="134"/>
      <c r="B6" s="60"/>
      <c r="C6" s="134"/>
      <c r="D6" s="120"/>
      <c r="E6" s="117"/>
      <c r="F6" s="117"/>
      <c r="G6" s="133"/>
      <c r="H6" s="135"/>
      <c r="I6" s="135"/>
      <c r="J6" s="121"/>
      <c r="K6" s="121"/>
      <c r="L6" s="121"/>
      <c r="M6" s="121"/>
      <c r="N6" s="121"/>
      <c r="O6" s="121"/>
      <c r="P6" s="122"/>
      <c r="Q6" s="122"/>
      <c r="R6" s="122"/>
      <c r="S6" s="122"/>
    </row>
    <row r="7" spans="1:28" ht="25.5" hidden="1" customHeight="1"/>
    <row r="8" spans="1:28" s="132" customFormat="1" ht="14.25" customHeight="1">
      <c r="A8" s="46"/>
      <c r="B8" s="49"/>
      <c r="C8" s="46"/>
      <c r="D8" s="120"/>
      <c r="E8" s="1087" t="s">
        <v>82</v>
      </c>
      <c r="F8" s="1087"/>
      <c r="G8" s="1087"/>
      <c r="H8" s="1088" t="s">
        <v>83</v>
      </c>
      <c r="I8" s="1088"/>
      <c r="J8" s="121"/>
      <c r="K8" s="121"/>
      <c r="L8" s="121"/>
      <c r="M8" s="121"/>
      <c r="N8" s="121"/>
      <c r="O8" s="121"/>
      <c r="P8" s="122"/>
      <c r="Q8" s="122"/>
      <c r="R8" s="122"/>
      <c r="S8" s="122"/>
    </row>
    <row r="9" spans="1:28" s="132" customFormat="1" ht="20.25" customHeight="1">
      <c r="A9" s="46"/>
      <c r="B9" s="49"/>
      <c r="C9" s="46"/>
      <c r="D9" s="120"/>
      <c r="E9" s="138" t="s">
        <v>84</v>
      </c>
      <c r="F9" s="138"/>
      <c r="G9" s="139" t="s">
        <v>85</v>
      </c>
      <c r="H9" s="139" t="s">
        <v>85</v>
      </c>
      <c r="I9" s="139" t="s">
        <v>81</v>
      </c>
      <c r="J9" s="121"/>
      <c r="K9" s="121"/>
      <c r="L9" s="121"/>
      <c r="M9" s="121"/>
      <c r="N9" s="121"/>
      <c r="O9" s="121"/>
      <c r="P9" s="122"/>
      <c r="Q9" s="122"/>
      <c r="R9" s="122"/>
      <c r="S9" s="122"/>
    </row>
    <row r="10" spans="1:28" ht="11.25" customHeight="1">
      <c r="D10" s="140"/>
      <c r="E10" s="141" t="s">
        <v>86</v>
      </c>
      <c r="F10" s="141"/>
      <c r="G10" s="141" t="s">
        <v>87</v>
      </c>
      <c r="H10" s="141" t="s">
        <v>88</v>
      </c>
      <c r="I10" s="141" t="s">
        <v>89</v>
      </c>
      <c r="J10" s="142"/>
      <c r="K10" s="142"/>
      <c r="L10" s="142"/>
      <c r="M10" s="142"/>
      <c r="N10" s="142"/>
      <c r="O10" s="142"/>
      <c r="P10" s="143"/>
      <c r="Q10" s="143"/>
      <c r="R10" s="143"/>
      <c r="S10" s="143"/>
    </row>
    <row r="11" spans="1:28" s="132" customFormat="1" ht="0.75" customHeight="1">
      <c r="A11" s="46"/>
      <c r="B11" s="49"/>
      <c r="C11" s="46"/>
      <c r="D11" s="120"/>
      <c r="E11" s="144"/>
      <c r="F11" s="144"/>
      <c r="G11" s="145"/>
      <c r="H11" s="145"/>
      <c r="I11" s="146"/>
      <c r="J11" s="147" t="s">
        <v>90</v>
      </c>
      <c r="K11" s="121"/>
      <c r="L11" s="121"/>
      <c r="M11" s="121" t="s">
        <v>91</v>
      </c>
      <c r="N11" s="121" t="s">
        <v>92</v>
      </c>
      <c r="O11" s="121" t="s">
        <v>93</v>
      </c>
      <c r="P11" s="122"/>
      <c r="Q11" s="122"/>
      <c r="R11" s="122"/>
      <c r="S11" s="122"/>
    </row>
    <row r="12" spans="1:28" s="132" customFormat="1" ht="14.25" customHeight="1">
      <c r="A12" s="1089">
        <v>1</v>
      </c>
      <c r="B12" s="49"/>
      <c r="C12" s="46"/>
      <c r="D12" s="120"/>
      <c r="E12" s="148">
        <f>A12</f>
        <v>1</v>
      </c>
      <c r="F12" s="149" t="s">
        <v>94</v>
      </c>
      <c r="G12" s="150" t="str">
        <f>"Территория "&amp;E12</f>
        <v>Территория 1</v>
      </c>
      <c r="H12" s="151"/>
      <c r="I12" s="151"/>
      <c r="J12" s="121"/>
      <c r="K12" s="121"/>
      <c r="L12" s="121"/>
      <c r="M12" s="121"/>
      <c r="N12" s="121"/>
      <c r="O12" s="121"/>
      <c r="P12" s="122"/>
      <c r="Q12" s="122"/>
      <c r="R12" s="122"/>
      <c r="S12" s="122"/>
    </row>
    <row r="13" spans="1:28" s="59" customFormat="1" ht="15" customHeight="1">
      <c r="A13" s="1089"/>
      <c r="B13" s="49">
        <v>1</v>
      </c>
      <c r="C13" s="49"/>
      <c r="D13" s="152"/>
      <c r="E13" s="153" t="str">
        <f>A12&amp;"."&amp;B13</f>
        <v>1.1</v>
      </c>
      <c r="F13" s="154" t="s">
        <v>95</v>
      </c>
      <c r="G13" s="155" t="s">
        <v>96</v>
      </c>
      <c r="H13" s="155" t="s">
        <v>96</v>
      </c>
      <c r="I13" s="156" t="s">
        <v>97</v>
      </c>
      <c r="J13" s="121" t="e">
        <f ca="1">mergevalue(G13)</f>
        <v>#NAME?</v>
      </c>
      <c r="K13" s="53"/>
      <c r="L13" s="53"/>
      <c r="M13" s="121" t="str">
        <f t="array" ref="M13">IF(ISERROR(MATCH(MID(N13,1,250),MID(note_ter,1,250),0)),"n","y")</f>
        <v>n</v>
      </c>
      <c r="N13" s="53"/>
      <c r="O13" s="121" t="str">
        <f>H13&amp;"("&amp;I13&amp;")"</f>
        <v>Серовский городской округ(65756000)</v>
      </c>
      <c r="P13" s="49"/>
      <c r="Q13" s="49"/>
      <c r="R13" s="157"/>
      <c r="S13" s="49"/>
      <c r="T13" s="49"/>
      <c r="U13" s="49"/>
      <c r="V13" s="60"/>
      <c r="W13" s="60"/>
      <c r="X13" s="158"/>
      <c r="Y13" s="158"/>
      <c r="Z13" s="158"/>
      <c r="AA13" s="158"/>
      <c r="AB13" s="158"/>
    </row>
    <row r="14" spans="1:28" s="59" customFormat="1" ht="15" customHeight="1">
      <c r="A14" s="1089"/>
      <c r="B14" s="49"/>
      <c r="C14" s="159"/>
      <c r="D14" s="160"/>
      <c r="E14" s="161"/>
      <c r="F14" s="162"/>
      <c r="G14" s="163" t="s">
        <v>98</v>
      </c>
      <c r="H14" s="164"/>
      <c r="I14" s="165"/>
      <c r="J14" s="53"/>
      <c r="K14" s="53"/>
      <c r="L14" s="53"/>
      <c r="M14" s="53"/>
      <c r="N14" s="121"/>
      <c r="O14" s="53"/>
      <c r="P14" s="49"/>
      <c r="Q14" s="49"/>
      <c r="R14" s="157"/>
      <c r="S14" s="49"/>
      <c r="T14" s="49"/>
      <c r="U14" s="49"/>
      <c r="V14" s="60"/>
      <c r="W14" s="60"/>
      <c r="X14" s="158"/>
      <c r="Y14" s="158"/>
      <c r="Z14" s="158"/>
      <c r="AA14" s="158"/>
      <c r="AB14" s="158"/>
    </row>
    <row r="15" spans="1:28" s="132" customFormat="1" ht="14.25" customHeight="1">
      <c r="A15" s="46"/>
      <c r="B15" s="49"/>
      <c r="C15" s="46"/>
      <c r="D15" s="120"/>
      <c r="E15" s="166"/>
      <c r="F15" s="167"/>
      <c r="G15" s="168" t="s">
        <v>99</v>
      </c>
      <c r="H15" s="167"/>
      <c r="I15" s="169"/>
      <c r="J15" s="147"/>
      <c r="K15" s="121"/>
      <c r="L15" s="121"/>
      <c r="M15" s="121"/>
      <c r="N15" s="121" t="s">
        <v>100</v>
      </c>
      <c r="O15" s="121"/>
      <c r="P15" s="122"/>
      <c r="Q15" s="122"/>
      <c r="R15" s="122"/>
      <c r="S15" s="122"/>
    </row>
    <row r="16" spans="1:28" s="132" customFormat="1" ht="21" customHeight="1">
      <c r="A16" s="46"/>
      <c r="B16" s="49"/>
      <c r="C16" s="46"/>
      <c r="D16" s="120"/>
      <c r="E16" s="170"/>
      <c r="F16" s="170"/>
      <c r="G16" s="170"/>
      <c r="H16" s="170"/>
      <c r="I16" s="170"/>
      <c r="J16" s="121"/>
      <c r="K16" s="121"/>
      <c r="L16" s="121"/>
      <c r="M16" s="121"/>
      <c r="N16" s="121"/>
      <c r="O16" s="121"/>
      <c r="P16" s="122"/>
      <c r="Q16" s="122"/>
      <c r="R16" s="122"/>
      <c r="S16" s="122"/>
    </row>
    <row r="17" spans="1:19" s="132" customFormat="1" ht="14.25" customHeight="1">
      <c r="A17" s="46"/>
      <c r="B17" s="49"/>
      <c r="C17" s="46"/>
      <c r="D17" s="120"/>
      <c r="E17" s="46"/>
      <c r="F17" s="46"/>
      <c r="G17" s="46"/>
      <c r="H17" s="46"/>
      <c r="I17" s="46"/>
      <c r="J17" s="121"/>
      <c r="K17" s="121"/>
      <c r="L17" s="121"/>
      <c r="M17" s="121"/>
      <c r="N17" s="121"/>
      <c r="O17" s="121"/>
      <c r="P17" s="122"/>
      <c r="Q17" s="122"/>
      <c r="R17" s="122"/>
      <c r="S17" s="122"/>
    </row>
    <row r="18" spans="1:19" s="132" customFormat="1" ht="0.75" customHeight="1">
      <c r="A18" s="46"/>
      <c r="B18" s="49"/>
      <c r="C18" s="46"/>
      <c r="D18" s="120"/>
      <c r="E18" s="46"/>
      <c r="F18" s="46"/>
      <c r="G18" s="46"/>
      <c r="H18" s="46"/>
      <c r="I18" s="46"/>
      <c r="J18" s="121"/>
      <c r="K18" s="121"/>
      <c r="L18" s="121"/>
      <c r="M18" s="121"/>
      <c r="N18" s="121"/>
      <c r="O18" s="121"/>
      <c r="P18" s="122"/>
      <c r="Q18" s="122"/>
      <c r="R18" s="122"/>
      <c r="S18" s="122"/>
    </row>
    <row r="19" spans="1:19" s="171" customFormat="1" ht="10.5" customHeight="1">
      <c r="B19" s="172"/>
      <c r="D19" s="173"/>
      <c r="J19" s="121"/>
      <c r="K19" s="121"/>
      <c r="L19" s="121"/>
      <c r="M19" s="121"/>
      <c r="N19" s="121"/>
      <c r="O19" s="121"/>
      <c r="P19" s="122"/>
      <c r="Q19" s="122"/>
      <c r="R19" s="122"/>
      <c r="S19" s="122"/>
    </row>
    <row r="20" spans="1:19" s="171" customFormat="1" ht="10.5" customHeight="1">
      <c r="B20" s="172"/>
      <c r="D20" s="173"/>
      <c r="J20" s="121"/>
      <c r="K20" s="121"/>
      <c r="L20" s="121"/>
      <c r="M20" s="121"/>
      <c r="N20" s="121"/>
      <c r="O20" s="121"/>
      <c r="P20" s="122"/>
      <c r="Q20" s="122"/>
      <c r="R20" s="122"/>
      <c r="S20" s="122"/>
    </row>
    <row r="24" spans="1:19" ht="14.25" customHeight="1">
      <c r="H24" s="59"/>
    </row>
    <row r="28" spans="1:19" ht="14.25" customHeight="1">
      <c r="J28" s="46"/>
      <c r="K28" s="46"/>
      <c r="L28" s="46"/>
    </row>
  </sheetData>
  <mergeCells count="4">
    <mergeCell ref="E4:I4"/>
    <mergeCell ref="E8:G8"/>
    <mergeCell ref="H8:I8"/>
    <mergeCell ref="A12:A14"/>
  </mergeCells>
  <dataValidations count="1">
    <dataValidation type="textLength" operator="lessThanOrEqual" allowBlank="1" showInputMessage="1" showErrorMessage="1" errorTitle="Ошибка" error="Допускается ввод не более 900 символов!" sqref="G12">
      <formula1>900</formula1>
      <formula2>0</formula2>
    </dataValidation>
  </dataValidations>
  <printOptions horizontalCentered="1" verticalCentered="1"/>
  <pageMargins left="0" right="0" top="0" bottom="0" header="0" footer="0.79027777777777797"/>
  <pageSetup paperSize="9"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zoomScaleNormal="90" workbookViewId="0"/>
  </sheetViews>
  <sheetFormatPr defaultColWidth="9.140625" defaultRowHeight="11.25"/>
  <cols>
    <col min="1" max="1" width="6.42578125" style="174" hidden="1" customWidth="1"/>
    <col min="2" max="2" width="2" style="174" hidden="1" customWidth="1"/>
    <col min="3" max="3" width="3.7109375" style="174" customWidth="1"/>
    <col min="4" max="4" width="4.28515625" style="174" customWidth="1"/>
    <col min="5" max="5" width="45" style="174" customWidth="1"/>
    <col min="6" max="6" width="6.42578125" style="174" customWidth="1"/>
    <col min="7" max="7" width="4.42578125" style="174" customWidth="1"/>
    <col min="8" max="8" width="5.5703125" style="174" customWidth="1"/>
    <col min="9" max="9" width="52.85546875" style="174" customWidth="1"/>
    <col min="10" max="10" width="7" style="174" customWidth="1"/>
    <col min="11" max="11" width="3.7109375" style="174" customWidth="1"/>
    <col min="12" max="12" width="6.28515625" style="174" customWidth="1"/>
    <col min="13" max="13" width="56.28515625" style="174" customWidth="1"/>
    <col min="14" max="14" width="9.140625" style="142"/>
    <col min="15" max="20" width="9.140625" style="121" hidden="1"/>
    <col min="21" max="24" width="9.140625" style="100" hidden="1"/>
    <col min="25" max="37" width="9.140625" style="142" hidden="1"/>
    <col min="38" max="38" width="9.140625" style="142"/>
  </cols>
  <sheetData>
    <row r="1" spans="1:38" ht="11.25" hidden="1" customHeight="1"/>
    <row r="2" spans="1:38" ht="11.25" hidden="1" customHeight="1"/>
    <row r="4" spans="1:38" ht="34.5" customHeight="1">
      <c r="A4" s="100"/>
      <c r="B4" s="100"/>
      <c r="D4" s="1090" t="str">
        <f>Титульный!E5</f>
        <v>Показатели, подлежащие раскрытию в сфере водоотведения (цены и тарифы)</v>
      </c>
      <c r="E4" s="1090"/>
      <c r="F4" s="1090"/>
      <c r="G4" s="1090"/>
      <c r="H4" s="1090"/>
      <c r="I4" s="1090"/>
      <c r="J4" s="142"/>
      <c r="K4" s="142"/>
      <c r="L4" s="142"/>
      <c r="M4" s="142"/>
    </row>
    <row r="5" spans="1:38" s="178" customFormat="1" ht="15" customHeight="1">
      <c r="A5" s="100"/>
      <c r="B5" s="100"/>
      <c r="C5" s="100"/>
      <c r="D5" s="1091" t="str">
        <f>IF(org=0,"Не определено",org)</f>
        <v>Филиал ПАО "ОГК-2" - Серовская ГРЭС, г. Серов</v>
      </c>
      <c r="E5" s="1091"/>
      <c r="F5" s="1091"/>
      <c r="G5" s="1091"/>
      <c r="H5" s="1091"/>
      <c r="I5" s="1091"/>
      <c r="J5" s="175"/>
      <c r="K5" s="175"/>
      <c r="L5" s="175"/>
      <c r="M5" s="175"/>
      <c r="N5" s="175"/>
      <c r="O5" s="176"/>
      <c r="P5" s="176"/>
      <c r="Q5" s="176"/>
      <c r="R5" s="176"/>
      <c r="S5" s="176"/>
      <c r="T5" s="176"/>
      <c r="U5" s="177"/>
      <c r="V5" s="177"/>
      <c r="W5" s="177"/>
      <c r="X5" s="177"/>
      <c r="Y5" s="175"/>
      <c r="Z5" s="175"/>
      <c r="AA5" s="175"/>
      <c r="AB5" s="175"/>
      <c r="AC5" s="175"/>
      <c r="AD5" s="175"/>
      <c r="AE5" s="175"/>
      <c r="AF5" s="175"/>
      <c r="AG5" s="175"/>
      <c r="AH5" s="175"/>
      <c r="AI5" s="175"/>
      <c r="AJ5" s="175"/>
      <c r="AK5" s="175"/>
      <c r="AL5" s="175"/>
    </row>
    <row r="6" spans="1:38" s="178" customFormat="1" ht="6" customHeight="1">
      <c r="A6" s="1089"/>
      <c r="B6" s="1089"/>
      <c r="C6" s="1089"/>
      <c r="D6" s="1089"/>
      <c r="E6" s="1089"/>
      <c r="F6" s="1089"/>
      <c r="G6" s="46"/>
      <c r="H6" s="46"/>
      <c r="I6" s="46"/>
      <c r="J6" s="46"/>
      <c r="K6" s="46"/>
      <c r="N6" s="175"/>
      <c r="O6" s="176"/>
      <c r="P6" s="176"/>
      <c r="Q6" s="176"/>
      <c r="R6" s="176"/>
      <c r="S6" s="176"/>
      <c r="T6" s="176"/>
      <c r="U6" s="177"/>
      <c r="V6" s="177"/>
      <c r="W6" s="177"/>
      <c r="X6" s="177"/>
      <c r="Y6" s="175"/>
      <c r="Z6" s="175"/>
      <c r="AA6" s="175"/>
      <c r="AB6" s="175"/>
      <c r="AC6" s="175"/>
      <c r="AD6" s="175"/>
      <c r="AE6" s="175"/>
      <c r="AF6" s="175"/>
      <c r="AG6" s="175"/>
      <c r="AH6" s="175"/>
      <c r="AI6" s="175"/>
      <c r="AJ6" s="175"/>
      <c r="AK6" s="175"/>
      <c r="AL6" s="175"/>
    </row>
    <row r="7" spans="1:38" ht="45.75" hidden="1" customHeight="1">
      <c r="E7" s="10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092"/>
      <c r="G7" s="1092"/>
      <c r="H7" s="1092"/>
      <c r="I7" s="1092"/>
      <c r="J7" s="1092"/>
      <c r="K7" s="1092"/>
      <c r="L7" s="1092"/>
      <c r="M7" s="1092"/>
    </row>
    <row r="8" spans="1:38" s="178" customFormat="1" ht="6" customHeight="1">
      <c r="A8" s="179"/>
      <c r="B8" s="179"/>
      <c r="C8" s="179"/>
      <c r="D8" s="179"/>
      <c r="E8" s="179"/>
      <c r="F8" s="179"/>
      <c r="G8" s="179"/>
      <c r="H8" s="179"/>
      <c r="I8" s="179"/>
      <c r="J8" s="179"/>
      <c r="K8" s="179"/>
      <c r="L8" s="179"/>
      <c r="N8" s="175"/>
      <c r="O8" s="176"/>
      <c r="P8" s="176"/>
      <c r="Q8" s="176"/>
      <c r="R8" s="176"/>
      <c r="S8" s="176"/>
      <c r="T8" s="176"/>
      <c r="U8" s="177"/>
      <c r="V8" s="177"/>
      <c r="W8" s="177"/>
      <c r="X8" s="177"/>
      <c r="Y8" s="175"/>
      <c r="Z8" s="175"/>
      <c r="AA8" s="175"/>
      <c r="AB8" s="175"/>
      <c r="AC8" s="175"/>
      <c r="AD8" s="175"/>
      <c r="AE8" s="175"/>
      <c r="AF8" s="175"/>
      <c r="AG8" s="175"/>
      <c r="AH8" s="175"/>
      <c r="AI8" s="175"/>
      <c r="AJ8" s="175"/>
      <c r="AK8" s="175"/>
      <c r="AL8" s="175"/>
    </row>
    <row r="9" spans="1:38" ht="18" customHeight="1">
      <c r="A9" s="1093"/>
      <c r="B9" s="46"/>
      <c r="C9" s="46"/>
      <c r="D9" s="1087" t="s">
        <v>101</v>
      </c>
      <c r="E9" s="1087"/>
      <c r="F9" s="1094" t="s">
        <v>102</v>
      </c>
      <c r="G9" s="1094"/>
      <c r="H9" s="1094"/>
      <c r="I9" s="1094"/>
      <c r="J9" s="1095" t="s">
        <v>103</v>
      </c>
      <c r="K9" s="1095"/>
      <c r="L9" s="1095"/>
      <c r="M9" s="1095"/>
    </row>
    <row r="10" spans="1:38" ht="22.5" customHeight="1">
      <c r="A10" s="1093"/>
      <c r="B10" s="47"/>
      <c r="C10" s="180"/>
      <c r="D10" s="148" t="s">
        <v>84</v>
      </c>
      <c r="E10" s="148" t="s">
        <v>85</v>
      </c>
      <c r="F10" s="148" t="s">
        <v>104</v>
      </c>
      <c r="G10" s="1096" t="s">
        <v>84</v>
      </c>
      <c r="H10" s="1096"/>
      <c r="I10" s="148" t="s">
        <v>85</v>
      </c>
      <c r="J10" s="148" t="s">
        <v>104</v>
      </c>
      <c r="K10" s="1096" t="s">
        <v>84</v>
      </c>
      <c r="L10" s="1096"/>
      <c r="M10" s="148" t="s">
        <v>85</v>
      </c>
      <c r="N10" s="181"/>
    </row>
    <row r="11" spans="1:38" s="174" customFormat="1" ht="11.25" hidden="1" customHeight="1">
      <c r="A11" s="182"/>
      <c r="B11" s="182"/>
      <c r="C11" s="182"/>
      <c r="D11" s="183" t="s">
        <v>105</v>
      </c>
      <c r="E11" s="183" t="s">
        <v>106</v>
      </c>
      <c r="F11" s="183" t="s">
        <v>86</v>
      </c>
      <c r="G11" s="1097" t="s">
        <v>87</v>
      </c>
      <c r="H11" s="1097"/>
      <c r="I11" s="183" t="s">
        <v>107</v>
      </c>
      <c r="J11" s="183" t="s">
        <v>88</v>
      </c>
      <c r="K11" s="1098" t="s">
        <v>89</v>
      </c>
      <c r="L11" s="1098"/>
      <c r="M11" s="183" t="s">
        <v>108</v>
      </c>
      <c r="N11" s="181"/>
      <c r="O11" s="121"/>
      <c r="P11" s="121"/>
      <c r="Q11" s="121"/>
      <c r="R11" s="121"/>
      <c r="S11" s="121"/>
      <c r="T11" s="121"/>
      <c r="U11" s="100"/>
      <c r="V11" s="100"/>
      <c r="W11" s="100"/>
      <c r="X11" s="100"/>
      <c r="Y11" s="142"/>
      <c r="Z11" s="142"/>
      <c r="AA11" s="142"/>
      <c r="AB11" s="142"/>
      <c r="AC11" s="142"/>
      <c r="AD11" s="142"/>
      <c r="AE11" s="142"/>
      <c r="AF11" s="142"/>
      <c r="AG11" s="142"/>
      <c r="AH11" s="142"/>
      <c r="AI11" s="142"/>
      <c r="AJ11" s="142"/>
      <c r="AK11" s="142"/>
      <c r="AL11" s="142"/>
    </row>
    <row r="12" spans="1:38" ht="0.75" customHeight="1">
      <c r="A12" s="184"/>
      <c r="B12" s="47"/>
      <c r="C12" s="47"/>
      <c r="D12" s="185"/>
      <c r="E12" s="186"/>
      <c r="F12" s="186"/>
      <c r="G12" s="187"/>
      <c r="H12" s="187"/>
      <c r="I12" s="186"/>
      <c r="J12" s="186"/>
      <c r="K12" s="188"/>
      <c r="L12" s="186"/>
      <c r="M12" s="189"/>
      <c r="N12" s="181"/>
      <c r="O12" s="121" t="s">
        <v>109</v>
      </c>
      <c r="P12" s="121" t="s">
        <v>110</v>
      </c>
      <c r="Q12" s="121" t="s">
        <v>111</v>
      </c>
      <c r="R12" s="121" t="s">
        <v>112</v>
      </c>
    </row>
    <row r="13" spans="1:38" s="174" customFormat="1" ht="15" customHeight="1">
      <c r="A13" s="59"/>
      <c r="B13" s="59"/>
      <c r="C13" s="120"/>
      <c r="D13" s="1099" t="s">
        <v>105</v>
      </c>
      <c r="E13" s="1100"/>
      <c r="F13" s="1101" t="s">
        <v>63</v>
      </c>
      <c r="G13" s="1102"/>
      <c r="H13" s="1103">
        <v>1</v>
      </c>
      <c r="I13" s="1104" t="str">
        <f>IF(U13="","",INDEX(TERRITORY_MR_LIST,MATCH(U13,TERRITORY_LIST_ID,0)))</f>
        <v/>
      </c>
      <c r="J13" s="1105" t="s">
        <v>53</v>
      </c>
      <c r="K13" s="192"/>
      <c r="L13" s="190" t="s">
        <v>105</v>
      </c>
      <c r="M13" s="193"/>
      <c r="N13" s="181"/>
      <c r="O13" s="121" t="s">
        <v>113</v>
      </c>
      <c r="P13" s="121">
        <f>$E$13</f>
        <v>0</v>
      </c>
      <c r="Q13" s="121" t="str">
        <f>IF($F$13="нет","без дифференциации",$I$13)</f>
        <v/>
      </c>
      <c r="R13" s="121" t="str">
        <f>IF($J$13="нет","без дифференциации",M13)</f>
        <v>без дифференциации</v>
      </c>
      <c r="S13" s="121"/>
      <c r="T13" s="121"/>
      <c r="U13" s="100"/>
      <c r="V13" s="100"/>
      <c r="W13" s="100"/>
      <c r="X13" s="100"/>
      <c r="Y13" s="142" t="s">
        <v>114</v>
      </c>
      <c r="Z13" s="142">
        <v>1705000</v>
      </c>
      <c r="AA13" s="142"/>
      <c r="AB13" s="142"/>
      <c r="AC13" s="142"/>
      <c r="AD13" s="142"/>
      <c r="AE13" s="142"/>
      <c r="AF13" s="142"/>
      <c r="AG13" s="142"/>
      <c r="AH13" s="142"/>
      <c r="AI13" s="142"/>
      <c r="AJ13" s="142"/>
      <c r="AK13" s="142"/>
      <c r="AL13" s="142"/>
    </row>
    <row r="14" spans="1:38" s="174" customFormat="1" ht="15" customHeight="1">
      <c r="A14" s="59"/>
      <c r="B14" s="59"/>
      <c r="C14" s="140"/>
      <c r="D14" s="1099"/>
      <c r="E14" s="1100"/>
      <c r="F14" s="1101"/>
      <c r="G14" s="1102"/>
      <c r="H14" s="1103"/>
      <c r="I14" s="1104"/>
      <c r="J14" s="1105"/>
      <c r="K14" s="161"/>
      <c r="L14" s="162"/>
      <c r="M14" s="194" t="s">
        <v>115</v>
      </c>
      <c r="N14" s="181"/>
      <c r="O14" s="121"/>
      <c r="P14" s="121"/>
      <c r="Q14" s="121"/>
      <c r="R14" s="121"/>
      <c r="S14" s="121"/>
      <c r="T14" s="121"/>
      <c r="U14" s="100"/>
      <c r="V14" s="100"/>
      <c r="W14" s="100"/>
      <c r="X14" s="100"/>
      <c r="Y14" s="142"/>
      <c r="Z14" s="142"/>
      <c r="AA14" s="142"/>
      <c r="AB14" s="142"/>
      <c r="AC14" s="142"/>
      <c r="AD14" s="142"/>
      <c r="AE14" s="142"/>
      <c r="AF14" s="142"/>
      <c r="AG14" s="142"/>
      <c r="AH14" s="142"/>
      <c r="AI14" s="142"/>
      <c r="AJ14" s="142"/>
      <c r="AK14" s="142"/>
      <c r="AL14" s="142"/>
    </row>
    <row r="15" spans="1:38" s="174" customFormat="1" ht="15" customHeight="1">
      <c r="A15" s="59"/>
      <c r="B15" s="59"/>
      <c r="C15" s="140"/>
      <c r="D15" s="1099"/>
      <c r="E15" s="1100"/>
      <c r="F15" s="1101"/>
      <c r="G15" s="195"/>
      <c r="H15" s="196"/>
      <c r="I15" s="163" t="s">
        <v>116</v>
      </c>
      <c r="J15" s="162"/>
      <c r="K15" s="162"/>
      <c r="L15" s="162"/>
      <c r="M15" s="197"/>
      <c r="N15" s="181"/>
      <c r="O15" s="121"/>
      <c r="P15" s="121"/>
      <c r="Q15" s="121"/>
      <c r="R15" s="121"/>
      <c r="S15" s="121"/>
      <c r="T15" s="121"/>
      <c r="U15" s="100"/>
      <c r="V15" s="100"/>
      <c r="W15" s="100"/>
      <c r="X15" s="100"/>
      <c r="Y15" s="142"/>
      <c r="Z15" s="142"/>
      <c r="AA15" s="142"/>
      <c r="AB15" s="142"/>
      <c r="AC15" s="142"/>
      <c r="AD15" s="142"/>
      <c r="AE15" s="142"/>
      <c r="AF15" s="142"/>
      <c r="AG15" s="142"/>
      <c r="AH15" s="142"/>
      <c r="AI15" s="142"/>
      <c r="AJ15" s="142"/>
      <c r="AK15" s="142"/>
      <c r="AL15" s="142"/>
    </row>
    <row r="16" spans="1:38" ht="15" customHeight="1">
      <c r="A16" s="198"/>
      <c r="B16" s="56"/>
      <c r="C16" s="117"/>
      <c r="D16" s="161"/>
      <c r="E16" s="199" t="s">
        <v>117</v>
      </c>
      <c r="F16" s="162"/>
      <c r="G16" s="162"/>
      <c r="H16" s="162"/>
      <c r="I16" s="162"/>
      <c r="J16" s="162"/>
      <c r="K16" s="162"/>
      <c r="L16" s="162"/>
      <c r="M16" s="197"/>
      <c r="N16" s="181"/>
    </row>
  </sheetData>
  <mergeCells count="19">
    <mergeCell ref="G11:H11"/>
    <mergeCell ref="K11:L11"/>
    <mergeCell ref="D13:D15"/>
    <mergeCell ref="E13:E15"/>
    <mergeCell ref="F13:F15"/>
    <mergeCell ref="G13:G14"/>
    <mergeCell ref="H13:H14"/>
    <mergeCell ref="I13:I14"/>
    <mergeCell ref="J13:J14"/>
    <mergeCell ref="D4:I4"/>
    <mergeCell ref="D5:I5"/>
    <mergeCell ref="A6:F6"/>
    <mergeCell ref="E7:M7"/>
    <mergeCell ref="A9:A10"/>
    <mergeCell ref="D9:E9"/>
    <mergeCell ref="F9:I9"/>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formula2>0</formula2>
    </dataValidation>
  </dataValidations>
  <pageMargins left="0.7" right="0.7" top="0.625" bottom="0.62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20"/>
  <sheetViews>
    <sheetView showGridLines="0" topLeftCell="C4" zoomScale="90" zoomScaleNormal="90" workbookViewId="0">
      <selection activeCell="O106" sqref="O106:O108"/>
    </sheetView>
  </sheetViews>
  <sheetFormatPr defaultColWidth="9.140625" defaultRowHeight="11.25"/>
  <cols>
    <col min="1" max="2" width="3.7109375" style="121" hidden="1" customWidth="1"/>
    <col min="3" max="3" width="3.7109375" style="174" customWidth="1"/>
    <col min="4" max="4" width="6.140625" style="174" customWidth="1"/>
    <col min="5" max="5" width="43.140625" style="174" customWidth="1"/>
    <col min="6" max="6" width="15" style="174" customWidth="1"/>
    <col min="7" max="7" width="43.140625" style="174" customWidth="1"/>
    <col min="8" max="8" width="3.7109375" style="174" customWidth="1"/>
    <col min="9" max="9" width="5.42578125" style="174" customWidth="1"/>
    <col min="10" max="10" width="47.85546875" style="174" customWidth="1"/>
    <col min="11" max="12" width="3.7109375" style="174" customWidth="1"/>
    <col min="13" max="13" width="5.7109375" style="174" customWidth="1"/>
    <col min="14" max="14" width="28.140625" style="174" customWidth="1"/>
    <col min="15" max="16" width="3.7109375" style="174" customWidth="1"/>
    <col min="17" max="17" width="5.7109375" style="174" customWidth="1"/>
    <col min="18" max="18" width="34.42578125" style="174" customWidth="1"/>
    <col min="19" max="20" width="3.7109375" style="174" hidden="1" customWidth="1"/>
    <col min="21" max="21" width="5.7109375" style="174" hidden="1" customWidth="1"/>
    <col min="22" max="22" width="34.42578125" style="174" hidden="1" customWidth="1"/>
    <col min="23" max="23" width="30.7109375" style="174" customWidth="1"/>
    <col min="24" max="24" width="3.7109375" style="174" customWidth="1"/>
    <col min="25" max="28" width="9.85546875" style="100" hidden="1" customWidth="1"/>
    <col min="29" max="29" width="27" style="100" hidden="1" customWidth="1"/>
    <col min="30" max="30" width="10.5703125" style="100" hidden="1" customWidth="1"/>
    <col min="31" max="31" width="10.7109375" style="100" hidden="1" customWidth="1"/>
    <col min="32" max="32" width="10" style="100" hidden="1" customWidth="1"/>
    <col min="33" max="33" width="12.85546875" style="100" hidden="1" customWidth="1"/>
    <col min="34" max="34" width="10.28515625" style="100" hidden="1" customWidth="1"/>
    <col min="35" max="35" width="15.85546875" style="100" hidden="1" customWidth="1"/>
    <col min="36" max="36" width="19.42578125" style="100" hidden="1" customWidth="1"/>
    <col min="37" max="37" width="11" style="100" hidden="1" customWidth="1"/>
    <col min="38" max="38" width="23.5703125" style="100" hidden="1" customWidth="1"/>
    <col min="39" max="39" width="23.85546875" style="100" hidden="1" customWidth="1"/>
    <col min="40" max="40" width="25.28515625" style="100" hidden="1" customWidth="1"/>
    <col min="41" max="41" width="16.85546875" style="100" hidden="1" customWidth="1"/>
    <col min="42" max="42" width="29.5703125" style="100" hidden="1" customWidth="1"/>
    <col min="43" max="43" width="29.85546875" style="100" hidden="1" customWidth="1"/>
    <col min="44" max="44" width="9.140625" style="174" hidden="1"/>
  </cols>
  <sheetData>
    <row r="1" spans="1:43" ht="11.25" hidden="1" customHeight="1"/>
    <row r="2" spans="1:43" ht="11.25" hidden="1" customHeight="1"/>
    <row r="3" spans="1:43" ht="11.25" hidden="1" customHeight="1"/>
    <row r="4" spans="1:43" ht="3" customHeight="1"/>
    <row r="5" spans="1:43" s="178" customFormat="1" ht="29.25" customHeight="1">
      <c r="A5" s="176"/>
      <c r="B5" s="176"/>
      <c r="D5" s="1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06"/>
      <c r="F5" s="1106"/>
      <c r="G5" s="1106"/>
      <c r="H5" s="1106"/>
      <c r="I5" s="1106"/>
      <c r="J5" s="1106"/>
      <c r="K5" s="200"/>
      <c r="L5" s="201"/>
      <c r="M5" s="201"/>
      <c r="N5" s="201"/>
      <c r="O5" s="201"/>
      <c r="P5" s="201"/>
      <c r="Q5" s="201"/>
      <c r="R5" s="201"/>
      <c r="S5" s="201"/>
      <c r="T5" s="201"/>
      <c r="U5" s="201"/>
      <c r="V5" s="201"/>
      <c r="W5" s="201"/>
      <c r="Y5" s="177"/>
      <c r="Z5" s="177"/>
      <c r="AA5" s="177"/>
      <c r="AB5" s="177"/>
      <c r="AC5" s="177"/>
      <c r="AD5" s="177"/>
      <c r="AE5" s="177"/>
      <c r="AF5" s="177"/>
      <c r="AG5" s="177"/>
      <c r="AH5" s="177"/>
      <c r="AI5" s="177"/>
      <c r="AJ5" s="177"/>
      <c r="AK5" s="177"/>
      <c r="AL5" s="177"/>
      <c r="AM5" s="177"/>
      <c r="AN5" s="177"/>
      <c r="AO5" s="177"/>
      <c r="AP5" s="177"/>
      <c r="AQ5" s="177"/>
    </row>
    <row r="6" spans="1:43" s="178" customFormat="1" ht="15" customHeight="1">
      <c r="A6" s="100"/>
      <c r="B6" s="100"/>
      <c r="C6" s="100"/>
      <c r="D6" s="1091" t="str">
        <f>IF(org=0,"Не определено",org)</f>
        <v>Филиал ПАО "ОГК-2" - Серовская ГРЭС, г. Серов</v>
      </c>
      <c r="E6" s="1091"/>
      <c r="F6" s="1091"/>
      <c r="G6" s="1091"/>
      <c r="H6" s="1091"/>
      <c r="I6" s="1091"/>
      <c r="J6" s="1091"/>
      <c r="K6" s="175"/>
      <c r="L6" s="175"/>
      <c r="M6" s="175"/>
      <c r="N6" s="175"/>
      <c r="O6" s="176"/>
      <c r="P6" s="176"/>
      <c r="Q6" s="176"/>
      <c r="R6" s="176"/>
      <c r="S6" s="176"/>
      <c r="T6" s="176"/>
      <c r="U6" s="176"/>
      <c r="V6" s="176"/>
      <c r="W6" s="176"/>
      <c r="X6" s="175"/>
      <c r="Y6" s="177"/>
      <c r="Z6" s="177"/>
      <c r="AA6" s="177"/>
      <c r="AB6" s="177"/>
      <c r="AC6" s="177"/>
      <c r="AD6" s="177"/>
      <c r="AE6" s="177"/>
      <c r="AF6" s="177"/>
      <c r="AG6" s="177"/>
      <c r="AH6" s="177"/>
      <c r="AI6" s="177"/>
      <c r="AJ6" s="177"/>
      <c r="AK6" s="177"/>
      <c r="AL6" s="177"/>
      <c r="AM6" s="177"/>
      <c r="AN6" s="177"/>
      <c r="AO6" s="177"/>
      <c r="AP6" s="177"/>
      <c r="AQ6" s="177"/>
    </row>
    <row r="7" spans="1:43" s="202" customFormat="1" ht="11.25" customHeight="1">
      <c r="A7" s="121"/>
      <c r="B7" s="121"/>
      <c r="D7" s="1107"/>
      <c r="E7" s="1107"/>
      <c r="F7" s="1107"/>
      <c r="G7" s="1107"/>
      <c r="H7" s="1107"/>
      <c r="I7" s="1107"/>
      <c r="J7" s="1107"/>
      <c r="Y7" s="100"/>
      <c r="Z7" s="100"/>
      <c r="AA7" s="100"/>
      <c r="AB7" s="100"/>
      <c r="AC7" s="100"/>
      <c r="AD7" s="100"/>
      <c r="AE7" s="100"/>
      <c r="AF7" s="100"/>
      <c r="AG7" s="100"/>
      <c r="AH7" s="100"/>
      <c r="AI7" s="100"/>
      <c r="AJ7" s="100"/>
      <c r="AK7" s="100"/>
      <c r="AL7" s="100"/>
      <c r="AM7" s="100"/>
      <c r="AN7" s="100"/>
      <c r="AO7" s="100"/>
      <c r="AP7" s="100"/>
      <c r="AQ7" s="100"/>
    </row>
    <row r="8" spans="1:43" s="178" customFormat="1" ht="0.75" customHeight="1">
      <c r="A8" s="176"/>
      <c r="B8" s="176"/>
      <c r="D8" s="179"/>
      <c r="E8" s="179"/>
      <c r="F8" s="179"/>
      <c r="G8" s="179"/>
      <c r="H8" s="179"/>
      <c r="I8" s="179"/>
      <c r="J8" s="179"/>
      <c r="K8" s="179"/>
      <c r="L8" s="179"/>
      <c r="M8" s="179"/>
      <c r="N8" s="179"/>
      <c r="O8" s="179"/>
      <c r="P8" s="179"/>
      <c r="Q8" s="179"/>
      <c r="R8" s="179"/>
      <c r="S8" s="179"/>
      <c r="T8" s="179"/>
      <c r="U8" s="179"/>
      <c r="V8" s="179"/>
      <c r="W8" s="179"/>
      <c r="Y8" s="177"/>
      <c r="Z8" s="177"/>
      <c r="AA8" s="177"/>
      <c r="AB8" s="177"/>
      <c r="AC8" s="177"/>
      <c r="AD8" s="177"/>
      <c r="AE8" s="177"/>
      <c r="AF8" s="177"/>
      <c r="AG8" s="177"/>
      <c r="AH8" s="177"/>
      <c r="AI8" s="177"/>
      <c r="AJ8" s="177"/>
      <c r="AK8" s="177"/>
      <c r="AL8" s="177"/>
      <c r="AM8" s="177"/>
      <c r="AN8" s="177"/>
      <c r="AO8" s="177"/>
      <c r="AP8" s="177"/>
      <c r="AQ8" s="177"/>
    </row>
    <row r="9" spans="1:43" ht="27" customHeight="1">
      <c r="D9" s="1087" t="s">
        <v>84</v>
      </c>
      <c r="E9" s="1087" t="s">
        <v>118</v>
      </c>
      <c r="F9" s="1087"/>
      <c r="G9" s="1087" t="s">
        <v>101</v>
      </c>
      <c r="H9" s="1087" t="s">
        <v>84</v>
      </c>
      <c r="I9" s="1087"/>
      <c r="J9" s="1087" t="s">
        <v>119</v>
      </c>
      <c r="K9" s="1108" t="s">
        <v>120</v>
      </c>
      <c r="L9" s="1108"/>
      <c r="M9" s="1108"/>
      <c r="N9" s="1108"/>
      <c r="O9" s="1108" t="s">
        <v>121</v>
      </c>
      <c r="P9" s="1108"/>
      <c r="Q9" s="1108"/>
      <c r="R9" s="1108"/>
      <c r="S9" s="1108" t="s">
        <v>122</v>
      </c>
      <c r="T9" s="1108"/>
      <c r="U9" s="1108"/>
      <c r="V9" s="1108"/>
      <c r="W9" s="1087" t="s">
        <v>123</v>
      </c>
    </row>
    <row r="10" spans="1:43" ht="30" customHeight="1">
      <c r="D10" s="1087"/>
      <c r="E10" s="148" t="s">
        <v>85</v>
      </c>
      <c r="F10" s="148" t="s">
        <v>124</v>
      </c>
      <c r="G10" s="1087"/>
      <c r="H10" s="1087"/>
      <c r="I10" s="1087"/>
      <c r="J10" s="1087"/>
      <c r="K10" s="148" t="s">
        <v>104</v>
      </c>
      <c r="L10" s="1087" t="s">
        <v>84</v>
      </c>
      <c r="M10" s="1087"/>
      <c r="N10" s="148" t="s">
        <v>125</v>
      </c>
      <c r="O10" s="148" t="s">
        <v>104</v>
      </c>
      <c r="P10" s="1087" t="s">
        <v>84</v>
      </c>
      <c r="Q10" s="1087"/>
      <c r="R10" s="148" t="s">
        <v>125</v>
      </c>
      <c r="S10" s="148" t="s">
        <v>104</v>
      </c>
      <c r="T10" s="1087" t="s">
        <v>84</v>
      </c>
      <c r="U10" s="1087"/>
      <c r="V10" s="148" t="s">
        <v>85</v>
      </c>
      <c r="W10" s="1087"/>
      <c r="Z10" s="100" t="s">
        <v>126</v>
      </c>
      <c r="AA10" s="100" t="s">
        <v>127</v>
      </c>
      <c r="AB10" s="100" t="s">
        <v>128</v>
      </c>
      <c r="AC10" s="100" t="s">
        <v>129</v>
      </c>
      <c r="AD10" s="100" t="s">
        <v>130</v>
      </c>
      <c r="AE10" s="100" t="s">
        <v>131</v>
      </c>
      <c r="AF10" s="100" t="s">
        <v>132</v>
      </c>
      <c r="AG10" s="100" t="s">
        <v>133</v>
      </c>
      <c r="AH10" s="100" t="s">
        <v>134</v>
      </c>
      <c r="AI10" s="100" t="s">
        <v>135</v>
      </c>
      <c r="AJ10" s="100" t="s">
        <v>136</v>
      </c>
      <c r="AK10" s="100" t="s">
        <v>137</v>
      </c>
      <c r="AL10" s="100" t="s">
        <v>138</v>
      </c>
      <c r="AM10" s="100" t="s">
        <v>139</v>
      </c>
      <c r="AN10" s="100" t="s">
        <v>140</v>
      </c>
      <c r="AO10" s="100" t="s">
        <v>141</v>
      </c>
      <c r="AP10" s="100" t="s">
        <v>142</v>
      </c>
      <c r="AQ10" s="100" t="s">
        <v>143</v>
      </c>
    </row>
    <row r="11" spans="1:43" s="121" customFormat="1" ht="12" hidden="1" customHeight="1">
      <c r="D11" s="204" t="s">
        <v>105</v>
      </c>
      <c r="E11" s="204" t="s">
        <v>106</v>
      </c>
      <c r="F11" s="204"/>
      <c r="G11" s="204" t="s">
        <v>86</v>
      </c>
      <c r="H11" s="1109" t="s">
        <v>107</v>
      </c>
      <c r="I11" s="1109"/>
      <c r="J11" s="204" t="s">
        <v>88</v>
      </c>
      <c r="K11" s="204" t="s">
        <v>89</v>
      </c>
      <c r="L11" s="1109" t="s">
        <v>108</v>
      </c>
      <c r="M11" s="1109"/>
      <c r="N11" s="204" t="s">
        <v>144</v>
      </c>
      <c r="O11" s="204" t="s">
        <v>145</v>
      </c>
      <c r="P11" s="1109" t="s">
        <v>146</v>
      </c>
      <c r="Q11" s="1109"/>
      <c r="R11" s="204" t="s">
        <v>147</v>
      </c>
      <c r="S11" s="204" t="s">
        <v>146</v>
      </c>
      <c r="T11" s="1109" t="s">
        <v>147</v>
      </c>
      <c r="U11" s="1109"/>
      <c r="V11" s="204" t="s">
        <v>148</v>
      </c>
      <c r="W11" s="204" t="s">
        <v>149</v>
      </c>
      <c r="Y11" s="100"/>
      <c r="Z11" s="100"/>
      <c r="AA11" s="100"/>
      <c r="AB11" s="100"/>
      <c r="AC11" s="100"/>
      <c r="AD11" s="100"/>
      <c r="AE11" s="100"/>
      <c r="AF11" s="100"/>
      <c r="AG11" s="100"/>
      <c r="AH11" s="100"/>
      <c r="AI11" s="100"/>
      <c r="AJ11" s="100"/>
      <c r="AK11" s="100"/>
      <c r="AL11" s="100"/>
      <c r="AM11" s="100"/>
      <c r="AN11" s="100"/>
      <c r="AO11" s="100"/>
      <c r="AP11" s="100"/>
      <c r="AQ11" s="100"/>
    </row>
    <row r="12" spans="1:43" ht="14.25" hidden="1" customHeight="1">
      <c r="C12" s="120"/>
      <c r="D12" s="205">
        <v>0</v>
      </c>
      <c r="E12" s="148"/>
      <c r="F12" s="148"/>
      <c r="G12" s="148"/>
      <c r="H12" s="206"/>
      <c r="I12" s="206"/>
      <c r="J12" s="190"/>
      <c r="K12" s="190"/>
      <c r="L12" s="190"/>
      <c r="M12" s="190"/>
      <c r="N12" s="207"/>
      <c r="O12" s="190"/>
      <c r="P12" s="190"/>
      <c r="Q12" s="190"/>
      <c r="R12" s="208"/>
      <c r="S12" s="190"/>
      <c r="T12" s="190"/>
      <c r="U12" s="190"/>
      <c r="V12" s="208"/>
      <c r="W12" s="190"/>
    </row>
    <row r="13" spans="1:43" s="174" customFormat="1" ht="17.25" hidden="1" customHeight="1">
      <c r="A13" s="209"/>
      <c r="C13" s="120"/>
      <c r="D13" s="1110">
        <v>1</v>
      </c>
      <c r="E13" s="1111" t="s">
        <v>150</v>
      </c>
      <c r="F13" s="1112" t="s">
        <v>53</v>
      </c>
      <c r="G13" s="1111"/>
      <c r="H13" s="1113"/>
      <c r="I13" s="1114"/>
      <c r="J13" s="1115"/>
      <c r="K13" s="1116"/>
      <c r="L13" s="1116"/>
      <c r="M13" s="1116"/>
      <c r="N13" s="1117"/>
      <c r="O13" s="1116"/>
      <c r="P13" s="1116"/>
      <c r="Q13" s="1116"/>
      <c r="R13" s="1118"/>
      <c r="S13" s="1116"/>
      <c r="T13" s="211"/>
      <c r="U13" s="211"/>
      <c r="V13" s="212"/>
      <c r="W13" s="213"/>
      <c r="Y13" s="214"/>
      <c r="Z13" s="214"/>
      <c r="AA13" s="214"/>
      <c r="AB13" s="214"/>
      <c r="AC13" s="214" t="s">
        <v>151</v>
      </c>
      <c r="AD13" s="214" t="s">
        <v>152</v>
      </c>
      <c r="AE13" s="214" t="s">
        <v>153</v>
      </c>
      <c r="AF13" s="214" t="s">
        <v>154</v>
      </c>
      <c r="AG13" s="214" t="s">
        <v>155</v>
      </c>
      <c r="AH13" s="21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14" t="str">
        <f>IF($G$13=0,"",$G$13)</f>
        <v/>
      </c>
      <c r="AJ13" s="214" t="str">
        <f>IF($J$13=0,"",$J$13)</f>
        <v/>
      </c>
      <c r="AK13" s="214" t="str">
        <f>IF($K$13="нет","без дифференциации",IF($N$13=0,"",$N$13))</f>
        <v/>
      </c>
      <c r="AL13" s="214" t="str">
        <f>IF($O$13="нет","без дифференциации",IF($R$13=0,"",$R$13))</f>
        <v/>
      </c>
      <c r="AM13" s="214" t="str">
        <f>IF($S$13="нет","без дифференциации",IF($V$13=0,"",$V$13))</f>
        <v/>
      </c>
      <c r="AN13" s="214">
        <f>$I$13</f>
        <v>0</v>
      </c>
      <c r="AO13" s="214" t="str">
        <f>$I$13&amp;"."&amp;$M$13</f>
        <v>.</v>
      </c>
      <c r="AP13" s="214" t="str">
        <f>$I$13&amp;"."&amp;$M$13&amp;"."&amp;$Q$13</f>
        <v>..</v>
      </c>
      <c r="AQ13" s="214" t="str">
        <f>$I$13&amp;"."&amp;$M$13&amp;"."&amp;$Q$13&amp;"."&amp;$U$13</f>
        <v>...</v>
      </c>
    </row>
    <row r="14" spans="1:43" s="174" customFormat="1" ht="17.25" hidden="1" customHeight="1">
      <c r="A14" s="209"/>
      <c r="D14" s="1110"/>
      <c r="E14" s="1111"/>
      <c r="F14" s="1112"/>
      <c r="G14" s="1111"/>
      <c r="H14" s="1113"/>
      <c r="I14" s="1114"/>
      <c r="J14" s="1115"/>
      <c r="K14" s="1116"/>
      <c r="L14" s="1116"/>
      <c r="M14" s="1116"/>
      <c r="N14" s="1117"/>
      <c r="O14" s="1116"/>
      <c r="P14" s="1116"/>
      <c r="Q14" s="1116"/>
      <c r="R14" s="1118"/>
      <c r="S14" s="1116"/>
      <c r="T14" s="215"/>
      <c r="U14" s="215"/>
      <c r="V14" s="215"/>
      <c r="W14" s="216"/>
      <c r="Y14" s="100"/>
      <c r="Z14" s="100"/>
      <c r="AA14" s="100"/>
      <c r="AB14" s="100"/>
      <c r="AC14" s="100"/>
      <c r="AD14" s="100"/>
      <c r="AE14" s="100"/>
      <c r="AF14" s="100"/>
      <c r="AG14" s="100"/>
      <c r="AH14" s="100"/>
      <c r="AI14" s="100"/>
      <c r="AJ14" s="100"/>
      <c r="AK14" s="100"/>
      <c r="AL14" s="100"/>
      <c r="AM14" s="100"/>
      <c r="AN14" s="100"/>
      <c r="AO14" s="100"/>
      <c r="AP14" s="100"/>
      <c r="AQ14" s="100"/>
    </row>
    <row r="15" spans="1:43" s="174" customFormat="1" ht="17.25" hidden="1" customHeight="1">
      <c r="A15" s="209"/>
      <c r="C15" s="120"/>
      <c r="D15" s="1110"/>
      <c r="E15" s="1111"/>
      <c r="F15" s="1112"/>
      <c r="G15" s="1111"/>
      <c r="H15" s="1113"/>
      <c r="I15" s="1114"/>
      <c r="J15" s="1115"/>
      <c r="K15" s="1116"/>
      <c r="L15" s="1116"/>
      <c r="M15" s="1116"/>
      <c r="N15" s="1117"/>
      <c r="O15" s="1116"/>
      <c r="P15" s="117"/>
      <c r="Q15" s="215"/>
      <c r="R15" s="215"/>
      <c r="W15" s="216"/>
      <c r="Y15" s="214"/>
      <c r="Z15" s="214"/>
      <c r="AA15" s="214"/>
      <c r="AB15" s="214"/>
      <c r="AC15" s="214"/>
      <c r="AD15" s="214"/>
      <c r="AE15" s="214"/>
      <c r="AF15" s="214"/>
      <c r="AG15" s="214"/>
      <c r="AH15" s="214"/>
      <c r="AI15" s="214"/>
      <c r="AJ15" s="214"/>
      <c r="AK15" s="214"/>
      <c r="AL15" s="214"/>
      <c r="AM15" s="214"/>
      <c r="AN15" s="214"/>
      <c r="AO15" s="214"/>
      <c r="AP15" s="214"/>
      <c r="AQ15" s="214"/>
    </row>
    <row r="16" spans="1:43" s="174" customFormat="1" ht="17.25" hidden="1" customHeight="1">
      <c r="A16" s="209"/>
      <c r="D16" s="1110"/>
      <c r="E16" s="1111"/>
      <c r="F16" s="1112"/>
      <c r="G16" s="1111"/>
      <c r="H16" s="1113"/>
      <c r="I16" s="1114"/>
      <c r="J16" s="1115"/>
      <c r="K16" s="1116"/>
      <c r="L16" s="215"/>
      <c r="M16" s="215"/>
      <c r="N16" s="215"/>
      <c r="O16" s="215"/>
      <c r="P16" s="215"/>
      <c r="Q16" s="215"/>
      <c r="R16" s="215"/>
      <c r="W16" s="216"/>
      <c r="Y16" s="100"/>
      <c r="Z16" s="100"/>
      <c r="AA16" s="100"/>
      <c r="AB16" s="100"/>
      <c r="AC16" s="100"/>
      <c r="AD16" s="100"/>
      <c r="AE16" s="100"/>
      <c r="AF16" s="100"/>
      <c r="AG16" s="100"/>
      <c r="AH16" s="100"/>
      <c r="AI16" s="100"/>
      <c r="AJ16" s="100"/>
      <c r="AK16" s="100"/>
      <c r="AL16" s="100"/>
      <c r="AM16" s="100"/>
      <c r="AN16" s="100"/>
      <c r="AO16" s="100"/>
      <c r="AP16" s="100"/>
      <c r="AQ16" s="100"/>
    </row>
    <row r="17" spans="1:43" s="174" customFormat="1" ht="17.25" hidden="1" customHeight="1">
      <c r="A17" s="209"/>
      <c r="D17" s="1110"/>
      <c r="E17" s="1111"/>
      <c r="F17" s="1112"/>
      <c r="G17" s="1111"/>
      <c r="H17" s="217"/>
      <c r="I17" s="218"/>
      <c r="J17" s="218"/>
      <c r="K17" s="218"/>
      <c r="L17" s="218"/>
      <c r="M17" s="218"/>
      <c r="N17" s="218"/>
      <c r="O17" s="218"/>
      <c r="P17" s="218"/>
      <c r="Q17" s="218"/>
      <c r="R17" s="218"/>
      <c r="S17" s="219"/>
      <c r="T17" s="219"/>
      <c r="U17" s="219"/>
      <c r="V17" s="219"/>
      <c r="W17" s="220"/>
      <c r="Y17" s="100"/>
      <c r="Z17" s="100"/>
      <c r="AA17" s="100"/>
      <c r="AB17" s="100"/>
      <c r="AC17" s="100"/>
      <c r="AD17" s="100"/>
      <c r="AE17" s="100"/>
      <c r="AF17" s="100"/>
      <c r="AG17" s="100"/>
      <c r="AH17" s="100"/>
      <c r="AI17" s="100"/>
      <c r="AJ17" s="100"/>
      <c r="AK17" s="100"/>
      <c r="AL17" s="100"/>
      <c r="AM17" s="100"/>
      <c r="AN17" s="100"/>
      <c r="AO17" s="100"/>
      <c r="AP17" s="100"/>
      <c r="AQ17" s="100"/>
    </row>
    <row r="18" spans="1:43" s="174" customFormat="1" ht="17.25" hidden="1" customHeight="1">
      <c r="A18" s="209"/>
      <c r="C18" s="120"/>
      <c r="D18" s="1110">
        <v>2</v>
      </c>
      <c r="E18" s="1111" t="s">
        <v>156</v>
      </c>
      <c r="F18" s="1112" t="s">
        <v>53</v>
      </c>
      <c r="G18" s="1111"/>
      <c r="H18" s="1113"/>
      <c r="I18" s="1114"/>
      <c r="J18" s="1115"/>
      <c r="K18" s="1116"/>
      <c r="L18" s="1116"/>
      <c r="M18" s="1116"/>
      <c r="N18" s="1117"/>
      <c r="O18" s="1116"/>
      <c r="P18" s="1116"/>
      <c r="Q18" s="1116"/>
      <c r="R18" s="1118"/>
      <c r="S18" s="1116"/>
      <c r="T18" s="211"/>
      <c r="U18" s="211"/>
      <c r="V18" s="212"/>
      <c r="W18" s="213"/>
      <c r="X18" s="214"/>
      <c r="Y18" s="214"/>
      <c r="Z18" s="214"/>
      <c r="AA18" s="214"/>
      <c r="AB18" s="214"/>
      <c r="AC18" s="214" t="s">
        <v>157</v>
      </c>
      <c r="AD18" s="214" t="s">
        <v>158</v>
      </c>
      <c r="AE18" s="214" t="s">
        <v>159</v>
      </c>
      <c r="AF18" s="214" t="s">
        <v>160</v>
      </c>
      <c r="AG18" s="214" t="s">
        <v>161</v>
      </c>
      <c r="AH18" s="214" t="str">
        <f>IF($E$18=0,"",$E$18)</f>
        <v>Тарифы на тепловую энергию (мощность), поставляемую теплоснабжающими организациями потребителям, другим теплоснабжающим организациям</v>
      </c>
      <c r="AI18" s="214" t="str">
        <f>IF($G$18=0,"",$G$18)</f>
        <v/>
      </c>
      <c r="AJ18" s="214" t="str">
        <f>IF($J$18=0,"",$J$18)</f>
        <v/>
      </c>
      <c r="AK18" s="214" t="str">
        <f>IF($K$18="нет","без дифференциации",IF($N$18=0,"",$N$18))</f>
        <v/>
      </c>
      <c r="AL18" s="214" t="str">
        <f>IF($O$18="нет","без дифференциации",IF($R$18=0,"",$R$18))</f>
        <v/>
      </c>
      <c r="AM18" s="214" t="str">
        <f>IF($S$18="нет","без дифференциации",IF($V$18=0,"",$V$18))</f>
        <v/>
      </c>
      <c r="AN18" s="221">
        <f>$I$18</f>
        <v>0</v>
      </c>
      <c r="AO18" s="214" t="str">
        <f>$I$18&amp;"."&amp;$M$18</f>
        <v>.</v>
      </c>
      <c r="AP18" s="100" t="str">
        <f>$I$18&amp;"."&amp;$M$18&amp;"."&amp;$Q$18</f>
        <v>..</v>
      </c>
      <c r="AQ18" s="100" t="str">
        <f>$I$18&amp;"."&amp;$M$18&amp;"."&amp;$Q$18&amp;"."&amp;$U$18</f>
        <v>...</v>
      </c>
    </row>
    <row r="19" spans="1:43" s="174" customFormat="1" ht="17.25" hidden="1" customHeight="1">
      <c r="A19" s="209"/>
      <c r="D19" s="1110"/>
      <c r="E19" s="1111"/>
      <c r="F19" s="1112"/>
      <c r="G19" s="1111"/>
      <c r="H19" s="1113"/>
      <c r="I19" s="1114"/>
      <c r="J19" s="1115"/>
      <c r="K19" s="1116"/>
      <c r="L19" s="1116"/>
      <c r="M19" s="1116"/>
      <c r="N19" s="1117"/>
      <c r="O19" s="1116"/>
      <c r="P19" s="1116"/>
      <c r="Q19" s="1116"/>
      <c r="R19" s="1118"/>
      <c r="S19" s="1116"/>
      <c r="T19" s="215"/>
      <c r="U19" s="215"/>
      <c r="V19" s="215"/>
      <c r="W19" s="216"/>
      <c r="X19" s="100"/>
      <c r="Y19" s="100"/>
      <c r="Z19" s="100"/>
      <c r="AA19" s="100"/>
      <c r="AB19" s="100"/>
      <c r="AC19" s="100"/>
      <c r="AD19" s="100"/>
      <c r="AE19" s="100"/>
      <c r="AF19" s="100"/>
      <c r="AG19" s="100"/>
      <c r="AH19" s="100"/>
      <c r="AI19" s="100"/>
      <c r="AJ19" s="100"/>
      <c r="AK19" s="100"/>
      <c r="AL19" s="100"/>
      <c r="AM19" s="100"/>
      <c r="AN19" s="100"/>
      <c r="AO19" s="100"/>
      <c r="AP19" s="100"/>
      <c r="AQ19" s="100"/>
    </row>
    <row r="20" spans="1:43" s="174" customFormat="1" ht="17.25" hidden="1" customHeight="1">
      <c r="A20" s="209"/>
      <c r="D20" s="1110"/>
      <c r="E20" s="1111"/>
      <c r="F20" s="1112"/>
      <c r="G20" s="1111"/>
      <c r="H20" s="1113"/>
      <c r="I20" s="1114"/>
      <c r="J20" s="1115"/>
      <c r="K20" s="1116"/>
      <c r="L20" s="1116"/>
      <c r="M20" s="1116"/>
      <c r="N20" s="1117"/>
      <c r="O20" s="1116"/>
      <c r="P20" s="117"/>
      <c r="Q20" s="215"/>
      <c r="R20" s="215"/>
      <c r="W20" s="216"/>
      <c r="X20" s="100"/>
      <c r="Y20" s="100"/>
      <c r="Z20" s="100"/>
      <c r="AA20" s="100"/>
      <c r="AB20" s="100"/>
      <c r="AC20" s="100"/>
      <c r="AD20" s="100"/>
      <c r="AE20" s="100"/>
      <c r="AF20" s="100"/>
      <c r="AG20" s="100"/>
      <c r="AH20" s="100"/>
      <c r="AI20" s="100"/>
      <c r="AJ20" s="100"/>
      <c r="AK20" s="100"/>
      <c r="AL20" s="100"/>
      <c r="AM20" s="100"/>
      <c r="AN20" s="100"/>
      <c r="AO20" s="100"/>
      <c r="AP20" s="100"/>
      <c r="AQ20" s="100"/>
    </row>
    <row r="21" spans="1:43" s="174" customFormat="1" ht="17.25" hidden="1" customHeight="1">
      <c r="A21" s="209"/>
      <c r="D21" s="1110"/>
      <c r="E21" s="1111"/>
      <c r="F21" s="1112"/>
      <c r="G21" s="1111"/>
      <c r="H21" s="1113"/>
      <c r="I21" s="1114"/>
      <c r="J21" s="1115"/>
      <c r="K21" s="1116"/>
      <c r="L21" s="215"/>
      <c r="M21" s="215"/>
      <c r="N21" s="215"/>
      <c r="O21" s="215"/>
      <c r="P21" s="215"/>
      <c r="Q21" s="215"/>
      <c r="R21" s="215"/>
      <c r="W21" s="216"/>
      <c r="X21" s="100"/>
      <c r="Y21" s="100"/>
      <c r="Z21" s="100"/>
      <c r="AA21" s="100"/>
      <c r="AB21" s="100"/>
      <c r="AC21" s="100"/>
      <c r="AD21" s="100"/>
      <c r="AE21" s="100"/>
      <c r="AF21" s="100"/>
      <c r="AG21" s="100"/>
      <c r="AH21" s="100"/>
      <c r="AI21" s="100"/>
      <c r="AJ21" s="100"/>
      <c r="AK21" s="100"/>
      <c r="AL21" s="100"/>
      <c r="AM21" s="100"/>
      <c r="AN21" s="100"/>
      <c r="AO21" s="100"/>
      <c r="AP21" s="100"/>
      <c r="AQ21" s="100"/>
    </row>
    <row r="22" spans="1:43" s="174" customFormat="1" ht="17.25" hidden="1" customHeight="1">
      <c r="A22" s="209"/>
      <c r="D22" s="1110"/>
      <c r="E22" s="1111"/>
      <c r="F22" s="1112"/>
      <c r="G22" s="1111"/>
      <c r="H22" s="217"/>
      <c r="I22" s="218"/>
      <c r="J22" s="218"/>
      <c r="K22" s="218"/>
      <c r="L22" s="218"/>
      <c r="M22" s="218"/>
      <c r="N22" s="218"/>
      <c r="O22" s="218"/>
      <c r="P22" s="218"/>
      <c r="Q22" s="218"/>
      <c r="R22" s="218"/>
      <c r="S22" s="219"/>
      <c r="T22" s="219"/>
      <c r="U22" s="219"/>
      <c r="V22" s="219"/>
      <c r="W22" s="220"/>
      <c r="X22" s="100"/>
      <c r="Y22" s="100"/>
      <c r="Z22" s="100"/>
      <c r="AA22" s="100"/>
      <c r="AB22" s="100"/>
      <c r="AC22" s="100"/>
      <c r="AD22" s="100"/>
      <c r="AE22" s="100"/>
      <c r="AF22" s="100"/>
      <c r="AG22" s="100"/>
      <c r="AH22" s="100"/>
      <c r="AI22" s="100"/>
      <c r="AJ22" s="100"/>
      <c r="AK22" s="100"/>
      <c r="AL22" s="100"/>
      <c r="AM22" s="100"/>
      <c r="AN22" s="100"/>
      <c r="AO22" s="100"/>
      <c r="AP22" s="100"/>
      <c r="AQ22" s="100"/>
    </row>
    <row r="23" spans="1:43" s="174" customFormat="1" ht="17.25" hidden="1" customHeight="1">
      <c r="A23" s="209"/>
      <c r="C23" s="120"/>
      <c r="D23" s="1110">
        <v>3</v>
      </c>
      <c r="E23" s="1111" t="s">
        <v>162</v>
      </c>
      <c r="F23" s="1112" t="s">
        <v>53</v>
      </c>
      <c r="G23" s="1111"/>
      <c r="H23" s="1113"/>
      <c r="I23" s="1114"/>
      <c r="J23" s="1115"/>
      <c r="K23" s="1116"/>
      <c r="L23" s="1116"/>
      <c r="M23" s="1116"/>
      <c r="N23" s="1117"/>
      <c r="O23" s="1116"/>
      <c r="P23" s="1116"/>
      <c r="Q23" s="1116"/>
      <c r="R23" s="1118"/>
      <c r="S23" s="1116"/>
      <c r="T23" s="211"/>
      <c r="U23" s="211"/>
      <c r="V23" s="212"/>
      <c r="W23" s="213"/>
      <c r="X23" s="214"/>
      <c r="Y23" s="214"/>
      <c r="Z23" s="214"/>
      <c r="AA23" s="214"/>
      <c r="AB23" s="214"/>
      <c r="AC23" s="214" t="s">
        <v>163</v>
      </c>
      <c r="AD23" s="214" t="s">
        <v>164</v>
      </c>
      <c r="AE23" s="214" t="s">
        <v>165</v>
      </c>
      <c r="AF23" s="214" t="s">
        <v>166</v>
      </c>
      <c r="AG23" s="214" t="s">
        <v>167</v>
      </c>
      <c r="AH23" s="214" t="str">
        <f>IF($E$23=0,"",$E$23)</f>
        <v>Тарифы на теплоноситель, поставляемый теплоснабжающими организациями потребителям, другим теплоснабжающим организациям</v>
      </c>
      <c r="AI23" s="214" t="str">
        <f>IF($G$23=0,"",$G$23)</f>
        <v/>
      </c>
      <c r="AJ23" s="214" t="str">
        <f>IF($J$23=0,"",$J$23)</f>
        <v/>
      </c>
      <c r="AK23" s="214" t="str">
        <f>IF($K$23="нет","без дифференциации",IF($N$23=0,"",$N$23))</f>
        <v/>
      </c>
      <c r="AL23" s="214" t="str">
        <f>IF($O$23="нет","без дифференциации",IF($R$23=0,"",$R$23))</f>
        <v/>
      </c>
      <c r="AM23" s="214" t="str">
        <f>IF($S$23="нет","без дифференциации",IF($V$23=0,"",$V$23))</f>
        <v/>
      </c>
      <c r="AN23" s="221">
        <f>$I$23</f>
        <v>0</v>
      </c>
      <c r="AO23" s="214" t="str">
        <f>$I$23&amp;"."&amp;$M$23</f>
        <v>.</v>
      </c>
      <c r="AP23" s="100" t="str">
        <f>$I$23&amp;"."&amp;$M$23&amp;"."&amp;$Q$23</f>
        <v>..</v>
      </c>
      <c r="AQ23" s="100" t="str">
        <f>$I$23&amp;"."&amp;$M$23&amp;"."&amp;$Q$23&amp;"."&amp;$U$23</f>
        <v>...</v>
      </c>
    </row>
    <row r="24" spans="1:43" s="174" customFormat="1" ht="17.25" hidden="1" customHeight="1">
      <c r="A24" s="209"/>
      <c r="D24" s="1110"/>
      <c r="E24" s="1111"/>
      <c r="F24" s="1112"/>
      <c r="G24" s="1111"/>
      <c r="H24" s="1113"/>
      <c r="I24" s="1114"/>
      <c r="J24" s="1115"/>
      <c r="K24" s="1116"/>
      <c r="L24" s="1116"/>
      <c r="M24" s="1116"/>
      <c r="N24" s="1117"/>
      <c r="O24" s="1116"/>
      <c r="P24" s="1116"/>
      <c r="Q24" s="1116"/>
      <c r="R24" s="1118"/>
      <c r="S24" s="1116"/>
      <c r="T24" s="215"/>
      <c r="U24" s="215"/>
      <c r="V24" s="215"/>
      <c r="W24" s="216"/>
      <c r="X24" s="100"/>
      <c r="Y24" s="100"/>
      <c r="Z24" s="100"/>
      <c r="AA24" s="100"/>
      <c r="AB24" s="100"/>
      <c r="AC24" s="100"/>
      <c r="AD24" s="100"/>
      <c r="AE24" s="100"/>
      <c r="AF24" s="100"/>
      <c r="AG24" s="100"/>
      <c r="AH24" s="100"/>
      <c r="AI24" s="100"/>
      <c r="AJ24" s="100"/>
      <c r="AK24" s="100"/>
      <c r="AL24" s="100"/>
      <c r="AM24" s="100"/>
      <c r="AN24" s="100"/>
      <c r="AO24" s="100"/>
      <c r="AP24" s="100"/>
      <c r="AQ24" s="100"/>
    </row>
    <row r="25" spans="1:43" s="174" customFormat="1" ht="17.25" hidden="1" customHeight="1">
      <c r="A25" s="209"/>
      <c r="D25" s="1110"/>
      <c r="E25" s="1111"/>
      <c r="F25" s="1112"/>
      <c r="G25" s="1111"/>
      <c r="H25" s="1113"/>
      <c r="I25" s="1114"/>
      <c r="J25" s="1115"/>
      <c r="K25" s="1116"/>
      <c r="L25" s="1116"/>
      <c r="M25" s="1116"/>
      <c r="N25" s="1117"/>
      <c r="O25" s="1116"/>
      <c r="P25" s="117"/>
      <c r="Q25" s="215"/>
      <c r="R25" s="215"/>
      <c r="W25" s="216"/>
      <c r="X25" s="100"/>
      <c r="Y25" s="100"/>
      <c r="Z25" s="100"/>
      <c r="AA25" s="100"/>
      <c r="AB25" s="100"/>
      <c r="AC25" s="100"/>
      <c r="AD25" s="100"/>
      <c r="AE25" s="100"/>
      <c r="AF25" s="100"/>
      <c r="AG25" s="100"/>
      <c r="AH25" s="100"/>
      <c r="AI25" s="100"/>
      <c r="AJ25" s="100"/>
      <c r="AK25" s="100"/>
      <c r="AL25" s="100"/>
      <c r="AM25" s="100"/>
      <c r="AN25" s="100"/>
      <c r="AO25" s="100"/>
      <c r="AP25" s="100"/>
      <c r="AQ25" s="100"/>
    </row>
    <row r="26" spans="1:43" s="174" customFormat="1" ht="17.25" hidden="1" customHeight="1">
      <c r="A26" s="209"/>
      <c r="D26" s="1110"/>
      <c r="E26" s="1111"/>
      <c r="F26" s="1112"/>
      <c r="G26" s="1111"/>
      <c r="H26" s="1113"/>
      <c r="I26" s="1114"/>
      <c r="J26" s="1115"/>
      <c r="K26" s="1116"/>
      <c r="L26" s="215"/>
      <c r="M26" s="215"/>
      <c r="N26" s="215"/>
      <c r="O26" s="215"/>
      <c r="P26" s="215"/>
      <c r="Q26" s="215"/>
      <c r="R26" s="215"/>
      <c r="W26" s="216"/>
      <c r="X26" s="100"/>
      <c r="Y26" s="100"/>
      <c r="Z26" s="100"/>
      <c r="AA26" s="100"/>
      <c r="AB26" s="100"/>
      <c r="AC26" s="100"/>
      <c r="AD26" s="100"/>
      <c r="AE26" s="100"/>
      <c r="AF26" s="100"/>
      <c r="AG26" s="100"/>
      <c r="AH26" s="100"/>
      <c r="AI26" s="100"/>
      <c r="AJ26" s="100"/>
      <c r="AK26" s="100"/>
      <c r="AL26" s="100"/>
      <c r="AM26" s="100"/>
      <c r="AN26" s="100"/>
      <c r="AO26" s="100"/>
      <c r="AP26" s="100"/>
      <c r="AQ26" s="100"/>
    </row>
    <row r="27" spans="1:43" s="174" customFormat="1" ht="17.25" hidden="1" customHeight="1">
      <c r="A27" s="209"/>
      <c r="D27" s="1110"/>
      <c r="E27" s="1111"/>
      <c r="F27" s="1112"/>
      <c r="G27" s="1111"/>
      <c r="H27" s="217"/>
      <c r="I27" s="218"/>
      <c r="J27" s="218"/>
      <c r="K27" s="218"/>
      <c r="L27" s="218"/>
      <c r="M27" s="218"/>
      <c r="N27" s="218"/>
      <c r="O27" s="218"/>
      <c r="P27" s="218"/>
      <c r="Q27" s="218"/>
      <c r="R27" s="218"/>
      <c r="S27" s="219"/>
      <c r="T27" s="219"/>
      <c r="U27" s="219"/>
      <c r="V27" s="219"/>
      <c r="W27" s="220"/>
      <c r="X27" s="100"/>
      <c r="Y27" s="100"/>
      <c r="Z27" s="100"/>
      <c r="AA27" s="100"/>
      <c r="AB27" s="100"/>
      <c r="AC27" s="100"/>
      <c r="AD27" s="100"/>
      <c r="AE27" s="100"/>
      <c r="AF27" s="100"/>
      <c r="AG27" s="100"/>
      <c r="AH27" s="100"/>
      <c r="AI27" s="100"/>
      <c r="AJ27" s="100"/>
      <c r="AK27" s="100"/>
      <c r="AL27" s="100"/>
      <c r="AM27" s="100"/>
      <c r="AN27" s="100"/>
      <c r="AO27" s="100"/>
      <c r="AP27" s="100"/>
      <c r="AQ27" s="100"/>
    </row>
    <row r="28" spans="1:43" s="174" customFormat="1" ht="17.25" hidden="1" customHeight="1">
      <c r="A28" s="209"/>
      <c r="C28" s="120"/>
      <c r="D28" s="1110">
        <v>4</v>
      </c>
      <c r="E28" s="1111" t="s">
        <v>168</v>
      </c>
      <c r="F28" s="1112" t="s">
        <v>53</v>
      </c>
      <c r="G28" s="1111"/>
      <c r="H28" s="1113"/>
      <c r="I28" s="1114"/>
      <c r="J28" s="1115"/>
      <c r="K28" s="1116"/>
      <c r="L28" s="1116"/>
      <c r="M28" s="1116"/>
      <c r="N28" s="1117"/>
      <c r="O28" s="1116"/>
      <c r="P28" s="1116"/>
      <c r="Q28" s="1116"/>
      <c r="R28" s="1118"/>
      <c r="S28" s="1116"/>
      <c r="T28" s="211"/>
      <c r="U28" s="211"/>
      <c r="V28" s="212"/>
      <c r="W28" s="213"/>
      <c r="X28" s="214"/>
      <c r="Y28" s="214"/>
      <c r="Z28" s="214"/>
      <c r="AA28" s="214"/>
      <c r="AB28" s="214"/>
      <c r="AC28" s="214" t="s">
        <v>169</v>
      </c>
      <c r="AD28" s="214" t="s">
        <v>170</v>
      </c>
      <c r="AE28" s="214" t="s">
        <v>171</v>
      </c>
      <c r="AF28" s="214" t="s">
        <v>172</v>
      </c>
      <c r="AG28" s="214" t="s">
        <v>173</v>
      </c>
      <c r="AH28" s="21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14" t="str">
        <f>IF($G$28=0,"",$G$28)</f>
        <v/>
      </c>
      <c r="AJ28" s="214" t="str">
        <f>IF($J$28=0,"",$J$28)</f>
        <v/>
      </c>
      <c r="AK28" s="214" t="str">
        <f>IF($K$28="нет","без дифференциации",IF($N$28=0,"",$N$28))</f>
        <v/>
      </c>
      <c r="AL28" s="214" t="str">
        <f>IF($O$28="нет","без дифференциации",IF($R$28=0,"",$R$28))</f>
        <v/>
      </c>
      <c r="AM28" s="214" t="str">
        <f>IF($S$28="нет","без дифференциации",IF($V$28=0,"",$V$28))</f>
        <v/>
      </c>
      <c r="AN28" s="221">
        <f>$I$28</f>
        <v>0</v>
      </c>
      <c r="AO28" s="214" t="str">
        <f>$I$28&amp;"."&amp;$M$28</f>
        <v>.</v>
      </c>
      <c r="AP28" s="100" t="str">
        <f>$I$28&amp;"."&amp;$M$28&amp;"."&amp;$Q$28</f>
        <v>..</v>
      </c>
      <c r="AQ28" s="100" t="str">
        <f>$I$28&amp;"."&amp;$M$28&amp;"."&amp;$Q$28&amp;"."&amp;$U$28</f>
        <v>...</v>
      </c>
    </row>
    <row r="29" spans="1:43" s="174" customFormat="1" ht="17.25" hidden="1" customHeight="1">
      <c r="A29" s="209"/>
      <c r="D29" s="1110"/>
      <c r="E29" s="1111"/>
      <c r="F29" s="1112"/>
      <c r="G29" s="1111"/>
      <c r="H29" s="1113"/>
      <c r="I29" s="1114"/>
      <c r="J29" s="1115"/>
      <c r="K29" s="1116"/>
      <c r="L29" s="1116"/>
      <c r="M29" s="1116"/>
      <c r="N29" s="1117"/>
      <c r="O29" s="1116"/>
      <c r="P29" s="1116"/>
      <c r="Q29" s="1116"/>
      <c r="R29" s="1118"/>
      <c r="S29" s="1116"/>
      <c r="T29" s="215"/>
      <c r="U29" s="215"/>
      <c r="V29" s="215"/>
      <c r="W29" s="216"/>
      <c r="X29" s="100"/>
      <c r="Y29" s="100"/>
      <c r="Z29" s="100"/>
      <c r="AA29" s="100"/>
      <c r="AB29" s="100"/>
      <c r="AC29" s="100"/>
      <c r="AD29" s="100"/>
      <c r="AE29" s="100"/>
      <c r="AF29" s="100"/>
      <c r="AG29" s="100"/>
      <c r="AH29" s="100"/>
      <c r="AI29" s="100"/>
      <c r="AJ29" s="100"/>
      <c r="AK29" s="100"/>
      <c r="AL29" s="100"/>
      <c r="AM29" s="100"/>
      <c r="AN29" s="100"/>
      <c r="AO29" s="100"/>
      <c r="AP29" s="100"/>
      <c r="AQ29" s="100"/>
    </row>
    <row r="30" spans="1:43" s="174" customFormat="1" ht="17.25" hidden="1" customHeight="1">
      <c r="A30" s="209"/>
      <c r="D30" s="1110"/>
      <c r="E30" s="1111"/>
      <c r="F30" s="1112"/>
      <c r="G30" s="1111"/>
      <c r="H30" s="1113"/>
      <c r="I30" s="1114"/>
      <c r="J30" s="1115"/>
      <c r="K30" s="1116"/>
      <c r="L30" s="1116"/>
      <c r="M30" s="1116"/>
      <c r="N30" s="1117"/>
      <c r="O30" s="1116"/>
      <c r="P30" s="117"/>
      <c r="Q30" s="215"/>
      <c r="R30" s="215"/>
      <c r="W30" s="216"/>
      <c r="X30" s="100"/>
      <c r="Y30" s="100"/>
      <c r="Z30" s="100"/>
      <c r="AA30" s="100"/>
      <c r="AB30" s="100"/>
      <c r="AC30" s="100"/>
      <c r="AD30" s="100"/>
      <c r="AE30" s="100"/>
      <c r="AF30" s="100"/>
      <c r="AG30" s="100"/>
      <c r="AH30" s="100"/>
      <c r="AI30" s="100"/>
      <c r="AJ30" s="100"/>
      <c r="AK30" s="100"/>
      <c r="AL30" s="100"/>
      <c r="AM30" s="100"/>
      <c r="AN30" s="100"/>
      <c r="AO30" s="100"/>
      <c r="AP30" s="100"/>
      <c r="AQ30" s="100"/>
    </row>
    <row r="31" spans="1:43" s="174" customFormat="1" ht="17.25" hidden="1" customHeight="1">
      <c r="A31" s="209"/>
      <c r="D31" s="1110"/>
      <c r="E31" s="1111"/>
      <c r="F31" s="1112"/>
      <c r="G31" s="1111"/>
      <c r="H31" s="1113"/>
      <c r="I31" s="1114"/>
      <c r="J31" s="1115"/>
      <c r="K31" s="1116"/>
      <c r="L31" s="215"/>
      <c r="M31" s="215"/>
      <c r="N31" s="215"/>
      <c r="O31" s="215"/>
      <c r="P31" s="215"/>
      <c r="Q31" s="215"/>
      <c r="R31" s="215"/>
      <c r="W31" s="216"/>
      <c r="X31" s="100"/>
      <c r="Y31" s="100"/>
      <c r="Z31" s="100"/>
      <c r="AA31" s="100"/>
      <c r="AB31" s="100"/>
      <c r="AC31" s="100"/>
      <c r="AD31" s="100"/>
      <c r="AE31" s="100"/>
      <c r="AF31" s="100"/>
      <c r="AG31" s="100"/>
      <c r="AH31" s="100"/>
      <c r="AI31" s="100"/>
      <c r="AJ31" s="100"/>
      <c r="AK31" s="100"/>
      <c r="AL31" s="100"/>
      <c r="AM31" s="100"/>
      <c r="AN31" s="100"/>
      <c r="AO31" s="100"/>
      <c r="AP31" s="100"/>
      <c r="AQ31" s="100"/>
    </row>
    <row r="32" spans="1:43" s="174" customFormat="1" ht="17.25" hidden="1" customHeight="1">
      <c r="A32" s="209"/>
      <c r="D32" s="1110"/>
      <c r="E32" s="1111"/>
      <c r="F32" s="1112"/>
      <c r="G32" s="1111"/>
      <c r="H32" s="217"/>
      <c r="I32" s="218"/>
      <c r="J32" s="218"/>
      <c r="K32" s="218"/>
      <c r="L32" s="218"/>
      <c r="M32" s="218"/>
      <c r="N32" s="218"/>
      <c r="O32" s="218"/>
      <c r="P32" s="218"/>
      <c r="Q32" s="218"/>
      <c r="R32" s="218"/>
      <c r="S32" s="219"/>
      <c r="T32" s="219"/>
      <c r="U32" s="219"/>
      <c r="V32" s="219"/>
      <c r="W32" s="220"/>
      <c r="X32" s="100"/>
      <c r="Y32" s="100"/>
      <c r="Z32" s="100"/>
      <c r="AA32" s="100"/>
      <c r="AB32" s="100"/>
      <c r="AC32" s="100"/>
      <c r="AD32" s="100"/>
      <c r="AE32" s="100"/>
      <c r="AF32" s="100"/>
      <c r="AG32" s="100"/>
      <c r="AH32" s="100"/>
      <c r="AI32" s="100"/>
      <c r="AJ32" s="100"/>
      <c r="AK32" s="100"/>
      <c r="AL32" s="100"/>
      <c r="AM32" s="100"/>
      <c r="AN32" s="100"/>
      <c r="AO32" s="100"/>
      <c r="AP32" s="100"/>
      <c r="AQ32" s="100"/>
    </row>
    <row r="33" spans="1:43" s="174" customFormat="1" ht="17.25" hidden="1" customHeight="1">
      <c r="A33" s="209"/>
      <c r="C33" s="120"/>
      <c r="D33" s="1110">
        <v>5</v>
      </c>
      <c r="E33" s="1111" t="s">
        <v>174</v>
      </c>
      <c r="F33" s="1112" t="s">
        <v>53</v>
      </c>
      <c r="G33" s="1111"/>
      <c r="H33" s="1113"/>
      <c r="I33" s="1114"/>
      <c r="J33" s="1115"/>
      <c r="K33" s="1116"/>
      <c r="L33" s="1116"/>
      <c r="M33" s="1116"/>
      <c r="N33" s="1117"/>
      <c r="O33" s="1116"/>
      <c r="P33" s="1116"/>
      <c r="Q33" s="1116"/>
      <c r="R33" s="1118"/>
      <c r="S33" s="1116"/>
      <c r="T33" s="211"/>
      <c r="U33" s="211"/>
      <c r="V33" s="212"/>
      <c r="W33" s="213"/>
      <c r="X33" s="214"/>
      <c r="Y33" s="214"/>
      <c r="Z33" s="214"/>
      <c r="AA33" s="214"/>
      <c r="AB33" s="214"/>
      <c r="AC33" s="214" t="s">
        <v>175</v>
      </c>
      <c r="AD33" s="214" t="s">
        <v>176</v>
      </c>
      <c r="AE33" s="214" t="s">
        <v>177</v>
      </c>
      <c r="AF33" s="214" t="s">
        <v>178</v>
      </c>
      <c r="AG33" s="214" t="s">
        <v>179</v>
      </c>
      <c r="AH33" s="214" t="str">
        <f>IF($E$33=0,"",$E$33)</f>
        <v>Тарифы на услуги по передаче тепловой энергии</v>
      </c>
      <c r="AI33" s="214" t="str">
        <f>IF($G$33=0,"",$G$33)</f>
        <v/>
      </c>
      <c r="AJ33" s="214" t="str">
        <f>IF($J$33=0,"",$J$33)</f>
        <v/>
      </c>
      <c r="AK33" s="214" t="str">
        <f>IF($K$33="нет","без дифференциации",IF($N$33=0,"",$N$33))</f>
        <v/>
      </c>
      <c r="AL33" s="214" t="str">
        <f>IF($O$33="нет","без дифференциации",IF($R$33=0,"",$R$33))</f>
        <v/>
      </c>
      <c r="AM33" s="214" t="str">
        <f>IF($S$33="нет","без дифференциации",IF($V$33=0,"",$V$33))</f>
        <v/>
      </c>
      <c r="AN33" s="221">
        <f>$I$33</f>
        <v>0</v>
      </c>
      <c r="AO33" s="214" t="str">
        <f>$I$33&amp;"."&amp;$M$33</f>
        <v>.</v>
      </c>
      <c r="AP33" s="100" t="str">
        <f>$I$33&amp;"."&amp;$M$33&amp;"."&amp;$Q$33</f>
        <v>..</v>
      </c>
      <c r="AQ33" s="100" t="str">
        <f>$I$33&amp;"."&amp;$M$33&amp;"."&amp;$Q$33&amp;"."&amp;$U$33</f>
        <v>...</v>
      </c>
    </row>
    <row r="34" spans="1:43" s="174" customFormat="1" ht="17.25" hidden="1" customHeight="1">
      <c r="A34" s="209"/>
      <c r="D34" s="1110"/>
      <c r="E34" s="1111"/>
      <c r="F34" s="1112"/>
      <c r="G34" s="1111"/>
      <c r="H34" s="1113"/>
      <c r="I34" s="1114"/>
      <c r="J34" s="1115"/>
      <c r="K34" s="1116"/>
      <c r="L34" s="1116"/>
      <c r="M34" s="1116"/>
      <c r="N34" s="1117"/>
      <c r="O34" s="1116"/>
      <c r="P34" s="1116"/>
      <c r="Q34" s="1116"/>
      <c r="R34" s="1118"/>
      <c r="S34" s="1116"/>
      <c r="T34" s="215"/>
      <c r="U34" s="215"/>
      <c r="V34" s="215"/>
      <c r="W34" s="216"/>
      <c r="X34" s="100"/>
      <c r="Y34" s="100"/>
      <c r="Z34" s="100"/>
      <c r="AA34" s="100"/>
      <c r="AB34" s="100"/>
      <c r="AC34" s="100"/>
      <c r="AD34" s="100"/>
      <c r="AE34" s="100"/>
      <c r="AF34" s="100"/>
      <c r="AG34" s="100"/>
      <c r="AH34" s="100"/>
      <c r="AI34" s="100"/>
      <c r="AJ34" s="100"/>
      <c r="AK34" s="100"/>
      <c r="AL34" s="100"/>
      <c r="AM34" s="100"/>
      <c r="AN34" s="100"/>
      <c r="AO34" s="100"/>
      <c r="AP34" s="100"/>
      <c r="AQ34" s="100"/>
    </row>
    <row r="35" spans="1:43" s="174" customFormat="1" ht="17.25" hidden="1" customHeight="1">
      <c r="A35" s="209"/>
      <c r="D35" s="1110"/>
      <c r="E35" s="1111"/>
      <c r="F35" s="1112"/>
      <c r="G35" s="1111"/>
      <c r="H35" s="1113"/>
      <c r="I35" s="1114"/>
      <c r="J35" s="1115"/>
      <c r="K35" s="1116"/>
      <c r="L35" s="1116"/>
      <c r="M35" s="1116"/>
      <c r="N35" s="1117"/>
      <c r="O35" s="1116"/>
      <c r="P35" s="117"/>
      <c r="Q35" s="215"/>
      <c r="R35" s="215"/>
      <c r="W35" s="216"/>
      <c r="X35" s="100"/>
      <c r="Y35" s="100"/>
      <c r="Z35" s="100"/>
      <c r="AA35" s="100"/>
      <c r="AB35" s="100"/>
      <c r="AC35" s="100"/>
      <c r="AD35" s="100"/>
      <c r="AE35" s="100"/>
      <c r="AF35" s="100"/>
      <c r="AG35" s="100"/>
      <c r="AH35" s="100"/>
      <c r="AI35" s="100"/>
      <c r="AJ35" s="100"/>
      <c r="AK35" s="100"/>
      <c r="AL35" s="100"/>
      <c r="AM35" s="100"/>
      <c r="AN35" s="100"/>
      <c r="AO35" s="100"/>
      <c r="AP35" s="100"/>
      <c r="AQ35" s="100"/>
    </row>
    <row r="36" spans="1:43" s="174" customFormat="1" ht="17.25" hidden="1" customHeight="1">
      <c r="A36" s="209"/>
      <c r="D36" s="1110"/>
      <c r="E36" s="1111"/>
      <c r="F36" s="1112"/>
      <c r="G36" s="1111"/>
      <c r="H36" s="1113"/>
      <c r="I36" s="1114"/>
      <c r="J36" s="1115"/>
      <c r="K36" s="1116"/>
      <c r="L36" s="215"/>
      <c r="M36" s="215"/>
      <c r="N36" s="215"/>
      <c r="O36" s="215"/>
      <c r="P36" s="215"/>
      <c r="Q36" s="215"/>
      <c r="R36" s="215"/>
      <c r="W36" s="216"/>
      <c r="X36" s="100"/>
      <c r="Y36" s="100"/>
      <c r="Z36" s="100"/>
      <c r="AA36" s="100"/>
      <c r="AB36" s="100"/>
      <c r="AC36" s="100"/>
      <c r="AD36" s="100"/>
      <c r="AE36" s="100"/>
      <c r="AF36" s="100"/>
      <c r="AG36" s="100"/>
      <c r="AH36" s="100"/>
      <c r="AI36" s="100"/>
      <c r="AJ36" s="100"/>
      <c r="AK36" s="100"/>
      <c r="AL36" s="100"/>
      <c r="AM36" s="100"/>
      <c r="AN36" s="100"/>
      <c r="AO36" s="100"/>
      <c r="AP36" s="100"/>
      <c r="AQ36" s="100"/>
    </row>
    <row r="37" spans="1:43" s="174" customFormat="1" ht="17.25" hidden="1" customHeight="1">
      <c r="A37" s="209"/>
      <c r="D37" s="1110"/>
      <c r="E37" s="1111"/>
      <c r="F37" s="1112"/>
      <c r="G37" s="1111"/>
      <c r="H37" s="217"/>
      <c r="I37" s="218"/>
      <c r="J37" s="218"/>
      <c r="K37" s="218"/>
      <c r="L37" s="218"/>
      <c r="M37" s="218"/>
      <c r="N37" s="218"/>
      <c r="O37" s="218"/>
      <c r="P37" s="218"/>
      <c r="Q37" s="218"/>
      <c r="R37" s="218"/>
      <c r="S37" s="219"/>
      <c r="T37" s="219"/>
      <c r="U37" s="219"/>
      <c r="V37" s="219"/>
      <c r="W37" s="220"/>
      <c r="X37" s="100"/>
      <c r="Y37" s="100"/>
      <c r="Z37" s="100"/>
      <c r="AA37" s="100"/>
      <c r="AB37" s="100"/>
      <c r="AC37" s="100"/>
      <c r="AD37" s="100"/>
      <c r="AE37" s="100"/>
      <c r="AF37" s="100"/>
      <c r="AG37" s="100"/>
      <c r="AH37" s="100"/>
      <c r="AI37" s="100"/>
      <c r="AJ37" s="100"/>
      <c r="AK37" s="100"/>
      <c r="AL37" s="100"/>
      <c r="AM37" s="100"/>
      <c r="AN37" s="100"/>
      <c r="AO37" s="100"/>
      <c r="AP37" s="100"/>
      <c r="AQ37" s="100"/>
    </row>
    <row r="38" spans="1:43" s="174" customFormat="1" ht="17.25" hidden="1" customHeight="1">
      <c r="A38" s="209"/>
      <c r="C38" s="120"/>
      <c r="D38" s="1110">
        <v>6</v>
      </c>
      <c r="E38" s="1111" t="s">
        <v>180</v>
      </c>
      <c r="F38" s="1112" t="s">
        <v>53</v>
      </c>
      <c r="G38" s="1111"/>
      <c r="H38" s="1113"/>
      <c r="I38" s="1114"/>
      <c r="J38" s="1115"/>
      <c r="K38" s="1116"/>
      <c r="L38" s="1116"/>
      <c r="M38" s="1116"/>
      <c r="N38" s="1117"/>
      <c r="O38" s="1116"/>
      <c r="P38" s="1116"/>
      <c r="Q38" s="1116"/>
      <c r="R38" s="1118"/>
      <c r="S38" s="1116"/>
      <c r="T38" s="211"/>
      <c r="U38" s="211"/>
      <c r="V38" s="212"/>
      <c r="W38" s="213"/>
      <c r="X38" s="214"/>
      <c r="Y38" s="214"/>
      <c r="Z38" s="214"/>
      <c r="AA38" s="214"/>
      <c r="AB38" s="214"/>
      <c r="AC38" s="214" t="s">
        <v>181</v>
      </c>
      <c r="AD38" s="214" t="s">
        <v>182</v>
      </c>
      <c r="AE38" s="214" t="s">
        <v>183</v>
      </c>
      <c r="AF38" s="214" t="s">
        <v>184</v>
      </c>
      <c r="AG38" s="214" t="s">
        <v>185</v>
      </c>
      <c r="AH38" s="214" t="str">
        <f>IF($E$38=0,"",$E$38)</f>
        <v>Тарифы на услуги по передаче теплоносителя</v>
      </c>
      <c r="AI38" s="214" t="str">
        <f>IF($G$38=0,"",$G$38)</f>
        <v/>
      </c>
      <c r="AJ38" s="214" t="str">
        <f>IF($J$38=0,"",$J$38)</f>
        <v/>
      </c>
      <c r="AK38" s="214" t="str">
        <f>IF($K$38="нет","без дифференциации",IF($N$38=0,"",$N$38))</f>
        <v/>
      </c>
      <c r="AL38" s="214" t="str">
        <f>IF($O$38="нет","без дифференциации",IF($R$38=0,"",$R$38))</f>
        <v/>
      </c>
      <c r="AM38" s="214" t="str">
        <f>IF($S$38="нет","без дифференциации",IF($V$38=0,"",$V$38))</f>
        <v/>
      </c>
      <c r="AN38" s="221">
        <f>$I$38</f>
        <v>0</v>
      </c>
      <c r="AO38" s="214" t="str">
        <f>$I$38&amp;"."&amp;$M$38</f>
        <v>.</v>
      </c>
      <c r="AP38" s="100" t="str">
        <f>$I$38&amp;"."&amp;$M$38&amp;"."&amp;$Q$38</f>
        <v>..</v>
      </c>
      <c r="AQ38" s="100" t="str">
        <f>$I$38&amp;"."&amp;$M$38&amp;"."&amp;$Q$38&amp;"."&amp;$U$38</f>
        <v>...</v>
      </c>
    </row>
    <row r="39" spans="1:43" s="174" customFormat="1" ht="17.25" hidden="1" customHeight="1">
      <c r="A39" s="209"/>
      <c r="D39" s="1110"/>
      <c r="E39" s="1111"/>
      <c r="F39" s="1112"/>
      <c r="G39" s="1111"/>
      <c r="H39" s="1113"/>
      <c r="I39" s="1114"/>
      <c r="J39" s="1115"/>
      <c r="K39" s="1116"/>
      <c r="L39" s="1116"/>
      <c r="M39" s="1116"/>
      <c r="N39" s="1117"/>
      <c r="O39" s="1116"/>
      <c r="P39" s="1116"/>
      <c r="Q39" s="1116"/>
      <c r="R39" s="1118"/>
      <c r="S39" s="1116"/>
      <c r="T39" s="215"/>
      <c r="U39" s="215"/>
      <c r="V39" s="215"/>
      <c r="W39" s="216"/>
      <c r="X39" s="100"/>
      <c r="Y39" s="100"/>
      <c r="Z39" s="100"/>
      <c r="AA39" s="100"/>
      <c r="AB39" s="100"/>
      <c r="AC39" s="100"/>
      <c r="AD39" s="100"/>
      <c r="AE39" s="100"/>
      <c r="AF39" s="100"/>
      <c r="AG39" s="100"/>
      <c r="AH39" s="100"/>
      <c r="AI39" s="100"/>
      <c r="AJ39" s="100"/>
      <c r="AK39" s="100"/>
      <c r="AL39" s="100"/>
      <c r="AM39" s="100"/>
      <c r="AN39" s="100"/>
      <c r="AO39" s="100"/>
      <c r="AP39" s="100"/>
      <c r="AQ39" s="100"/>
    </row>
    <row r="40" spans="1:43" s="174" customFormat="1" ht="17.25" hidden="1" customHeight="1">
      <c r="A40" s="209"/>
      <c r="D40" s="1110"/>
      <c r="E40" s="1111"/>
      <c r="F40" s="1112"/>
      <c r="G40" s="1111"/>
      <c r="H40" s="1113"/>
      <c r="I40" s="1114"/>
      <c r="J40" s="1115"/>
      <c r="K40" s="1116"/>
      <c r="L40" s="1116"/>
      <c r="M40" s="1116"/>
      <c r="N40" s="1117"/>
      <c r="O40" s="1116"/>
      <c r="P40" s="117"/>
      <c r="Q40" s="215"/>
      <c r="R40" s="215"/>
      <c r="W40" s="216"/>
      <c r="X40" s="100"/>
      <c r="Y40" s="100"/>
      <c r="Z40" s="100"/>
      <c r="AA40" s="100"/>
      <c r="AB40" s="100"/>
      <c r="AC40" s="100"/>
      <c r="AD40" s="100"/>
      <c r="AE40" s="100"/>
      <c r="AF40" s="100"/>
      <c r="AG40" s="100"/>
      <c r="AH40" s="100"/>
      <c r="AI40" s="100"/>
      <c r="AJ40" s="100"/>
      <c r="AK40" s="100"/>
      <c r="AL40" s="100"/>
      <c r="AM40" s="100"/>
      <c r="AN40" s="100"/>
      <c r="AO40" s="100"/>
      <c r="AP40" s="100"/>
      <c r="AQ40" s="100"/>
    </row>
    <row r="41" spans="1:43" s="174" customFormat="1" ht="17.25" hidden="1" customHeight="1">
      <c r="A41" s="209"/>
      <c r="C41" s="120"/>
      <c r="D41" s="1110"/>
      <c r="E41" s="1111"/>
      <c r="F41" s="1112"/>
      <c r="G41" s="1111"/>
      <c r="H41" s="1113"/>
      <c r="I41" s="1114"/>
      <c r="J41" s="1115"/>
      <c r="K41" s="1116"/>
      <c r="L41" s="215"/>
      <c r="M41" s="215"/>
      <c r="N41" s="215"/>
      <c r="O41" s="215"/>
      <c r="P41" s="215"/>
      <c r="Q41" s="215"/>
      <c r="R41" s="215"/>
      <c r="W41" s="216"/>
      <c r="Y41" s="214"/>
      <c r="Z41" s="214"/>
      <c r="AA41" s="214"/>
      <c r="AB41" s="214"/>
      <c r="AC41" s="214"/>
      <c r="AD41" s="214"/>
      <c r="AE41" s="214"/>
      <c r="AF41" s="214"/>
      <c r="AG41" s="214"/>
      <c r="AH41" s="214"/>
      <c r="AI41" s="214"/>
      <c r="AJ41" s="214"/>
      <c r="AK41" s="214"/>
      <c r="AL41" s="214"/>
      <c r="AM41" s="214"/>
      <c r="AN41" s="214"/>
      <c r="AO41" s="214"/>
      <c r="AP41" s="214"/>
      <c r="AQ41" s="214"/>
    </row>
    <row r="42" spans="1:43" s="174" customFormat="1" ht="17.25" hidden="1" customHeight="1">
      <c r="A42" s="209"/>
      <c r="D42" s="1110"/>
      <c r="E42" s="1111"/>
      <c r="F42" s="1112"/>
      <c r="G42" s="1111"/>
      <c r="H42" s="217"/>
      <c r="I42" s="218"/>
      <c r="J42" s="218"/>
      <c r="K42" s="218"/>
      <c r="L42" s="218"/>
      <c r="M42" s="218"/>
      <c r="N42" s="218"/>
      <c r="O42" s="218"/>
      <c r="P42" s="218"/>
      <c r="Q42" s="218"/>
      <c r="R42" s="218"/>
      <c r="S42" s="219"/>
      <c r="T42" s="219"/>
      <c r="U42" s="219"/>
      <c r="V42" s="219"/>
      <c r="W42" s="220"/>
      <c r="X42" s="100"/>
      <c r="Y42" s="100"/>
      <c r="Z42" s="100"/>
      <c r="AA42" s="100"/>
      <c r="AB42" s="100"/>
      <c r="AC42" s="100"/>
      <c r="AD42" s="100"/>
      <c r="AE42" s="100"/>
      <c r="AF42" s="100"/>
      <c r="AG42" s="100"/>
      <c r="AH42" s="100"/>
      <c r="AI42" s="100"/>
      <c r="AJ42" s="100"/>
      <c r="AK42" s="100"/>
      <c r="AL42" s="100"/>
      <c r="AM42" s="100"/>
      <c r="AN42" s="100"/>
      <c r="AO42" s="100"/>
      <c r="AP42" s="100"/>
      <c r="AQ42" s="100"/>
    </row>
    <row r="43" spans="1:43" s="174" customFormat="1" ht="17.25" hidden="1" customHeight="1">
      <c r="A43" s="209"/>
      <c r="C43" s="120"/>
      <c r="D43" s="1110">
        <v>7</v>
      </c>
      <c r="E43" s="1111" t="s">
        <v>186</v>
      </c>
      <c r="F43" s="1112" t="s">
        <v>53</v>
      </c>
      <c r="G43" s="1111"/>
      <c r="H43" s="1113"/>
      <c r="I43" s="1114"/>
      <c r="J43" s="1115"/>
      <c r="K43" s="1116"/>
      <c r="L43" s="1116"/>
      <c r="M43" s="1116"/>
      <c r="N43" s="1117"/>
      <c r="O43" s="1116"/>
      <c r="P43" s="1116"/>
      <c r="Q43" s="1116"/>
      <c r="R43" s="1118"/>
      <c r="S43" s="1116"/>
      <c r="T43" s="211"/>
      <c r="U43" s="211"/>
      <c r="V43" s="212"/>
      <c r="W43" s="213"/>
      <c r="X43" s="214"/>
      <c r="Y43" s="214"/>
      <c r="Z43" s="214"/>
      <c r="AA43" s="214"/>
      <c r="AB43" s="214"/>
      <c r="AC43" s="214" t="s">
        <v>187</v>
      </c>
      <c r="AD43" s="214" t="s">
        <v>188</v>
      </c>
      <c r="AE43" s="214" t="s">
        <v>189</v>
      </c>
      <c r="AF43" s="214" t="s">
        <v>190</v>
      </c>
      <c r="AG43" s="214" t="s">
        <v>191</v>
      </c>
      <c r="AH43" s="214" t="str">
        <f>IF($E$43=0,"",$E$43)</f>
        <v>Плата за услуги по поддержанию резервной тепловой мощности при отсутствии потребления тепловой энергии</v>
      </c>
      <c r="AI43" s="214" t="str">
        <f>IF($G$43=0,"",$G$43)</f>
        <v/>
      </c>
      <c r="AJ43" s="214" t="str">
        <f>IF($J$43=0,"",$J$43)</f>
        <v/>
      </c>
      <c r="AK43" s="214" t="str">
        <f>IF($K$43="нет","без дифференциации",IF($N$43=0,"",$N$43))</f>
        <v/>
      </c>
      <c r="AL43" s="214" t="str">
        <f>IF($O$43="нет","без дифференциации",IF($R$43=0,"",$R$43))</f>
        <v/>
      </c>
      <c r="AM43" s="214" t="str">
        <f>IF($S$43="нет","без дифференциации",IF($V$43=0,"",$V$43))</f>
        <v/>
      </c>
      <c r="AN43" s="221">
        <f>$I$43</f>
        <v>0</v>
      </c>
      <c r="AO43" s="214" t="str">
        <f>$I$43&amp;"."&amp;$M$43</f>
        <v>.</v>
      </c>
      <c r="AP43" s="100" t="str">
        <f>$I$43&amp;"."&amp;$M$43&amp;"."&amp;$Q$43</f>
        <v>..</v>
      </c>
      <c r="AQ43" s="100" t="str">
        <f>$I$43&amp;"."&amp;$M$43&amp;"."&amp;$Q$43&amp;"."&amp;$U$43</f>
        <v>...</v>
      </c>
    </row>
    <row r="44" spans="1:43" s="174" customFormat="1" ht="17.25" hidden="1" customHeight="1">
      <c r="A44" s="209"/>
      <c r="D44" s="1110"/>
      <c r="E44" s="1111"/>
      <c r="F44" s="1112"/>
      <c r="G44" s="1111"/>
      <c r="H44" s="1113"/>
      <c r="I44" s="1114"/>
      <c r="J44" s="1115"/>
      <c r="K44" s="1116"/>
      <c r="L44" s="1116"/>
      <c r="M44" s="1116"/>
      <c r="N44" s="1117"/>
      <c r="O44" s="1116"/>
      <c r="P44" s="1116"/>
      <c r="Q44" s="1116"/>
      <c r="R44" s="1118"/>
      <c r="S44" s="1116"/>
      <c r="T44" s="215"/>
      <c r="U44" s="215"/>
      <c r="V44" s="215"/>
      <c r="W44" s="216"/>
      <c r="X44" s="100"/>
      <c r="Y44" s="100"/>
      <c r="Z44" s="100"/>
      <c r="AA44" s="100"/>
      <c r="AB44" s="100"/>
      <c r="AC44" s="100"/>
      <c r="AD44" s="100"/>
      <c r="AE44" s="100"/>
      <c r="AF44" s="100"/>
      <c r="AG44" s="100"/>
      <c r="AH44" s="100"/>
      <c r="AI44" s="100"/>
      <c r="AJ44" s="100"/>
      <c r="AK44" s="100"/>
      <c r="AL44" s="100"/>
      <c r="AM44" s="100"/>
      <c r="AN44" s="100"/>
      <c r="AO44" s="100"/>
      <c r="AP44" s="100"/>
      <c r="AQ44" s="100"/>
    </row>
    <row r="45" spans="1:43" s="174" customFormat="1" ht="17.25" hidden="1" customHeight="1">
      <c r="A45" s="209"/>
      <c r="D45" s="1110"/>
      <c r="E45" s="1111"/>
      <c r="F45" s="1112"/>
      <c r="G45" s="1111"/>
      <c r="H45" s="1113"/>
      <c r="I45" s="1114"/>
      <c r="J45" s="1115"/>
      <c r="K45" s="1116"/>
      <c r="L45" s="1116"/>
      <c r="M45" s="1116"/>
      <c r="N45" s="1117"/>
      <c r="O45" s="1116"/>
      <c r="P45" s="117"/>
      <c r="Q45" s="215"/>
      <c r="R45" s="215"/>
      <c r="W45" s="216"/>
      <c r="X45" s="100"/>
      <c r="Y45" s="100"/>
      <c r="Z45" s="100"/>
      <c r="AA45" s="100"/>
      <c r="AB45" s="100"/>
      <c r="AC45" s="100"/>
      <c r="AD45" s="100"/>
      <c r="AE45" s="100"/>
      <c r="AF45" s="100"/>
      <c r="AG45" s="100"/>
      <c r="AH45" s="100"/>
      <c r="AI45" s="100"/>
      <c r="AJ45" s="100"/>
      <c r="AK45" s="100"/>
      <c r="AL45" s="100"/>
      <c r="AM45" s="100"/>
      <c r="AN45" s="100"/>
      <c r="AO45" s="100"/>
      <c r="AP45" s="100"/>
      <c r="AQ45" s="100"/>
    </row>
    <row r="46" spans="1:43" s="174" customFormat="1" ht="17.25" hidden="1" customHeight="1">
      <c r="A46" s="209"/>
      <c r="C46" s="120"/>
      <c r="D46" s="1110"/>
      <c r="E46" s="1111"/>
      <c r="F46" s="1112"/>
      <c r="G46" s="1111"/>
      <c r="H46" s="1113"/>
      <c r="I46" s="1114"/>
      <c r="J46" s="1115"/>
      <c r="K46" s="1116"/>
      <c r="L46" s="215"/>
      <c r="M46" s="215"/>
      <c r="N46" s="215"/>
      <c r="O46" s="215"/>
      <c r="P46" s="215"/>
      <c r="Q46" s="215"/>
      <c r="R46" s="215"/>
      <c r="W46" s="216"/>
      <c r="Y46" s="214"/>
      <c r="Z46" s="214"/>
      <c r="AA46" s="214"/>
      <c r="AB46" s="214"/>
      <c r="AC46" s="214"/>
      <c r="AD46" s="214"/>
      <c r="AE46" s="214"/>
      <c r="AF46" s="214"/>
      <c r="AG46" s="214"/>
      <c r="AH46" s="214"/>
      <c r="AI46" s="214"/>
      <c r="AJ46" s="214"/>
      <c r="AK46" s="214"/>
      <c r="AL46" s="214"/>
      <c r="AM46" s="214"/>
      <c r="AN46" s="214"/>
      <c r="AO46" s="214"/>
      <c r="AP46" s="214"/>
      <c r="AQ46" s="214"/>
    </row>
    <row r="47" spans="1:43" s="174" customFormat="1" ht="17.25" hidden="1" customHeight="1">
      <c r="A47" s="209"/>
      <c r="D47" s="1110"/>
      <c r="E47" s="1111"/>
      <c r="F47" s="1112"/>
      <c r="G47" s="1111"/>
      <c r="H47" s="217"/>
      <c r="I47" s="218"/>
      <c r="J47" s="218"/>
      <c r="K47" s="218"/>
      <c r="L47" s="218"/>
      <c r="M47" s="218"/>
      <c r="N47" s="218"/>
      <c r="O47" s="218"/>
      <c r="P47" s="218"/>
      <c r="Q47" s="218"/>
      <c r="R47" s="218"/>
      <c r="S47" s="219"/>
      <c r="T47" s="219"/>
      <c r="U47" s="219"/>
      <c r="V47" s="219"/>
      <c r="W47" s="220"/>
      <c r="X47" s="100"/>
      <c r="Y47" s="100"/>
      <c r="Z47" s="100"/>
      <c r="AA47" s="100"/>
      <c r="AB47" s="100"/>
      <c r="AC47" s="100"/>
      <c r="AD47" s="100"/>
      <c r="AE47" s="100"/>
      <c r="AF47" s="100"/>
      <c r="AG47" s="100"/>
      <c r="AH47" s="100"/>
      <c r="AI47" s="100"/>
      <c r="AJ47" s="100"/>
      <c r="AK47" s="100"/>
      <c r="AL47" s="100"/>
      <c r="AM47" s="100"/>
      <c r="AN47" s="100"/>
      <c r="AO47" s="100"/>
      <c r="AP47" s="100"/>
      <c r="AQ47" s="100"/>
    </row>
    <row r="48" spans="1:43" s="174" customFormat="1" ht="17.25" hidden="1" customHeight="1">
      <c r="A48" s="209"/>
      <c r="C48" s="120"/>
      <c r="D48" s="1110">
        <v>8</v>
      </c>
      <c r="E48" s="1111" t="s">
        <v>192</v>
      </c>
      <c r="F48" s="1112" t="s">
        <v>53</v>
      </c>
      <c r="G48" s="1111"/>
      <c r="H48" s="1113"/>
      <c r="I48" s="1114"/>
      <c r="J48" s="1115"/>
      <c r="K48" s="1116"/>
      <c r="L48" s="1116"/>
      <c r="M48" s="1116"/>
      <c r="N48" s="1117"/>
      <c r="O48" s="1116"/>
      <c r="P48" s="1116"/>
      <c r="Q48" s="1116"/>
      <c r="R48" s="1118"/>
      <c r="S48" s="1116"/>
      <c r="T48" s="211"/>
      <c r="U48" s="211"/>
      <c r="V48" s="212"/>
      <c r="W48" s="213"/>
      <c r="X48" s="214"/>
      <c r="Y48" s="214"/>
      <c r="Z48" s="214"/>
      <c r="AA48" s="214"/>
      <c r="AB48" s="214"/>
      <c r="AC48" s="214" t="s">
        <v>193</v>
      </c>
      <c r="AD48" s="214" t="s">
        <v>194</v>
      </c>
      <c r="AE48" s="214" t="s">
        <v>195</v>
      </c>
      <c r="AF48" s="214" t="s">
        <v>196</v>
      </c>
      <c r="AG48" s="214" t="s">
        <v>197</v>
      </c>
      <c r="AH48" s="214" t="str">
        <f>IF($E$48=0,"",$E$48)</f>
        <v>Плата за подключение (технологическое присоединение) к системе теплоснабжения</v>
      </c>
      <c r="AI48" s="214" t="str">
        <f>IF($G$48=0,"",$G$48)</f>
        <v/>
      </c>
      <c r="AJ48" s="214" t="str">
        <f>IF($J$48=0,"",$J$48)</f>
        <v/>
      </c>
      <c r="AK48" s="214" t="str">
        <f>IF($K$48="нет","без дифференциации",IF($N$48=0,"",$N$48))</f>
        <v/>
      </c>
      <c r="AL48" s="214" t="str">
        <f>IF($O$48="нет","без дифференциации",IF($R$48=0,"",$R$48))</f>
        <v/>
      </c>
      <c r="AM48" s="214" t="str">
        <f>IF($S$48="нет","без дифференциации",IF($V$48=0,"",$V$48))</f>
        <v/>
      </c>
      <c r="AN48" s="221">
        <f>$I$48</f>
        <v>0</v>
      </c>
      <c r="AO48" s="214" t="str">
        <f>$I$48&amp;"."&amp;$M$48</f>
        <v>.</v>
      </c>
      <c r="AP48" s="100" t="str">
        <f>$I$48&amp;"."&amp;$M$48&amp;"."&amp;$Q$48</f>
        <v>..</v>
      </c>
      <c r="AQ48" s="100" t="str">
        <f>$I$48&amp;"."&amp;$M$48&amp;"."&amp;$Q$48&amp;"."&amp;$U$48</f>
        <v>...</v>
      </c>
    </row>
    <row r="49" spans="1:43" s="174" customFormat="1" ht="17.25" hidden="1" customHeight="1">
      <c r="A49" s="209"/>
      <c r="D49" s="1110"/>
      <c r="E49" s="1111"/>
      <c r="F49" s="1112"/>
      <c r="G49" s="1111"/>
      <c r="H49" s="1113"/>
      <c r="I49" s="1114"/>
      <c r="J49" s="1115"/>
      <c r="K49" s="1116"/>
      <c r="L49" s="1116"/>
      <c r="M49" s="1116"/>
      <c r="N49" s="1117"/>
      <c r="O49" s="1116"/>
      <c r="P49" s="1116"/>
      <c r="Q49" s="1116"/>
      <c r="R49" s="1118"/>
      <c r="S49" s="1116"/>
      <c r="T49" s="215"/>
      <c r="U49" s="215"/>
      <c r="V49" s="215"/>
      <c r="W49" s="216"/>
      <c r="X49" s="100"/>
      <c r="Y49" s="100"/>
      <c r="Z49" s="100"/>
      <c r="AA49" s="100"/>
      <c r="AB49" s="100"/>
      <c r="AC49" s="100"/>
      <c r="AD49" s="100"/>
      <c r="AE49" s="100"/>
      <c r="AF49" s="100"/>
      <c r="AG49" s="100"/>
      <c r="AH49" s="100"/>
      <c r="AI49" s="100"/>
      <c r="AJ49" s="100"/>
      <c r="AK49" s="100"/>
      <c r="AL49" s="100"/>
      <c r="AM49" s="100"/>
      <c r="AN49" s="100"/>
      <c r="AO49" s="100"/>
      <c r="AP49" s="100"/>
      <c r="AQ49" s="100"/>
    </row>
    <row r="50" spans="1:43" s="174" customFormat="1" ht="17.25" hidden="1" customHeight="1">
      <c r="A50" s="209"/>
      <c r="D50" s="1110"/>
      <c r="E50" s="1111"/>
      <c r="F50" s="1112"/>
      <c r="G50" s="1111"/>
      <c r="H50" s="1113"/>
      <c r="I50" s="1114"/>
      <c r="J50" s="1115"/>
      <c r="K50" s="1116"/>
      <c r="L50" s="1116"/>
      <c r="M50" s="1116"/>
      <c r="N50" s="1117"/>
      <c r="O50" s="1116"/>
      <c r="P50" s="117"/>
      <c r="Q50" s="215"/>
      <c r="R50" s="215"/>
      <c r="W50" s="216"/>
      <c r="X50" s="100"/>
      <c r="Y50" s="100"/>
      <c r="Z50" s="100"/>
      <c r="AA50" s="100"/>
      <c r="AB50" s="100"/>
      <c r="AC50" s="100"/>
      <c r="AD50" s="100"/>
      <c r="AE50" s="100"/>
      <c r="AF50" s="100"/>
      <c r="AG50" s="100"/>
      <c r="AH50" s="100"/>
      <c r="AI50" s="100"/>
      <c r="AJ50" s="100"/>
      <c r="AK50" s="100"/>
      <c r="AL50" s="100"/>
      <c r="AM50" s="100"/>
      <c r="AN50" s="100"/>
      <c r="AO50" s="100"/>
      <c r="AP50" s="100"/>
      <c r="AQ50" s="100"/>
    </row>
    <row r="51" spans="1:43" s="174" customFormat="1" ht="17.25" hidden="1" customHeight="1">
      <c r="A51" s="209"/>
      <c r="C51" s="120"/>
      <c r="D51" s="1110"/>
      <c r="E51" s="1111"/>
      <c r="F51" s="1112"/>
      <c r="G51" s="1111"/>
      <c r="H51" s="1113"/>
      <c r="I51" s="1114"/>
      <c r="J51" s="1115"/>
      <c r="K51" s="1116"/>
      <c r="L51" s="215"/>
      <c r="M51" s="215"/>
      <c r="N51" s="215"/>
      <c r="O51" s="215"/>
      <c r="P51" s="215"/>
      <c r="Q51" s="215"/>
      <c r="R51" s="215"/>
      <c r="W51" s="216"/>
      <c r="Y51" s="214"/>
      <c r="Z51" s="214"/>
      <c r="AA51" s="214"/>
      <c r="AB51" s="214"/>
      <c r="AC51" s="214"/>
      <c r="AD51" s="214"/>
      <c r="AE51" s="214"/>
      <c r="AF51" s="214"/>
      <c r="AG51" s="214"/>
      <c r="AH51" s="214"/>
      <c r="AI51" s="214"/>
      <c r="AJ51" s="214"/>
      <c r="AK51" s="214"/>
      <c r="AL51" s="214"/>
      <c r="AM51" s="214"/>
      <c r="AN51" s="214"/>
      <c r="AO51" s="214"/>
      <c r="AP51" s="214"/>
      <c r="AQ51" s="214"/>
    </row>
    <row r="52" spans="1:43" s="174" customFormat="1" ht="17.25" hidden="1" customHeight="1">
      <c r="A52" s="209"/>
      <c r="D52" s="1110"/>
      <c r="E52" s="1111"/>
      <c r="F52" s="1112"/>
      <c r="G52" s="1111"/>
      <c r="H52" s="217"/>
      <c r="I52" s="218"/>
      <c r="J52" s="218"/>
      <c r="K52" s="218"/>
      <c r="L52" s="218"/>
      <c r="M52" s="218"/>
      <c r="N52" s="218"/>
      <c r="O52" s="218"/>
      <c r="P52" s="218"/>
      <c r="Q52" s="218"/>
      <c r="R52" s="218"/>
      <c r="S52" s="219"/>
      <c r="T52" s="219"/>
      <c r="U52" s="219"/>
      <c r="V52" s="219"/>
      <c r="W52" s="220"/>
      <c r="X52" s="100"/>
      <c r="Y52" s="100"/>
      <c r="Z52" s="100"/>
      <c r="AA52" s="100"/>
      <c r="AB52" s="100"/>
      <c r="AC52" s="100"/>
      <c r="AD52" s="100"/>
      <c r="AE52" s="100"/>
      <c r="AF52" s="100"/>
      <c r="AG52" s="100"/>
      <c r="AH52" s="100"/>
      <c r="AI52" s="100"/>
      <c r="AJ52" s="100"/>
      <c r="AK52" s="100"/>
      <c r="AL52" s="100"/>
      <c r="AM52" s="100"/>
      <c r="AN52" s="100"/>
      <c r="AO52" s="100"/>
      <c r="AP52" s="100"/>
      <c r="AQ52" s="100"/>
    </row>
    <row r="53" spans="1:43" ht="11.25" hidden="1" customHeight="1"/>
    <row r="54" spans="1:43" ht="11.25" hidden="1" customHeight="1">
      <c r="E54" s="1119" t="s">
        <v>198</v>
      </c>
      <c r="F54" s="1119"/>
      <c r="G54" s="1119"/>
      <c r="H54" s="1119"/>
      <c r="I54" s="1119"/>
      <c r="J54" s="1119"/>
      <c r="K54" s="1119"/>
      <c r="L54" s="1119"/>
      <c r="M54" s="1119"/>
      <c r="N54" s="1119"/>
      <c r="O54" s="1119"/>
      <c r="P54" s="1119"/>
      <c r="Q54" s="1119"/>
      <c r="R54" s="1119"/>
      <c r="S54" s="1119"/>
      <c r="T54" s="1119"/>
      <c r="U54" s="1119"/>
      <c r="V54" s="1119"/>
      <c r="W54" s="1119"/>
    </row>
    <row r="55" spans="1:43" ht="36.75" hidden="1" customHeight="1">
      <c r="E55" s="1120" t="s">
        <v>199</v>
      </c>
      <c r="F55" s="1120"/>
      <c r="G55" s="1120"/>
      <c r="H55" s="1120"/>
      <c r="I55" s="1120"/>
      <c r="J55" s="1120"/>
      <c r="K55" s="1120"/>
      <c r="L55" s="1120"/>
      <c r="M55" s="1120"/>
      <c r="N55" s="1120"/>
      <c r="O55" s="1120"/>
      <c r="P55" s="1120"/>
      <c r="Q55" s="1120"/>
      <c r="R55" s="1120"/>
      <c r="S55" s="1120"/>
      <c r="T55" s="1120"/>
      <c r="U55" s="1120"/>
      <c r="V55" s="1120"/>
      <c r="W55" s="1120"/>
    </row>
    <row r="56" spans="1:43" ht="28.5" hidden="1" customHeight="1">
      <c r="E56" s="1120" t="s">
        <v>200</v>
      </c>
      <c r="F56" s="1120"/>
      <c r="G56" s="1120"/>
      <c r="H56" s="1120"/>
      <c r="I56" s="1120"/>
      <c r="J56" s="1120"/>
      <c r="K56" s="1120"/>
      <c r="L56" s="1120"/>
      <c r="M56" s="1120"/>
      <c r="N56" s="1120"/>
      <c r="O56" s="1120"/>
      <c r="P56" s="1120"/>
      <c r="Q56" s="1120"/>
      <c r="R56" s="1120"/>
      <c r="S56" s="1120"/>
      <c r="T56" s="1120"/>
      <c r="U56" s="1120"/>
      <c r="V56" s="1120"/>
      <c r="W56" s="1120"/>
    </row>
    <row r="57" spans="1:43" ht="27" hidden="1" customHeight="1">
      <c r="E57" s="1120" t="s">
        <v>201</v>
      </c>
      <c r="F57" s="1120"/>
      <c r="G57" s="1120"/>
      <c r="H57" s="1120"/>
      <c r="I57" s="1120"/>
      <c r="J57" s="1120"/>
      <c r="K57" s="1120"/>
      <c r="L57" s="1120"/>
      <c r="M57" s="1120"/>
      <c r="N57" s="1120"/>
      <c r="O57" s="1120"/>
      <c r="P57" s="1120"/>
      <c r="Q57" s="1120"/>
      <c r="R57" s="1120"/>
      <c r="S57" s="1120"/>
      <c r="T57" s="1120"/>
      <c r="U57" s="1120"/>
      <c r="V57" s="1120"/>
      <c r="W57" s="1120"/>
    </row>
    <row r="58" spans="1:43" ht="17.25" hidden="1" customHeight="1">
      <c r="E58" s="1120" t="s">
        <v>202</v>
      </c>
      <c r="F58" s="1120"/>
      <c r="G58" s="1120"/>
      <c r="H58" s="1120"/>
      <c r="I58" s="1120"/>
      <c r="J58" s="1120"/>
      <c r="K58" s="1120"/>
      <c r="L58" s="1120"/>
      <c r="M58" s="1120"/>
      <c r="N58" s="1120"/>
      <c r="O58" s="1120"/>
      <c r="P58" s="1120"/>
      <c r="Q58" s="1120"/>
      <c r="R58" s="1120"/>
      <c r="S58" s="1120"/>
      <c r="T58" s="1120"/>
      <c r="U58" s="1120"/>
      <c r="V58" s="1120"/>
      <c r="W58" s="1120"/>
    </row>
    <row r="59" spans="1:43" ht="15" hidden="1" customHeight="1">
      <c r="E59" s="222"/>
      <c r="F59" s="222"/>
      <c r="G59" s="223"/>
      <c r="H59" s="223"/>
      <c r="I59" s="223"/>
      <c r="J59" s="223"/>
      <c r="K59" s="223"/>
      <c r="L59" s="223"/>
      <c r="M59" s="223"/>
      <c r="N59" s="223"/>
      <c r="O59" s="223"/>
      <c r="P59" s="223"/>
      <c r="Q59" s="223"/>
      <c r="R59" s="223"/>
      <c r="S59" s="223"/>
      <c r="T59" s="223"/>
      <c r="U59" s="223"/>
      <c r="V59" s="223"/>
      <c r="W59" s="223"/>
    </row>
    <row r="60" spans="1:43" ht="15" hidden="1" customHeight="1">
      <c r="E60" s="1119" t="s">
        <v>203</v>
      </c>
      <c r="F60" s="1119"/>
      <c r="G60" s="1119"/>
      <c r="H60" s="1119"/>
      <c r="I60" s="1119"/>
      <c r="J60" s="1119"/>
      <c r="K60" s="1119"/>
      <c r="L60" s="1119"/>
      <c r="M60" s="1119"/>
      <c r="N60" s="1119"/>
      <c r="O60" s="1119"/>
      <c r="P60" s="1119"/>
      <c r="Q60" s="1119"/>
      <c r="R60" s="1119"/>
      <c r="S60" s="1119"/>
      <c r="T60" s="1119"/>
      <c r="U60" s="1119"/>
      <c r="V60" s="1119"/>
      <c r="W60" s="1119"/>
    </row>
    <row r="61" spans="1:43" ht="17.25" hidden="1" customHeight="1">
      <c r="E61" s="1120" t="s">
        <v>204</v>
      </c>
      <c r="F61" s="1120"/>
      <c r="G61" s="1120"/>
      <c r="H61" s="1120"/>
      <c r="I61" s="1120"/>
      <c r="J61" s="1120"/>
      <c r="K61" s="1120"/>
      <c r="L61" s="1120"/>
      <c r="M61" s="1120"/>
      <c r="N61" s="1120"/>
      <c r="O61" s="1120"/>
      <c r="P61" s="1120"/>
      <c r="Q61" s="1120"/>
      <c r="R61" s="1120"/>
      <c r="S61" s="1120"/>
      <c r="T61" s="1120"/>
      <c r="U61" s="1120"/>
      <c r="V61" s="1120"/>
      <c r="W61" s="1120"/>
    </row>
    <row r="62" spans="1:43" ht="17.25" hidden="1" customHeight="1">
      <c r="E62" s="1120" t="s">
        <v>205</v>
      </c>
      <c r="F62" s="1120"/>
      <c r="G62" s="1120"/>
      <c r="H62" s="1120"/>
      <c r="I62" s="1120"/>
      <c r="J62" s="1120"/>
      <c r="K62" s="1120"/>
      <c r="L62" s="1120"/>
      <c r="M62" s="1120"/>
      <c r="N62" s="1120"/>
      <c r="O62" s="1120"/>
      <c r="P62" s="1120"/>
      <c r="Q62" s="1120"/>
      <c r="R62" s="1120"/>
      <c r="S62" s="1120"/>
      <c r="T62" s="1120"/>
      <c r="U62" s="1120"/>
      <c r="V62" s="1120"/>
      <c r="W62" s="1120"/>
    </row>
    <row r="63" spans="1:43" s="174" customFormat="1" ht="11.25" hidden="1" customHeight="1">
      <c r="A63" s="121"/>
      <c r="B63" s="121"/>
      <c r="Y63" s="100"/>
      <c r="Z63" s="100"/>
      <c r="AA63" s="100"/>
      <c r="AB63" s="100"/>
      <c r="AC63" s="100"/>
      <c r="AD63" s="100"/>
      <c r="AE63" s="100"/>
      <c r="AF63" s="100"/>
      <c r="AG63" s="100"/>
      <c r="AH63" s="100"/>
      <c r="AI63" s="100"/>
      <c r="AJ63" s="100"/>
      <c r="AK63" s="100"/>
      <c r="AL63" s="100"/>
      <c r="AM63" s="100"/>
      <c r="AN63" s="100"/>
      <c r="AO63" s="100"/>
      <c r="AP63" s="100"/>
      <c r="AQ63" s="100"/>
    </row>
    <row r="64" spans="1:43" s="174" customFormat="1" ht="17.25" hidden="1" customHeight="1">
      <c r="A64" s="209"/>
      <c r="C64" s="120"/>
      <c r="D64" s="1110">
        <v>1</v>
      </c>
      <c r="E64" s="1111" t="s">
        <v>206</v>
      </c>
      <c r="F64" s="1112" t="s">
        <v>53</v>
      </c>
      <c r="G64" s="1111"/>
      <c r="H64" s="1113"/>
      <c r="I64" s="1114"/>
      <c r="J64" s="1115"/>
      <c r="K64" s="1116"/>
      <c r="L64" s="1116"/>
      <c r="M64" s="1116"/>
      <c r="N64" s="1117"/>
      <c r="O64" s="1116"/>
      <c r="P64" s="1116"/>
      <c r="Q64" s="1116"/>
      <c r="R64" s="1118"/>
      <c r="S64" s="1116"/>
      <c r="T64" s="211"/>
      <c r="U64" s="211"/>
      <c r="V64" s="212"/>
      <c r="W64" s="213"/>
      <c r="Y64" s="214"/>
      <c r="Z64" s="214"/>
      <c r="AA64" s="214"/>
      <c r="AB64" s="214"/>
      <c r="AC64" s="214" t="s">
        <v>207</v>
      </c>
      <c r="AD64" s="214" t="s">
        <v>208</v>
      </c>
      <c r="AE64" s="214" t="s">
        <v>209</v>
      </c>
      <c r="AF64" s="214" t="s">
        <v>210</v>
      </c>
      <c r="AG64" s="214"/>
      <c r="AH64" s="214" t="str">
        <f>IF($E$64=0,"",$E$64)</f>
        <v>Тариф на питьевую воду (питьевое водоснабжение)</v>
      </c>
      <c r="AI64" s="214" t="str">
        <f>IF($G$64=0,"",$G$64)</f>
        <v/>
      </c>
      <c r="AJ64" s="214" t="str">
        <f>IF($J$64=0,"",$J$64)</f>
        <v/>
      </c>
      <c r="AK64" s="214" t="str">
        <f>IF($K$64="нет","без дифференциации",IF($N$64=0,"",$N$64))</f>
        <v/>
      </c>
      <c r="AL64" s="214" t="str">
        <f>IF($O$64="нет","без дифференциации",IF($R$64=0,"",$R$64))</f>
        <v/>
      </c>
      <c r="AM64" s="214" t="str">
        <f>IF($S$64="нет","без дифференциации",IF($V$64=0,"",$V$64))</f>
        <v/>
      </c>
      <c r="AN64" s="214">
        <f>$I$64</f>
        <v>0</v>
      </c>
      <c r="AO64" s="214" t="str">
        <f>$I$64&amp;"."&amp;$M$64</f>
        <v>.</v>
      </c>
      <c r="AP64" s="214" t="str">
        <f>$I$64&amp;"."&amp;$M$64&amp;"."&amp;$Q$64</f>
        <v>..</v>
      </c>
      <c r="AQ64" s="214" t="str">
        <f>$I$64&amp;"."&amp;$M$64&amp;"."&amp;$Q$64&amp;"."&amp;$U$64</f>
        <v>...</v>
      </c>
    </row>
    <row r="65" spans="1:43" s="174" customFormat="1" ht="17.25" hidden="1" customHeight="1">
      <c r="A65" s="209"/>
      <c r="D65" s="1110"/>
      <c r="E65" s="1111"/>
      <c r="F65" s="1112"/>
      <c r="G65" s="1111"/>
      <c r="H65" s="1113"/>
      <c r="I65" s="1114"/>
      <c r="J65" s="1115"/>
      <c r="K65" s="1116"/>
      <c r="L65" s="1116"/>
      <c r="M65" s="1116"/>
      <c r="N65" s="1117"/>
      <c r="O65" s="1116"/>
      <c r="P65" s="1116"/>
      <c r="Q65" s="1116"/>
      <c r="R65" s="1118"/>
      <c r="S65" s="1116"/>
      <c r="T65" s="215"/>
      <c r="U65" s="215"/>
      <c r="V65" s="215"/>
      <c r="W65" s="216"/>
      <c r="Y65" s="100"/>
      <c r="Z65" s="100"/>
      <c r="AA65" s="100"/>
      <c r="AB65" s="100"/>
      <c r="AC65" s="100"/>
      <c r="AD65" s="100"/>
      <c r="AE65" s="100"/>
      <c r="AF65" s="100"/>
      <c r="AG65" s="100"/>
      <c r="AH65" s="100"/>
      <c r="AI65" s="100"/>
      <c r="AJ65" s="100"/>
      <c r="AK65" s="100"/>
      <c r="AL65" s="100"/>
      <c r="AM65" s="100"/>
      <c r="AN65" s="100"/>
      <c r="AO65" s="100"/>
      <c r="AP65" s="100"/>
      <c r="AQ65" s="100"/>
    </row>
    <row r="66" spans="1:43" s="174" customFormat="1" ht="17.25" hidden="1" customHeight="1">
      <c r="A66" s="209"/>
      <c r="C66" s="120"/>
      <c r="D66" s="1110"/>
      <c r="E66" s="1111"/>
      <c r="F66" s="1112"/>
      <c r="G66" s="1111"/>
      <c r="H66" s="1113"/>
      <c r="I66" s="1114"/>
      <c r="J66" s="1115"/>
      <c r="K66" s="1116"/>
      <c r="L66" s="1116"/>
      <c r="M66" s="1116"/>
      <c r="N66" s="1117"/>
      <c r="O66" s="1116"/>
      <c r="P66" s="117"/>
      <c r="Q66" s="215"/>
      <c r="R66" s="215"/>
      <c r="W66" s="216"/>
      <c r="Y66" s="214"/>
      <c r="Z66" s="214"/>
      <c r="AA66" s="214"/>
      <c r="AB66" s="214"/>
      <c r="AC66" s="214"/>
      <c r="AD66" s="214"/>
      <c r="AE66" s="214"/>
      <c r="AF66" s="214"/>
      <c r="AG66" s="214"/>
      <c r="AH66" s="214"/>
      <c r="AI66" s="214"/>
      <c r="AJ66" s="214"/>
      <c r="AK66" s="214"/>
      <c r="AL66" s="214"/>
      <c r="AM66" s="214"/>
      <c r="AN66" s="214"/>
      <c r="AO66" s="214"/>
      <c r="AP66" s="214"/>
      <c r="AQ66" s="214"/>
    </row>
    <row r="67" spans="1:43" s="174" customFormat="1" ht="17.25" hidden="1" customHeight="1">
      <c r="A67" s="209"/>
      <c r="D67" s="1110"/>
      <c r="E67" s="1111"/>
      <c r="F67" s="1112"/>
      <c r="G67" s="1111"/>
      <c r="H67" s="1113"/>
      <c r="I67" s="1114"/>
      <c r="J67" s="1115"/>
      <c r="K67" s="1116"/>
      <c r="L67" s="215"/>
      <c r="M67" s="215"/>
      <c r="N67" s="215"/>
      <c r="O67" s="215"/>
      <c r="P67" s="215"/>
      <c r="Q67" s="215"/>
      <c r="R67" s="215"/>
      <c r="W67" s="216"/>
      <c r="Y67" s="100"/>
      <c r="Z67" s="100"/>
      <c r="AA67" s="100"/>
      <c r="AB67" s="100"/>
      <c r="AC67" s="100"/>
      <c r="AD67" s="100"/>
      <c r="AE67" s="100"/>
      <c r="AF67" s="100"/>
      <c r="AG67" s="100"/>
      <c r="AH67" s="100"/>
      <c r="AI67" s="100"/>
      <c r="AJ67" s="100"/>
      <c r="AK67" s="100"/>
      <c r="AL67" s="100"/>
      <c r="AM67" s="100"/>
      <c r="AN67" s="100"/>
      <c r="AO67" s="100"/>
      <c r="AP67" s="100"/>
      <c r="AQ67" s="100"/>
    </row>
    <row r="68" spans="1:43" s="174" customFormat="1" ht="17.25" hidden="1" customHeight="1">
      <c r="A68" s="209"/>
      <c r="D68" s="1110"/>
      <c r="E68" s="1111"/>
      <c r="F68" s="1112"/>
      <c r="G68" s="1111"/>
      <c r="H68" s="217"/>
      <c r="I68" s="218"/>
      <c r="J68" s="218"/>
      <c r="K68" s="218"/>
      <c r="L68" s="218"/>
      <c r="M68" s="218"/>
      <c r="N68" s="218"/>
      <c r="O68" s="218"/>
      <c r="P68" s="218"/>
      <c r="Q68" s="218"/>
      <c r="R68" s="218"/>
      <c r="S68" s="219"/>
      <c r="T68" s="219"/>
      <c r="U68" s="219"/>
      <c r="V68" s="219"/>
      <c r="W68" s="220"/>
      <c r="Y68" s="100"/>
      <c r="Z68" s="100"/>
      <c r="AA68" s="100"/>
      <c r="AB68" s="100"/>
      <c r="AC68" s="100"/>
      <c r="AD68" s="100"/>
      <c r="AE68" s="100"/>
      <c r="AF68" s="100"/>
      <c r="AG68" s="100"/>
      <c r="AH68" s="100"/>
      <c r="AI68" s="100"/>
      <c r="AJ68" s="100"/>
      <c r="AK68" s="100"/>
      <c r="AL68" s="100"/>
      <c r="AM68" s="100"/>
      <c r="AN68" s="100"/>
      <c r="AO68" s="100"/>
      <c r="AP68" s="100"/>
      <c r="AQ68" s="100"/>
    </row>
    <row r="69" spans="1:43" s="174" customFormat="1" ht="17.25" hidden="1" customHeight="1">
      <c r="A69" s="209"/>
      <c r="C69" s="120"/>
      <c r="D69" s="1110">
        <v>2</v>
      </c>
      <c r="E69" s="1111" t="s">
        <v>211</v>
      </c>
      <c r="F69" s="1112" t="s">
        <v>53</v>
      </c>
      <c r="G69" s="1111"/>
      <c r="H69" s="1113"/>
      <c r="I69" s="1114"/>
      <c r="J69" s="1115"/>
      <c r="K69" s="1116"/>
      <c r="L69" s="1116"/>
      <c r="M69" s="1116"/>
      <c r="N69" s="1117"/>
      <c r="O69" s="1116"/>
      <c r="P69" s="1116"/>
      <c r="Q69" s="1116"/>
      <c r="R69" s="1118"/>
      <c r="S69" s="1116"/>
      <c r="T69" s="211"/>
      <c r="U69" s="211"/>
      <c r="V69" s="212"/>
      <c r="W69" s="213"/>
      <c r="X69" s="214"/>
      <c r="Y69" s="214"/>
      <c r="Z69" s="214"/>
      <c r="AA69" s="214"/>
      <c r="AB69" s="214"/>
      <c r="AC69" s="214" t="s">
        <v>212</v>
      </c>
      <c r="AD69" s="214" t="s">
        <v>213</v>
      </c>
      <c r="AE69" s="214" t="s">
        <v>214</v>
      </c>
      <c r="AF69" s="214" t="s">
        <v>215</v>
      </c>
      <c r="AG69" s="214"/>
      <c r="AH69" s="214" t="str">
        <f>IF($E$69=0,"",$E$69)</f>
        <v>Тариф на техническую воду</v>
      </c>
      <c r="AI69" s="214" t="str">
        <f>IF($G$69=0,"",$G$69)</f>
        <v/>
      </c>
      <c r="AJ69" s="214" t="str">
        <f>IF($J$69=0,"",$J$69)</f>
        <v/>
      </c>
      <c r="AK69" s="214" t="str">
        <f>IF($K$69="нет","без дифференциации",IF($N$69=0,"",$N$69))</f>
        <v/>
      </c>
      <c r="AL69" s="214" t="str">
        <f>IF($O$69="нет","без дифференциации",IF($R$69=0,"",$R$69))</f>
        <v/>
      </c>
      <c r="AM69" s="214" t="str">
        <f>IF($S$69="нет","без дифференциации",IF($V$69=0,"",$V$69))</f>
        <v/>
      </c>
      <c r="AN69" s="221">
        <f>$I$69</f>
        <v>0</v>
      </c>
      <c r="AO69" s="214" t="str">
        <f>$I$69&amp;"."&amp;$M$69</f>
        <v>.</v>
      </c>
      <c r="AP69" s="100" t="str">
        <f>$I$69&amp;"."&amp;$M$69&amp;"."&amp;$Q$69</f>
        <v>..</v>
      </c>
      <c r="AQ69" s="100" t="str">
        <f>$I$69&amp;"."&amp;$M$69&amp;"."&amp;$Q$69&amp;"."&amp;$U$69</f>
        <v>...</v>
      </c>
    </row>
    <row r="70" spans="1:43" s="174" customFormat="1" ht="17.25" hidden="1" customHeight="1">
      <c r="A70" s="209"/>
      <c r="D70" s="1110"/>
      <c r="E70" s="1111"/>
      <c r="F70" s="1112"/>
      <c r="G70" s="1111"/>
      <c r="H70" s="1113"/>
      <c r="I70" s="1114"/>
      <c r="J70" s="1115"/>
      <c r="K70" s="1116"/>
      <c r="L70" s="1116"/>
      <c r="M70" s="1116"/>
      <c r="N70" s="1117"/>
      <c r="O70" s="1116"/>
      <c r="P70" s="1116"/>
      <c r="Q70" s="1116"/>
      <c r="R70" s="1118"/>
      <c r="S70" s="1116"/>
      <c r="T70" s="215"/>
      <c r="U70" s="215"/>
      <c r="V70" s="215"/>
      <c r="W70" s="216"/>
      <c r="X70" s="100"/>
      <c r="Y70" s="100"/>
      <c r="Z70" s="100"/>
      <c r="AA70" s="100"/>
      <c r="AB70" s="100"/>
      <c r="AC70" s="100"/>
      <c r="AD70" s="100"/>
      <c r="AE70" s="100"/>
      <c r="AF70" s="100"/>
      <c r="AG70" s="100"/>
      <c r="AH70" s="100"/>
      <c r="AI70" s="100"/>
      <c r="AJ70" s="100"/>
      <c r="AK70" s="100"/>
      <c r="AL70" s="100"/>
      <c r="AM70" s="100"/>
      <c r="AN70" s="100"/>
      <c r="AO70" s="100"/>
      <c r="AP70" s="100"/>
      <c r="AQ70" s="100"/>
    </row>
    <row r="71" spans="1:43" s="174" customFormat="1" ht="17.25" hidden="1" customHeight="1">
      <c r="A71" s="209"/>
      <c r="D71" s="1110"/>
      <c r="E71" s="1111"/>
      <c r="F71" s="1112"/>
      <c r="G71" s="1111"/>
      <c r="H71" s="1113"/>
      <c r="I71" s="1114"/>
      <c r="J71" s="1115"/>
      <c r="K71" s="1116"/>
      <c r="L71" s="1116"/>
      <c r="M71" s="1116"/>
      <c r="N71" s="1117"/>
      <c r="O71" s="1116"/>
      <c r="P71" s="117"/>
      <c r="Q71" s="215"/>
      <c r="R71" s="215"/>
      <c r="W71" s="216"/>
      <c r="X71" s="100"/>
      <c r="Y71" s="100"/>
      <c r="Z71" s="100"/>
      <c r="AA71" s="100"/>
      <c r="AB71" s="100"/>
      <c r="AC71" s="100"/>
      <c r="AD71" s="100"/>
      <c r="AE71" s="100"/>
      <c r="AF71" s="100"/>
      <c r="AG71" s="100"/>
      <c r="AH71" s="100"/>
      <c r="AI71" s="100"/>
      <c r="AJ71" s="100"/>
      <c r="AK71" s="100"/>
      <c r="AL71" s="100"/>
      <c r="AM71" s="100"/>
      <c r="AN71" s="100"/>
      <c r="AO71" s="100"/>
      <c r="AP71" s="100"/>
      <c r="AQ71" s="100"/>
    </row>
    <row r="72" spans="1:43" s="174" customFormat="1" ht="17.25" hidden="1" customHeight="1">
      <c r="A72" s="209"/>
      <c r="D72" s="1110"/>
      <c r="E72" s="1111"/>
      <c r="F72" s="1112"/>
      <c r="G72" s="1111"/>
      <c r="H72" s="1113"/>
      <c r="I72" s="1114"/>
      <c r="J72" s="1115"/>
      <c r="K72" s="1116"/>
      <c r="L72" s="215"/>
      <c r="M72" s="215"/>
      <c r="N72" s="215"/>
      <c r="O72" s="215"/>
      <c r="P72" s="215"/>
      <c r="Q72" s="215"/>
      <c r="R72" s="215"/>
      <c r="W72" s="216"/>
      <c r="X72" s="100"/>
      <c r="Y72" s="100"/>
      <c r="Z72" s="100"/>
      <c r="AA72" s="100"/>
      <c r="AB72" s="100"/>
      <c r="AC72" s="100"/>
      <c r="AD72" s="100"/>
      <c r="AE72" s="100"/>
      <c r="AF72" s="100"/>
      <c r="AG72" s="100"/>
      <c r="AH72" s="100"/>
      <c r="AI72" s="100"/>
      <c r="AJ72" s="100"/>
      <c r="AK72" s="100"/>
      <c r="AL72" s="100"/>
      <c r="AM72" s="100"/>
      <c r="AN72" s="100"/>
      <c r="AO72" s="100"/>
      <c r="AP72" s="100"/>
      <c r="AQ72" s="100"/>
    </row>
    <row r="73" spans="1:43" s="174" customFormat="1" ht="17.25" hidden="1" customHeight="1">
      <c r="A73" s="209"/>
      <c r="D73" s="1110"/>
      <c r="E73" s="1111"/>
      <c r="F73" s="1112"/>
      <c r="G73" s="1111"/>
      <c r="H73" s="217"/>
      <c r="I73" s="218"/>
      <c r="J73" s="218"/>
      <c r="K73" s="218"/>
      <c r="L73" s="218"/>
      <c r="M73" s="218"/>
      <c r="N73" s="218"/>
      <c r="O73" s="218"/>
      <c r="P73" s="218"/>
      <c r="Q73" s="218"/>
      <c r="R73" s="218"/>
      <c r="S73" s="219"/>
      <c r="T73" s="219"/>
      <c r="U73" s="219"/>
      <c r="V73" s="219"/>
      <c r="W73" s="220"/>
      <c r="X73" s="100"/>
      <c r="Y73" s="100"/>
      <c r="Z73" s="100"/>
      <c r="AA73" s="100"/>
      <c r="AB73" s="100"/>
      <c r="AC73" s="100"/>
      <c r="AD73" s="100"/>
      <c r="AE73" s="100"/>
      <c r="AF73" s="100"/>
      <c r="AG73" s="100"/>
      <c r="AH73" s="100"/>
      <c r="AI73" s="100"/>
      <c r="AJ73" s="100"/>
      <c r="AK73" s="100"/>
      <c r="AL73" s="100"/>
      <c r="AM73" s="100"/>
      <c r="AN73" s="100"/>
      <c r="AO73" s="100"/>
      <c r="AP73" s="100"/>
      <c r="AQ73" s="100"/>
    </row>
    <row r="74" spans="1:43" s="174" customFormat="1" ht="17.25" hidden="1" customHeight="1">
      <c r="A74" s="209"/>
      <c r="C74" s="120"/>
      <c r="D74" s="1110">
        <v>3</v>
      </c>
      <c r="E74" s="1111" t="s">
        <v>216</v>
      </c>
      <c r="F74" s="1112" t="s">
        <v>53</v>
      </c>
      <c r="G74" s="1111"/>
      <c r="H74" s="1113"/>
      <c r="I74" s="1114"/>
      <c r="J74" s="1115"/>
      <c r="K74" s="1116"/>
      <c r="L74" s="1116"/>
      <c r="M74" s="1116"/>
      <c r="N74" s="1117"/>
      <c r="O74" s="1116"/>
      <c r="P74" s="1116"/>
      <c r="Q74" s="1116"/>
      <c r="R74" s="1118"/>
      <c r="S74" s="1116"/>
      <c r="T74" s="211"/>
      <c r="U74" s="211"/>
      <c r="V74" s="212"/>
      <c r="W74" s="213"/>
      <c r="X74" s="214"/>
      <c r="Y74" s="214"/>
      <c r="Z74" s="214"/>
      <c r="AA74" s="214"/>
      <c r="AB74" s="214"/>
      <c r="AC74" s="214" t="s">
        <v>217</v>
      </c>
      <c r="AD74" s="214" t="s">
        <v>218</v>
      </c>
      <c r="AE74" s="214" t="s">
        <v>219</v>
      </c>
      <c r="AF74" s="214" t="s">
        <v>220</v>
      </c>
      <c r="AG74" s="214"/>
      <c r="AH74" s="214" t="str">
        <f>IF($E$74=0,"",$E$74)</f>
        <v>Тариф на транспортировку воды</v>
      </c>
      <c r="AI74" s="214" t="str">
        <f>IF($G$74=0,"",$G$74)</f>
        <v/>
      </c>
      <c r="AJ74" s="214" t="str">
        <f>IF($J$74=0,"",$J$74)</f>
        <v/>
      </c>
      <c r="AK74" s="214" t="str">
        <f>IF($K$74="нет","без дифференциации",IF($N$74=0,"",$N$74))</f>
        <v/>
      </c>
      <c r="AL74" s="214" t="str">
        <f>IF($O$74="нет","без дифференциации",IF($R$74=0,"",$R$74))</f>
        <v/>
      </c>
      <c r="AM74" s="214" t="str">
        <f>IF($S$74="нет","без дифференциации",IF($V$74=0,"",$V$74))</f>
        <v/>
      </c>
      <c r="AN74" s="221">
        <f>$I$74</f>
        <v>0</v>
      </c>
      <c r="AO74" s="214" t="str">
        <f>$I$74&amp;"."&amp;$M$74</f>
        <v>.</v>
      </c>
      <c r="AP74" s="100" t="str">
        <f>$I$74&amp;"."&amp;$M$74&amp;"."&amp;$Q$74</f>
        <v>..</v>
      </c>
      <c r="AQ74" s="100" t="str">
        <f>$I$74&amp;"."&amp;$M$74&amp;"."&amp;$Q$74&amp;"."&amp;$U$74</f>
        <v>...</v>
      </c>
    </row>
    <row r="75" spans="1:43" s="174" customFormat="1" ht="17.25" hidden="1" customHeight="1">
      <c r="A75" s="209"/>
      <c r="D75" s="1110"/>
      <c r="E75" s="1111"/>
      <c r="F75" s="1112"/>
      <c r="G75" s="1111"/>
      <c r="H75" s="1113"/>
      <c r="I75" s="1114"/>
      <c r="J75" s="1115"/>
      <c r="K75" s="1116"/>
      <c r="L75" s="1116"/>
      <c r="M75" s="1116"/>
      <c r="N75" s="1117"/>
      <c r="O75" s="1116"/>
      <c r="P75" s="1116"/>
      <c r="Q75" s="1116"/>
      <c r="R75" s="1118"/>
      <c r="S75" s="1116"/>
      <c r="T75" s="215"/>
      <c r="U75" s="215"/>
      <c r="V75" s="215"/>
      <c r="W75" s="216"/>
      <c r="X75" s="100"/>
      <c r="Y75" s="100"/>
      <c r="Z75" s="100"/>
      <c r="AA75" s="100"/>
      <c r="AB75" s="100"/>
      <c r="AC75" s="100"/>
      <c r="AD75" s="100"/>
      <c r="AE75" s="100"/>
      <c r="AF75" s="100"/>
      <c r="AG75" s="100"/>
      <c r="AH75" s="100"/>
      <c r="AI75" s="100"/>
      <c r="AJ75" s="100"/>
      <c r="AK75" s="100"/>
      <c r="AL75" s="100"/>
      <c r="AM75" s="100"/>
      <c r="AN75" s="100"/>
      <c r="AO75" s="100"/>
      <c r="AP75" s="100"/>
      <c r="AQ75" s="100"/>
    </row>
    <row r="76" spans="1:43" s="174" customFormat="1" ht="17.25" hidden="1" customHeight="1">
      <c r="A76" s="209"/>
      <c r="D76" s="1110"/>
      <c r="E76" s="1111"/>
      <c r="F76" s="1112"/>
      <c r="G76" s="1111"/>
      <c r="H76" s="1113"/>
      <c r="I76" s="1114"/>
      <c r="J76" s="1115"/>
      <c r="K76" s="1116"/>
      <c r="L76" s="1116"/>
      <c r="M76" s="1116"/>
      <c r="N76" s="1117"/>
      <c r="O76" s="1116"/>
      <c r="P76" s="117"/>
      <c r="Q76" s="215"/>
      <c r="R76" s="215"/>
      <c r="W76" s="216"/>
      <c r="X76" s="100"/>
      <c r="Y76" s="100"/>
      <c r="Z76" s="100"/>
      <c r="AA76" s="100"/>
      <c r="AB76" s="100"/>
      <c r="AC76" s="100"/>
      <c r="AD76" s="100"/>
      <c r="AE76" s="100"/>
      <c r="AF76" s="100"/>
      <c r="AG76" s="100"/>
      <c r="AH76" s="100"/>
      <c r="AI76" s="100"/>
      <c r="AJ76" s="100"/>
      <c r="AK76" s="100"/>
      <c r="AL76" s="100"/>
      <c r="AM76" s="100"/>
      <c r="AN76" s="100"/>
      <c r="AO76" s="100"/>
      <c r="AP76" s="100"/>
      <c r="AQ76" s="100"/>
    </row>
    <row r="77" spans="1:43" s="174" customFormat="1" ht="17.25" hidden="1" customHeight="1">
      <c r="A77" s="209"/>
      <c r="D77" s="1110"/>
      <c r="E77" s="1111"/>
      <c r="F77" s="1112"/>
      <c r="G77" s="1111"/>
      <c r="H77" s="1113"/>
      <c r="I77" s="1114"/>
      <c r="J77" s="1115"/>
      <c r="K77" s="1116"/>
      <c r="L77" s="215"/>
      <c r="M77" s="215"/>
      <c r="N77" s="215"/>
      <c r="O77" s="215"/>
      <c r="P77" s="215"/>
      <c r="Q77" s="215"/>
      <c r="R77" s="215"/>
      <c r="W77" s="216"/>
      <c r="X77" s="100"/>
      <c r="Y77" s="100"/>
      <c r="Z77" s="100"/>
      <c r="AA77" s="100"/>
      <c r="AB77" s="100"/>
      <c r="AC77" s="100"/>
      <c r="AD77" s="100"/>
      <c r="AE77" s="100"/>
      <c r="AF77" s="100"/>
      <c r="AG77" s="100"/>
      <c r="AH77" s="100"/>
      <c r="AI77" s="100"/>
      <c r="AJ77" s="100"/>
      <c r="AK77" s="100"/>
      <c r="AL77" s="100"/>
      <c r="AM77" s="100"/>
      <c r="AN77" s="100"/>
      <c r="AO77" s="100"/>
      <c r="AP77" s="100"/>
      <c r="AQ77" s="100"/>
    </row>
    <row r="78" spans="1:43" s="174" customFormat="1" ht="17.25" hidden="1" customHeight="1">
      <c r="A78" s="209"/>
      <c r="D78" s="1110"/>
      <c r="E78" s="1111"/>
      <c r="F78" s="1112"/>
      <c r="G78" s="1111"/>
      <c r="H78" s="217"/>
      <c r="I78" s="218"/>
      <c r="J78" s="218"/>
      <c r="K78" s="218"/>
      <c r="L78" s="218"/>
      <c r="M78" s="218"/>
      <c r="N78" s="218"/>
      <c r="O78" s="218"/>
      <c r="P78" s="218"/>
      <c r="Q78" s="218"/>
      <c r="R78" s="218"/>
      <c r="S78" s="219"/>
      <c r="T78" s="219"/>
      <c r="U78" s="219"/>
      <c r="V78" s="219"/>
      <c r="W78" s="220"/>
      <c r="X78" s="100"/>
      <c r="Y78" s="100"/>
      <c r="Z78" s="100"/>
      <c r="AA78" s="100"/>
      <c r="AB78" s="100"/>
      <c r="AC78" s="100"/>
      <c r="AD78" s="100"/>
      <c r="AE78" s="100"/>
      <c r="AF78" s="100"/>
      <c r="AG78" s="100"/>
      <c r="AH78" s="100"/>
      <c r="AI78" s="100"/>
      <c r="AJ78" s="100"/>
      <c r="AK78" s="100"/>
      <c r="AL78" s="100"/>
      <c r="AM78" s="100"/>
      <c r="AN78" s="100"/>
      <c r="AO78" s="100"/>
      <c r="AP78" s="100"/>
      <c r="AQ78" s="100"/>
    </row>
    <row r="79" spans="1:43" s="174" customFormat="1" ht="17.25" hidden="1" customHeight="1">
      <c r="A79" s="209"/>
      <c r="C79" s="120"/>
      <c r="D79" s="1110">
        <v>4</v>
      </c>
      <c r="E79" s="1111" t="s">
        <v>221</v>
      </c>
      <c r="F79" s="1112" t="s">
        <v>53</v>
      </c>
      <c r="G79" s="1111"/>
      <c r="H79" s="1113"/>
      <c r="I79" s="1114"/>
      <c r="J79" s="1115"/>
      <c r="K79" s="1116"/>
      <c r="L79" s="1116"/>
      <c r="M79" s="1116"/>
      <c r="N79" s="1117"/>
      <c r="O79" s="1116"/>
      <c r="P79" s="1116"/>
      <c r="Q79" s="1116"/>
      <c r="R79" s="1118"/>
      <c r="S79" s="1116"/>
      <c r="T79" s="211"/>
      <c r="U79" s="211"/>
      <c r="V79" s="212"/>
      <c r="W79" s="213"/>
      <c r="X79" s="214"/>
      <c r="Y79" s="214"/>
      <c r="Z79" s="214"/>
      <c r="AA79" s="214"/>
      <c r="AB79" s="214"/>
      <c r="AC79" s="214" t="s">
        <v>222</v>
      </c>
      <c r="AD79" s="214" t="s">
        <v>223</v>
      </c>
      <c r="AE79" s="214" t="s">
        <v>224</v>
      </c>
      <c r="AF79" s="214" t="s">
        <v>225</v>
      </c>
      <c r="AG79" s="214"/>
      <c r="AH79" s="214" t="str">
        <f>IF($E$79=0,"",$E$79)</f>
        <v>Тариф на подвоз воды</v>
      </c>
      <c r="AI79" s="214" t="str">
        <f>IF($G$79=0,"",$G$79)</f>
        <v/>
      </c>
      <c r="AJ79" s="214" t="str">
        <f>IF($J$79=0,"",$J$79)</f>
        <v/>
      </c>
      <c r="AK79" s="214" t="str">
        <f>IF($K$79="нет","без дифференциации",IF($N$79=0,"",$N$79))</f>
        <v/>
      </c>
      <c r="AL79" s="214" t="str">
        <f>IF($O$79="нет","без дифференциации",IF($R$79=0,"",$R$79))</f>
        <v/>
      </c>
      <c r="AM79" s="214" t="str">
        <f>IF($S$79="нет","без дифференциации",IF($V$79=0,"",$V$79))</f>
        <v/>
      </c>
      <c r="AN79" s="221">
        <f>$I$79</f>
        <v>0</v>
      </c>
      <c r="AO79" s="214" t="str">
        <f>$I$79&amp;"."&amp;$M$79</f>
        <v>.</v>
      </c>
      <c r="AP79" s="100" t="str">
        <f>$I$79&amp;"."&amp;$M$79&amp;"."&amp;$Q$79</f>
        <v>..</v>
      </c>
      <c r="AQ79" s="100" t="str">
        <f>$I$79&amp;"."&amp;$M$79&amp;"."&amp;$Q$79&amp;"."&amp;$U$79</f>
        <v>...</v>
      </c>
    </row>
    <row r="80" spans="1:43" s="174" customFormat="1" ht="17.25" hidden="1" customHeight="1">
      <c r="A80" s="209"/>
      <c r="D80" s="1110"/>
      <c r="E80" s="1111"/>
      <c r="F80" s="1112"/>
      <c r="G80" s="1111"/>
      <c r="H80" s="1113"/>
      <c r="I80" s="1114"/>
      <c r="J80" s="1115"/>
      <c r="K80" s="1116"/>
      <c r="L80" s="1116"/>
      <c r="M80" s="1116"/>
      <c r="N80" s="1117"/>
      <c r="O80" s="1116"/>
      <c r="P80" s="1116"/>
      <c r="Q80" s="1116"/>
      <c r="R80" s="1118"/>
      <c r="S80" s="1116"/>
      <c r="T80" s="215"/>
      <c r="U80" s="215"/>
      <c r="V80" s="215"/>
      <c r="W80" s="216"/>
      <c r="X80" s="100"/>
      <c r="Y80" s="100"/>
      <c r="Z80" s="100"/>
      <c r="AA80" s="100"/>
      <c r="AB80" s="100"/>
      <c r="AC80" s="100"/>
      <c r="AD80" s="100"/>
      <c r="AE80" s="100"/>
      <c r="AF80" s="100"/>
      <c r="AG80" s="100"/>
      <c r="AH80" s="100"/>
      <c r="AI80" s="100"/>
      <c r="AJ80" s="100"/>
      <c r="AK80" s="100"/>
      <c r="AL80" s="100"/>
      <c r="AM80" s="100"/>
      <c r="AN80" s="100"/>
      <c r="AO80" s="100"/>
      <c r="AP80" s="100"/>
      <c r="AQ80" s="100"/>
    </row>
    <row r="81" spans="1:43" s="174" customFormat="1" ht="17.25" hidden="1" customHeight="1">
      <c r="A81" s="209"/>
      <c r="D81" s="1110"/>
      <c r="E81" s="1111"/>
      <c r="F81" s="1112"/>
      <c r="G81" s="1111"/>
      <c r="H81" s="1113"/>
      <c r="I81" s="1114"/>
      <c r="J81" s="1115"/>
      <c r="K81" s="1116"/>
      <c r="L81" s="1116"/>
      <c r="M81" s="1116"/>
      <c r="N81" s="1117"/>
      <c r="O81" s="1116"/>
      <c r="P81" s="117"/>
      <c r="Q81" s="215"/>
      <c r="R81" s="215"/>
      <c r="W81" s="216"/>
      <c r="X81" s="100"/>
      <c r="Y81" s="100"/>
      <c r="Z81" s="100"/>
      <c r="AA81" s="100"/>
      <c r="AB81" s="100"/>
      <c r="AC81" s="100"/>
      <c r="AD81" s="100"/>
      <c r="AE81" s="100"/>
      <c r="AF81" s="100"/>
      <c r="AG81" s="100"/>
      <c r="AH81" s="100"/>
      <c r="AI81" s="100"/>
      <c r="AJ81" s="100"/>
      <c r="AK81" s="100"/>
      <c r="AL81" s="100"/>
      <c r="AM81" s="100"/>
      <c r="AN81" s="100"/>
      <c r="AO81" s="100"/>
      <c r="AP81" s="100"/>
      <c r="AQ81" s="100"/>
    </row>
    <row r="82" spans="1:43" s="174" customFormat="1" ht="17.25" hidden="1" customHeight="1">
      <c r="A82" s="209"/>
      <c r="D82" s="1110"/>
      <c r="E82" s="1111"/>
      <c r="F82" s="1112"/>
      <c r="G82" s="1111"/>
      <c r="H82" s="1113"/>
      <c r="I82" s="1114"/>
      <c r="J82" s="1115"/>
      <c r="K82" s="1116"/>
      <c r="L82" s="215"/>
      <c r="M82" s="215"/>
      <c r="N82" s="215"/>
      <c r="O82" s="215"/>
      <c r="P82" s="215"/>
      <c r="Q82" s="215"/>
      <c r="R82" s="215"/>
      <c r="W82" s="216"/>
      <c r="X82" s="100"/>
      <c r="Y82" s="100"/>
      <c r="Z82" s="100"/>
      <c r="AA82" s="100"/>
      <c r="AB82" s="100"/>
      <c r="AC82" s="100"/>
      <c r="AD82" s="100"/>
      <c r="AE82" s="100"/>
      <c r="AF82" s="100"/>
      <c r="AG82" s="100"/>
      <c r="AH82" s="100"/>
      <c r="AI82" s="100"/>
      <c r="AJ82" s="100"/>
      <c r="AK82" s="100"/>
      <c r="AL82" s="100"/>
      <c r="AM82" s="100"/>
      <c r="AN82" s="100"/>
      <c r="AO82" s="100"/>
      <c r="AP82" s="100"/>
      <c r="AQ82" s="100"/>
    </row>
    <row r="83" spans="1:43" s="174" customFormat="1" ht="17.25" hidden="1" customHeight="1">
      <c r="A83" s="209"/>
      <c r="D83" s="1110"/>
      <c r="E83" s="1111"/>
      <c r="F83" s="1112"/>
      <c r="G83" s="1111"/>
      <c r="H83" s="217"/>
      <c r="I83" s="218"/>
      <c r="J83" s="218"/>
      <c r="K83" s="218"/>
      <c r="L83" s="218"/>
      <c r="M83" s="218"/>
      <c r="N83" s="218"/>
      <c r="O83" s="218"/>
      <c r="P83" s="218"/>
      <c r="Q83" s="218"/>
      <c r="R83" s="218"/>
      <c r="S83" s="219"/>
      <c r="T83" s="219"/>
      <c r="U83" s="219"/>
      <c r="V83" s="219"/>
      <c r="W83" s="220"/>
      <c r="X83" s="100"/>
      <c r="Y83" s="100"/>
      <c r="Z83" s="100"/>
      <c r="AA83" s="100"/>
      <c r="AB83" s="100"/>
      <c r="AC83" s="100"/>
      <c r="AD83" s="100"/>
      <c r="AE83" s="100"/>
      <c r="AF83" s="100"/>
      <c r="AG83" s="100"/>
      <c r="AH83" s="100"/>
      <c r="AI83" s="100"/>
      <c r="AJ83" s="100"/>
      <c r="AK83" s="100"/>
      <c r="AL83" s="100"/>
      <c r="AM83" s="100"/>
      <c r="AN83" s="100"/>
      <c r="AO83" s="100"/>
      <c r="AP83" s="100"/>
      <c r="AQ83" s="100"/>
    </row>
    <row r="84" spans="1:43" s="174" customFormat="1" ht="17.25" hidden="1" customHeight="1">
      <c r="A84" s="209"/>
      <c r="C84" s="120"/>
      <c r="D84" s="1110">
        <v>5</v>
      </c>
      <c r="E84" s="1111" t="s">
        <v>226</v>
      </c>
      <c r="F84" s="1112" t="s">
        <v>53</v>
      </c>
      <c r="G84" s="1111"/>
      <c r="H84" s="1113"/>
      <c r="I84" s="1114"/>
      <c r="J84" s="1115"/>
      <c r="K84" s="1116"/>
      <c r="L84" s="1116"/>
      <c r="M84" s="1116"/>
      <c r="N84" s="1117"/>
      <c r="O84" s="1116"/>
      <c r="P84" s="1116"/>
      <c r="Q84" s="1116"/>
      <c r="R84" s="1118"/>
      <c r="S84" s="1116"/>
      <c r="T84" s="211"/>
      <c r="U84" s="211"/>
      <c r="V84" s="212"/>
      <c r="W84" s="213"/>
      <c r="X84" s="214"/>
      <c r="Y84" s="214"/>
      <c r="Z84" s="214"/>
      <c r="AA84" s="214"/>
      <c r="AB84" s="214"/>
      <c r="AC84" s="214" t="s">
        <v>227</v>
      </c>
      <c r="AD84" s="214" t="s">
        <v>228</v>
      </c>
      <c r="AE84" s="214" t="s">
        <v>229</v>
      </c>
      <c r="AF84" s="214" t="s">
        <v>230</v>
      </c>
      <c r="AG84" s="214"/>
      <c r="AH84" s="214" t="str">
        <f>IF($E$84=0,"",$E$84)</f>
        <v>Тариф на подключение (технологическое присоединение) к централизованной системе холодного водоснабжения</v>
      </c>
      <c r="AI84" s="214" t="str">
        <f>IF($G$84=0,"",$G$84)</f>
        <v/>
      </c>
      <c r="AJ84" s="214" t="str">
        <f>IF($J$84=0,"",$J$84)</f>
        <v/>
      </c>
      <c r="AK84" s="214" t="str">
        <f>IF($K$84="нет","без дифференциации",IF($N$84=0,"",$N$84))</f>
        <v/>
      </c>
      <c r="AL84" s="214" t="str">
        <f>IF($O$84="нет","без дифференциации",IF($R$84=0,"",$R$84))</f>
        <v/>
      </c>
      <c r="AM84" s="214" t="str">
        <f>IF($S$84="нет","без дифференциации",IF($V$84=0,"",$V$84))</f>
        <v/>
      </c>
      <c r="AN84" s="221">
        <f>$I$84</f>
        <v>0</v>
      </c>
      <c r="AO84" s="214" t="str">
        <f>$I$84&amp;"."&amp;$M$84</f>
        <v>.</v>
      </c>
      <c r="AP84" s="100" t="str">
        <f>$I$84&amp;"."&amp;$M$84&amp;"."&amp;$Q$84</f>
        <v>..</v>
      </c>
      <c r="AQ84" s="100" t="str">
        <f>$I$84&amp;"."&amp;$M$84&amp;"."&amp;$Q$84&amp;"."&amp;$U$84</f>
        <v>...</v>
      </c>
    </row>
    <row r="85" spans="1:43" s="174" customFormat="1" ht="17.25" hidden="1" customHeight="1">
      <c r="A85" s="209"/>
      <c r="D85" s="1110"/>
      <c r="E85" s="1111"/>
      <c r="F85" s="1112"/>
      <c r="G85" s="1111"/>
      <c r="H85" s="1113"/>
      <c r="I85" s="1114"/>
      <c r="J85" s="1115"/>
      <c r="K85" s="1116"/>
      <c r="L85" s="1116"/>
      <c r="M85" s="1116"/>
      <c r="N85" s="1117"/>
      <c r="O85" s="1116"/>
      <c r="P85" s="1116"/>
      <c r="Q85" s="1116"/>
      <c r="R85" s="1118"/>
      <c r="S85" s="1116"/>
      <c r="T85" s="215"/>
      <c r="U85" s="215"/>
      <c r="V85" s="215"/>
      <c r="W85" s="216"/>
      <c r="X85" s="100"/>
      <c r="Y85" s="100"/>
      <c r="Z85" s="100"/>
      <c r="AA85" s="100"/>
      <c r="AB85" s="100"/>
      <c r="AC85" s="100"/>
      <c r="AD85" s="100"/>
      <c r="AE85" s="100"/>
      <c r="AF85" s="100"/>
      <c r="AG85" s="100"/>
      <c r="AH85" s="100"/>
      <c r="AI85" s="100"/>
      <c r="AJ85" s="100"/>
      <c r="AK85" s="100"/>
      <c r="AL85" s="100"/>
      <c r="AM85" s="100"/>
      <c r="AN85" s="100"/>
      <c r="AO85" s="100"/>
      <c r="AP85" s="100"/>
      <c r="AQ85" s="100"/>
    </row>
    <row r="86" spans="1:43" s="174" customFormat="1" ht="17.25" hidden="1" customHeight="1">
      <c r="A86" s="209"/>
      <c r="D86" s="1110"/>
      <c r="E86" s="1111"/>
      <c r="F86" s="1112"/>
      <c r="G86" s="1111"/>
      <c r="H86" s="1113"/>
      <c r="I86" s="1114"/>
      <c r="J86" s="1115"/>
      <c r="K86" s="1116"/>
      <c r="L86" s="1116"/>
      <c r="M86" s="1116"/>
      <c r="N86" s="1117"/>
      <c r="O86" s="1116"/>
      <c r="P86" s="117"/>
      <c r="Q86" s="215"/>
      <c r="R86" s="215"/>
      <c r="W86" s="216"/>
      <c r="X86" s="100"/>
      <c r="Y86" s="100"/>
      <c r="Z86" s="100"/>
      <c r="AA86" s="100"/>
      <c r="AB86" s="100"/>
      <c r="AC86" s="100"/>
      <c r="AD86" s="100"/>
      <c r="AE86" s="100"/>
      <c r="AF86" s="100"/>
      <c r="AG86" s="100"/>
      <c r="AH86" s="100"/>
      <c r="AI86" s="100"/>
      <c r="AJ86" s="100"/>
      <c r="AK86" s="100"/>
      <c r="AL86" s="100"/>
      <c r="AM86" s="100"/>
      <c r="AN86" s="100"/>
      <c r="AO86" s="100"/>
      <c r="AP86" s="100"/>
      <c r="AQ86" s="100"/>
    </row>
    <row r="87" spans="1:43" s="174" customFormat="1" ht="17.25" hidden="1" customHeight="1">
      <c r="A87" s="209"/>
      <c r="D87" s="1110"/>
      <c r="E87" s="1111"/>
      <c r="F87" s="1112"/>
      <c r="G87" s="1111"/>
      <c r="H87" s="1113"/>
      <c r="I87" s="1114"/>
      <c r="J87" s="1115"/>
      <c r="K87" s="1116"/>
      <c r="L87" s="215"/>
      <c r="M87" s="215"/>
      <c r="N87" s="215"/>
      <c r="O87" s="215"/>
      <c r="P87" s="215"/>
      <c r="Q87" s="215"/>
      <c r="R87" s="215"/>
      <c r="W87" s="216"/>
      <c r="X87" s="100"/>
      <c r="Y87" s="100"/>
      <c r="Z87" s="100"/>
      <c r="AA87" s="100"/>
      <c r="AB87" s="100"/>
      <c r="AC87" s="100"/>
      <c r="AD87" s="100"/>
      <c r="AE87" s="100"/>
      <c r="AF87" s="100"/>
      <c r="AG87" s="100"/>
      <c r="AH87" s="100"/>
      <c r="AI87" s="100"/>
      <c r="AJ87" s="100"/>
      <c r="AK87" s="100"/>
      <c r="AL87" s="100"/>
      <c r="AM87" s="100"/>
      <c r="AN87" s="100"/>
      <c r="AO87" s="100"/>
      <c r="AP87" s="100"/>
      <c r="AQ87" s="100"/>
    </row>
    <row r="88" spans="1:43" s="174" customFormat="1" ht="17.25" hidden="1" customHeight="1">
      <c r="A88" s="209"/>
      <c r="D88" s="1110"/>
      <c r="E88" s="1111"/>
      <c r="F88" s="1112"/>
      <c r="G88" s="1111"/>
      <c r="H88" s="217"/>
      <c r="I88" s="218"/>
      <c r="J88" s="218"/>
      <c r="K88" s="218"/>
      <c r="L88" s="218"/>
      <c r="M88" s="218"/>
      <c r="N88" s="218"/>
      <c r="O88" s="218"/>
      <c r="P88" s="218"/>
      <c r="Q88" s="218"/>
      <c r="R88" s="218"/>
      <c r="S88" s="219"/>
      <c r="T88" s="219"/>
      <c r="U88" s="219"/>
      <c r="V88" s="219"/>
      <c r="W88" s="220"/>
      <c r="X88" s="100"/>
      <c r="Y88" s="100"/>
      <c r="Z88" s="100"/>
      <c r="AA88" s="100"/>
      <c r="AB88" s="100"/>
      <c r="AC88" s="100"/>
      <c r="AD88" s="100"/>
      <c r="AE88" s="100"/>
      <c r="AF88" s="100"/>
      <c r="AG88" s="100"/>
      <c r="AH88" s="100"/>
      <c r="AI88" s="100"/>
      <c r="AJ88" s="100"/>
      <c r="AK88" s="100"/>
      <c r="AL88" s="100"/>
      <c r="AM88" s="100"/>
      <c r="AN88" s="100"/>
      <c r="AO88" s="100"/>
      <c r="AP88" s="100"/>
      <c r="AQ88" s="100"/>
    </row>
    <row r="89" spans="1:43" s="174" customFormat="1" ht="11.25" hidden="1" customHeight="1">
      <c r="A89" s="121"/>
      <c r="B89" s="121"/>
      <c r="Y89" s="100"/>
      <c r="Z89" s="100"/>
      <c r="AA89" s="100"/>
      <c r="AB89" s="100"/>
      <c r="AC89" s="100"/>
      <c r="AD89" s="100"/>
      <c r="AE89" s="100"/>
      <c r="AF89" s="100"/>
      <c r="AG89" s="100"/>
      <c r="AH89" s="100"/>
      <c r="AI89" s="100"/>
      <c r="AJ89" s="100"/>
      <c r="AK89" s="100"/>
      <c r="AL89" s="100"/>
      <c r="AM89" s="100"/>
      <c r="AN89" s="100"/>
      <c r="AO89" s="100"/>
      <c r="AP89" s="100"/>
      <c r="AQ89" s="100"/>
    </row>
    <row r="90" spans="1:43" s="174" customFormat="1" ht="17.25" hidden="1" customHeight="1">
      <c r="A90" s="209"/>
      <c r="C90" s="120"/>
      <c r="D90" s="1110">
        <v>1</v>
      </c>
      <c r="E90" s="1111" t="s">
        <v>231</v>
      </c>
      <c r="F90" s="1112" t="s">
        <v>53</v>
      </c>
      <c r="G90" s="1111"/>
      <c r="H90" s="1113"/>
      <c r="I90" s="1114"/>
      <c r="J90" s="1115"/>
      <c r="K90" s="1116"/>
      <c r="L90" s="1116"/>
      <c r="M90" s="1116"/>
      <c r="N90" s="1117"/>
      <c r="O90" s="1116"/>
      <c r="P90" s="1116"/>
      <c r="Q90" s="1116"/>
      <c r="R90" s="1118"/>
      <c r="S90" s="1116"/>
      <c r="T90" s="211"/>
      <c r="U90" s="211"/>
      <c r="V90" s="212"/>
      <c r="W90" s="213"/>
      <c r="Y90" s="214"/>
      <c r="Z90" s="214"/>
      <c r="AA90" s="214"/>
      <c r="AB90" s="214"/>
      <c r="AC90" s="214" t="s">
        <v>232</v>
      </c>
      <c r="AD90" s="214" t="s">
        <v>233</v>
      </c>
      <c r="AE90" s="214" t="s">
        <v>234</v>
      </c>
      <c r="AF90" s="214" t="s">
        <v>235</v>
      </c>
      <c r="AG90" s="214"/>
      <c r="AH90" s="214" t="str">
        <f>IF($E$90=0,"",$E$90)</f>
        <v>Тариф на горячую воду (горячее водоснабжение)</v>
      </c>
      <c r="AI90" s="214" t="str">
        <f>IF($G$90=0,"",$G$90)</f>
        <v/>
      </c>
      <c r="AJ90" s="214" t="str">
        <f>IF($J$90=0,"",$J$90)</f>
        <v/>
      </c>
      <c r="AK90" s="214" t="str">
        <f>IF($K$90="нет","без дифференциации",IF($N$90=0,"",$N$90))</f>
        <v/>
      </c>
      <c r="AL90" s="214" t="str">
        <f>IF($O$90="нет","без дифференциации",IF($R$90=0,"",$R$90))</f>
        <v/>
      </c>
      <c r="AM90" s="214" t="str">
        <f>IF($S$90="нет","без дифференциации",IF($V$90=0,"",$V$90))</f>
        <v/>
      </c>
      <c r="AN90" s="214">
        <f>$I$90</f>
        <v>0</v>
      </c>
      <c r="AO90" s="214" t="str">
        <f>$I$90&amp;"."&amp;$M$90</f>
        <v>.</v>
      </c>
      <c r="AP90" s="214" t="str">
        <f>$I$90&amp;"."&amp;$M$90&amp;"."&amp;$Q$90</f>
        <v>..</v>
      </c>
      <c r="AQ90" s="214" t="str">
        <f>$I$90&amp;"."&amp;$M$90&amp;"."&amp;$Q$90&amp;"."&amp;$U$90</f>
        <v>...</v>
      </c>
    </row>
    <row r="91" spans="1:43" s="174" customFormat="1" ht="17.25" hidden="1" customHeight="1">
      <c r="A91" s="209"/>
      <c r="D91" s="1110"/>
      <c r="E91" s="1111"/>
      <c r="F91" s="1112"/>
      <c r="G91" s="1111"/>
      <c r="H91" s="1113"/>
      <c r="I91" s="1114"/>
      <c r="J91" s="1115"/>
      <c r="K91" s="1116"/>
      <c r="L91" s="1116"/>
      <c r="M91" s="1116"/>
      <c r="N91" s="1117"/>
      <c r="O91" s="1116"/>
      <c r="P91" s="1116"/>
      <c r="Q91" s="1116"/>
      <c r="R91" s="1118"/>
      <c r="S91" s="1116"/>
      <c r="T91" s="215"/>
      <c r="U91" s="215"/>
      <c r="V91" s="215"/>
      <c r="W91" s="216"/>
      <c r="Y91" s="100"/>
      <c r="Z91" s="100"/>
      <c r="AA91" s="100"/>
      <c r="AB91" s="100"/>
      <c r="AC91" s="100"/>
      <c r="AD91" s="100"/>
      <c r="AE91" s="100"/>
      <c r="AF91" s="100"/>
      <c r="AG91" s="100"/>
      <c r="AH91" s="100"/>
      <c r="AI91" s="100"/>
      <c r="AJ91" s="100"/>
      <c r="AK91" s="100"/>
      <c r="AL91" s="100"/>
      <c r="AM91" s="100"/>
      <c r="AN91" s="100"/>
      <c r="AO91" s="100"/>
      <c r="AP91" s="100"/>
      <c r="AQ91" s="100"/>
    </row>
    <row r="92" spans="1:43" s="174" customFormat="1" ht="17.25" hidden="1" customHeight="1">
      <c r="A92" s="209"/>
      <c r="C92" s="120"/>
      <c r="D92" s="1110"/>
      <c r="E92" s="1111"/>
      <c r="F92" s="1112"/>
      <c r="G92" s="1111"/>
      <c r="H92" s="1113"/>
      <c r="I92" s="1114"/>
      <c r="J92" s="1115"/>
      <c r="K92" s="1116"/>
      <c r="L92" s="1116"/>
      <c r="M92" s="1116"/>
      <c r="N92" s="1117"/>
      <c r="O92" s="1116"/>
      <c r="P92" s="117"/>
      <c r="Q92" s="215"/>
      <c r="R92" s="215"/>
      <c r="W92" s="216"/>
      <c r="Y92" s="214"/>
      <c r="Z92" s="214"/>
      <c r="AA92" s="214"/>
      <c r="AB92" s="214"/>
      <c r="AC92" s="214"/>
      <c r="AD92" s="214"/>
      <c r="AE92" s="214"/>
      <c r="AF92" s="214"/>
      <c r="AG92" s="214"/>
      <c r="AH92" s="214"/>
      <c r="AI92" s="214"/>
      <c r="AJ92" s="214"/>
      <c r="AK92" s="214"/>
      <c r="AL92" s="214"/>
      <c r="AM92" s="214"/>
      <c r="AN92" s="214"/>
      <c r="AO92" s="214"/>
      <c r="AP92" s="214"/>
      <c r="AQ92" s="214"/>
    </row>
    <row r="93" spans="1:43" s="174" customFormat="1" ht="17.25" hidden="1" customHeight="1">
      <c r="A93" s="209"/>
      <c r="D93" s="1110"/>
      <c r="E93" s="1111"/>
      <c r="F93" s="1112"/>
      <c r="G93" s="1111"/>
      <c r="H93" s="1113"/>
      <c r="I93" s="1114"/>
      <c r="J93" s="1115"/>
      <c r="K93" s="1116"/>
      <c r="L93" s="215"/>
      <c r="M93" s="215"/>
      <c r="N93" s="215"/>
      <c r="O93" s="215"/>
      <c r="P93" s="215"/>
      <c r="Q93" s="215"/>
      <c r="R93" s="215"/>
      <c r="W93" s="216"/>
      <c r="Y93" s="100"/>
      <c r="Z93" s="100"/>
      <c r="AA93" s="100"/>
      <c r="AB93" s="100"/>
      <c r="AC93" s="100"/>
      <c r="AD93" s="100"/>
      <c r="AE93" s="100"/>
      <c r="AF93" s="100"/>
      <c r="AG93" s="100"/>
      <c r="AH93" s="100"/>
      <c r="AI93" s="100"/>
      <c r="AJ93" s="100"/>
      <c r="AK93" s="100"/>
      <c r="AL93" s="100"/>
      <c r="AM93" s="100"/>
      <c r="AN93" s="100"/>
      <c r="AO93" s="100"/>
      <c r="AP93" s="100"/>
      <c r="AQ93" s="100"/>
    </row>
    <row r="94" spans="1:43" s="174" customFormat="1" ht="17.25" hidden="1" customHeight="1">
      <c r="A94" s="209"/>
      <c r="D94" s="1110"/>
      <c r="E94" s="1111"/>
      <c r="F94" s="1112"/>
      <c r="G94" s="1111"/>
      <c r="H94" s="217"/>
      <c r="I94" s="218"/>
      <c r="J94" s="218"/>
      <c r="K94" s="218"/>
      <c r="L94" s="218"/>
      <c r="M94" s="218"/>
      <c r="N94" s="218"/>
      <c r="O94" s="218"/>
      <c r="P94" s="218"/>
      <c r="Q94" s="218"/>
      <c r="R94" s="218"/>
      <c r="S94" s="219"/>
      <c r="T94" s="219"/>
      <c r="U94" s="219"/>
      <c r="V94" s="219"/>
      <c r="W94" s="220"/>
      <c r="Y94" s="100"/>
      <c r="Z94" s="100"/>
      <c r="AA94" s="100"/>
      <c r="AB94" s="100"/>
      <c r="AC94" s="100"/>
      <c r="AD94" s="100"/>
      <c r="AE94" s="100"/>
      <c r="AF94" s="100"/>
      <c r="AG94" s="100"/>
      <c r="AH94" s="100"/>
      <c r="AI94" s="100"/>
      <c r="AJ94" s="100"/>
      <c r="AK94" s="100"/>
      <c r="AL94" s="100"/>
      <c r="AM94" s="100"/>
      <c r="AN94" s="100"/>
      <c r="AO94" s="100"/>
      <c r="AP94" s="100"/>
      <c r="AQ94" s="100"/>
    </row>
    <row r="95" spans="1:43" s="174" customFormat="1" ht="17.25" hidden="1" customHeight="1">
      <c r="A95" s="209"/>
      <c r="C95" s="120"/>
      <c r="D95" s="1110">
        <v>2</v>
      </c>
      <c r="E95" s="1111" t="s">
        <v>236</v>
      </c>
      <c r="F95" s="1112" t="s">
        <v>53</v>
      </c>
      <c r="G95" s="1111"/>
      <c r="H95" s="1113"/>
      <c r="I95" s="1114"/>
      <c r="J95" s="1115"/>
      <c r="K95" s="1116"/>
      <c r="L95" s="1116"/>
      <c r="M95" s="1116"/>
      <c r="N95" s="1117"/>
      <c r="O95" s="1116"/>
      <c r="P95" s="1116"/>
      <c r="Q95" s="1116"/>
      <c r="R95" s="1118"/>
      <c r="S95" s="1116"/>
      <c r="T95" s="211"/>
      <c r="U95" s="211"/>
      <c r="V95" s="212"/>
      <c r="W95" s="213"/>
      <c r="X95" s="214"/>
      <c r="Y95" s="214"/>
      <c r="Z95" s="214"/>
      <c r="AA95" s="214"/>
      <c r="AB95" s="214"/>
      <c r="AC95" s="214" t="s">
        <v>237</v>
      </c>
      <c r="AD95" s="214" t="s">
        <v>238</v>
      </c>
      <c r="AE95" s="214" t="s">
        <v>239</v>
      </c>
      <c r="AF95" s="214" t="s">
        <v>240</v>
      </c>
      <c r="AG95" s="214"/>
      <c r="AH95" s="214" t="str">
        <f>IF($E$95=0,"",$E$95)</f>
        <v>Тариф на транспортировку горячей воды</v>
      </c>
      <c r="AI95" s="214" t="str">
        <f>IF($G$95=0,"",$G$95)</f>
        <v/>
      </c>
      <c r="AJ95" s="214" t="str">
        <f>IF($J$95=0,"",$J$95)</f>
        <v/>
      </c>
      <c r="AK95" s="214" t="str">
        <f>IF($K$95="нет","без дифференциации",IF($N$95=0,"",$N$95))</f>
        <v/>
      </c>
      <c r="AL95" s="214" t="str">
        <f>IF($O$95="нет","без дифференциации",IF($R$95=0,"",$R$95))</f>
        <v/>
      </c>
      <c r="AM95" s="214" t="str">
        <f>IF($S$95="нет","без дифференциации",IF($V$95=0,"",$V$95))</f>
        <v/>
      </c>
      <c r="AN95" s="221">
        <f>$I$95</f>
        <v>0</v>
      </c>
      <c r="AO95" s="214" t="str">
        <f>$I$95&amp;"."&amp;$M$95</f>
        <v>.</v>
      </c>
      <c r="AP95" s="100" t="str">
        <f>$I$95&amp;"."&amp;$M$95&amp;"."&amp;$Q$95</f>
        <v>..</v>
      </c>
      <c r="AQ95" s="100" t="str">
        <f>$I$95&amp;"."&amp;$M$95&amp;"."&amp;$Q$95&amp;"."&amp;$U$95</f>
        <v>...</v>
      </c>
    </row>
    <row r="96" spans="1:43" s="174" customFormat="1" ht="17.25" hidden="1" customHeight="1">
      <c r="A96" s="209"/>
      <c r="D96" s="1110"/>
      <c r="E96" s="1111"/>
      <c r="F96" s="1112"/>
      <c r="G96" s="1111"/>
      <c r="H96" s="1113"/>
      <c r="I96" s="1114"/>
      <c r="J96" s="1115"/>
      <c r="K96" s="1116"/>
      <c r="L96" s="1116"/>
      <c r="M96" s="1116"/>
      <c r="N96" s="1117"/>
      <c r="O96" s="1116"/>
      <c r="P96" s="1116"/>
      <c r="Q96" s="1116"/>
      <c r="R96" s="1118"/>
      <c r="S96" s="1116"/>
      <c r="T96" s="215"/>
      <c r="U96" s="215"/>
      <c r="V96" s="215"/>
      <c r="W96" s="216"/>
      <c r="X96" s="100"/>
      <c r="Y96" s="100"/>
      <c r="Z96" s="100"/>
      <c r="AA96" s="100"/>
      <c r="AB96" s="100"/>
      <c r="AC96" s="100"/>
      <c r="AD96" s="100"/>
      <c r="AE96" s="100"/>
      <c r="AF96" s="100"/>
      <c r="AG96" s="100"/>
      <c r="AH96" s="100"/>
      <c r="AI96" s="100"/>
      <c r="AJ96" s="100"/>
      <c r="AK96" s="100"/>
      <c r="AL96" s="100"/>
      <c r="AM96" s="100"/>
      <c r="AN96" s="100"/>
      <c r="AO96" s="100"/>
      <c r="AP96" s="100"/>
      <c r="AQ96" s="100"/>
    </row>
    <row r="97" spans="1:43" s="174" customFormat="1" ht="17.25" hidden="1" customHeight="1">
      <c r="A97" s="209"/>
      <c r="D97" s="1110"/>
      <c r="E97" s="1111"/>
      <c r="F97" s="1112"/>
      <c r="G97" s="1111"/>
      <c r="H97" s="1113"/>
      <c r="I97" s="1114"/>
      <c r="J97" s="1115"/>
      <c r="K97" s="1116"/>
      <c r="L97" s="1116"/>
      <c r="M97" s="1116"/>
      <c r="N97" s="1117"/>
      <c r="O97" s="1116"/>
      <c r="P97" s="117"/>
      <c r="Q97" s="215"/>
      <c r="R97" s="215"/>
      <c r="W97" s="216"/>
      <c r="X97" s="100"/>
      <c r="Y97" s="100"/>
      <c r="Z97" s="100"/>
      <c r="AA97" s="100"/>
      <c r="AB97" s="100"/>
      <c r="AC97" s="100"/>
      <c r="AD97" s="100"/>
      <c r="AE97" s="100"/>
      <c r="AF97" s="100"/>
      <c r="AG97" s="100"/>
      <c r="AH97" s="100"/>
      <c r="AI97" s="100"/>
      <c r="AJ97" s="100"/>
      <c r="AK97" s="100"/>
      <c r="AL97" s="100"/>
      <c r="AM97" s="100"/>
      <c r="AN97" s="100"/>
      <c r="AO97" s="100"/>
      <c r="AP97" s="100"/>
      <c r="AQ97" s="100"/>
    </row>
    <row r="98" spans="1:43" s="174" customFormat="1" ht="17.25" hidden="1" customHeight="1">
      <c r="A98" s="209"/>
      <c r="D98" s="1110"/>
      <c r="E98" s="1111"/>
      <c r="F98" s="1112"/>
      <c r="G98" s="1111"/>
      <c r="H98" s="1113"/>
      <c r="I98" s="1114"/>
      <c r="J98" s="1115"/>
      <c r="K98" s="1116"/>
      <c r="L98" s="215"/>
      <c r="M98" s="215"/>
      <c r="N98" s="215"/>
      <c r="O98" s="215"/>
      <c r="P98" s="215"/>
      <c r="Q98" s="215"/>
      <c r="R98" s="215"/>
      <c r="W98" s="216"/>
      <c r="X98" s="100"/>
      <c r="Y98" s="100"/>
      <c r="Z98" s="100"/>
      <c r="AA98" s="100"/>
      <c r="AB98" s="100"/>
      <c r="AC98" s="100"/>
      <c r="AD98" s="100"/>
      <c r="AE98" s="100"/>
      <c r="AF98" s="100"/>
      <c r="AG98" s="100"/>
      <c r="AH98" s="100"/>
      <c r="AI98" s="100"/>
      <c r="AJ98" s="100"/>
      <c r="AK98" s="100"/>
      <c r="AL98" s="100"/>
      <c r="AM98" s="100"/>
      <c r="AN98" s="100"/>
      <c r="AO98" s="100"/>
      <c r="AP98" s="100"/>
      <c r="AQ98" s="100"/>
    </row>
    <row r="99" spans="1:43" s="174" customFormat="1" ht="17.25" hidden="1" customHeight="1">
      <c r="A99" s="209"/>
      <c r="D99" s="1110"/>
      <c r="E99" s="1111"/>
      <c r="F99" s="1112"/>
      <c r="G99" s="1111"/>
      <c r="H99" s="217"/>
      <c r="I99" s="218"/>
      <c r="J99" s="218"/>
      <c r="K99" s="218"/>
      <c r="L99" s="218"/>
      <c r="M99" s="218"/>
      <c r="N99" s="218"/>
      <c r="O99" s="218"/>
      <c r="P99" s="218"/>
      <c r="Q99" s="218"/>
      <c r="R99" s="218"/>
      <c r="S99" s="219"/>
      <c r="T99" s="219"/>
      <c r="U99" s="219"/>
      <c r="V99" s="219"/>
      <c r="W99" s="220"/>
      <c r="X99" s="100"/>
      <c r="Y99" s="100"/>
      <c r="Z99" s="100"/>
      <c r="AA99" s="100"/>
      <c r="AB99" s="100"/>
      <c r="AC99" s="100"/>
      <c r="AD99" s="100"/>
      <c r="AE99" s="100"/>
      <c r="AF99" s="100"/>
      <c r="AG99" s="100"/>
      <c r="AH99" s="100"/>
      <c r="AI99" s="100"/>
      <c r="AJ99" s="100"/>
      <c r="AK99" s="100"/>
      <c r="AL99" s="100"/>
      <c r="AM99" s="100"/>
      <c r="AN99" s="100"/>
      <c r="AO99" s="100"/>
      <c r="AP99" s="100"/>
      <c r="AQ99" s="100"/>
    </row>
    <row r="100" spans="1:43" s="174" customFormat="1" ht="17.25" hidden="1" customHeight="1">
      <c r="A100" s="209"/>
      <c r="C100" s="120"/>
      <c r="D100" s="1110">
        <v>3</v>
      </c>
      <c r="E100" s="1111" t="s">
        <v>241</v>
      </c>
      <c r="F100" s="1112" t="s">
        <v>53</v>
      </c>
      <c r="G100" s="1111"/>
      <c r="H100" s="1113"/>
      <c r="I100" s="1114"/>
      <c r="J100" s="1115"/>
      <c r="K100" s="1116"/>
      <c r="L100" s="1116"/>
      <c r="M100" s="1116"/>
      <c r="N100" s="1117"/>
      <c r="O100" s="1116"/>
      <c r="P100" s="1116"/>
      <c r="Q100" s="1116"/>
      <c r="R100" s="1118"/>
      <c r="S100" s="1116"/>
      <c r="T100" s="211"/>
      <c r="U100" s="211"/>
      <c r="V100" s="212"/>
      <c r="W100" s="213"/>
      <c r="X100" s="214"/>
      <c r="Y100" s="214"/>
      <c r="Z100" s="214"/>
      <c r="AA100" s="214"/>
      <c r="AB100" s="214"/>
      <c r="AC100" s="214" t="s">
        <v>242</v>
      </c>
      <c r="AD100" s="214" t="s">
        <v>243</v>
      </c>
      <c r="AE100" s="214" t="s">
        <v>244</v>
      </c>
      <c r="AF100" s="214" t="s">
        <v>245</v>
      </c>
      <c r="AG100" s="214"/>
      <c r="AH100" s="214" t="str">
        <f>IF($E$100=0,"",$E$100)</f>
        <v>Тариф на подключение (технологическое присоединение) к централизованной системе горячего водоснабжения</v>
      </c>
      <c r="AI100" s="214" t="str">
        <f>IF($G$100=0,"",$G$100)</f>
        <v/>
      </c>
      <c r="AJ100" s="214" t="str">
        <f>IF($J$100=0,"",$J$100)</f>
        <v/>
      </c>
      <c r="AK100" s="214" t="str">
        <f>IF($K$100="нет","без дифференциации",IF($N$100=0,"",$N$100))</f>
        <v/>
      </c>
      <c r="AL100" s="214" t="str">
        <f>IF($O$100="нет","без дифференциации",IF($R$100=0,"",$R$100))</f>
        <v/>
      </c>
      <c r="AM100" s="214" t="str">
        <f>IF($S$100="нет","без дифференциации",IF($V$100=0,"",$V$100))</f>
        <v/>
      </c>
      <c r="AN100" s="221">
        <f>$I$100</f>
        <v>0</v>
      </c>
      <c r="AO100" s="214" t="str">
        <f>$I$100&amp;"."&amp;$M$100</f>
        <v>.</v>
      </c>
      <c r="AP100" s="100" t="str">
        <f>$I$100&amp;"."&amp;$M$100&amp;"."&amp;$Q$100</f>
        <v>..</v>
      </c>
      <c r="AQ100" s="100" t="str">
        <f>$I$100&amp;"."&amp;$M$100&amp;"."&amp;$Q$100&amp;"."&amp;$U$100</f>
        <v>...</v>
      </c>
    </row>
    <row r="101" spans="1:43" s="174" customFormat="1" ht="17.25" hidden="1" customHeight="1">
      <c r="A101" s="209"/>
      <c r="D101" s="1110"/>
      <c r="E101" s="1111"/>
      <c r="F101" s="1112"/>
      <c r="G101" s="1111"/>
      <c r="H101" s="1113"/>
      <c r="I101" s="1114"/>
      <c r="J101" s="1115"/>
      <c r="K101" s="1116"/>
      <c r="L101" s="1116"/>
      <c r="M101" s="1116"/>
      <c r="N101" s="1117"/>
      <c r="O101" s="1116"/>
      <c r="P101" s="1116"/>
      <c r="Q101" s="1116"/>
      <c r="R101" s="1118"/>
      <c r="S101" s="1116"/>
      <c r="T101" s="215"/>
      <c r="U101" s="215"/>
      <c r="V101" s="215"/>
      <c r="W101" s="216"/>
      <c r="X101" s="100"/>
      <c r="Y101" s="100"/>
      <c r="Z101" s="100"/>
      <c r="AA101" s="100"/>
      <c r="AB101" s="100"/>
      <c r="AC101" s="100"/>
      <c r="AD101" s="100"/>
      <c r="AE101" s="100"/>
      <c r="AF101" s="100"/>
      <c r="AG101" s="100"/>
      <c r="AH101" s="100"/>
      <c r="AI101" s="100"/>
      <c r="AJ101" s="100"/>
      <c r="AK101" s="100"/>
      <c r="AL101" s="100"/>
      <c r="AM101" s="100"/>
      <c r="AN101" s="100"/>
      <c r="AO101" s="100"/>
      <c r="AP101" s="100"/>
      <c r="AQ101" s="100"/>
    </row>
    <row r="102" spans="1:43" s="174" customFormat="1" ht="17.25" hidden="1" customHeight="1">
      <c r="A102" s="209"/>
      <c r="D102" s="1110"/>
      <c r="E102" s="1111"/>
      <c r="F102" s="1112"/>
      <c r="G102" s="1111"/>
      <c r="H102" s="1113"/>
      <c r="I102" s="1114"/>
      <c r="J102" s="1115"/>
      <c r="K102" s="1116"/>
      <c r="L102" s="1116"/>
      <c r="M102" s="1116"/>
      <c r="N102" s="1117"/>
      <c r="O102" s="1116"/>
      <c r="P102" s="117"/>
      <c r="Q102" s="215"/>
      <c r="R102" s="215"/>
      <c r="W102" s="216"/>
      <c r="X102" s="100"/>
      <c r="Y102" s="100"/>
      <c r="Z102" s="100"/>
      <c r="AA102" s="100"/>
      <c r="AB102" s="100"/>
      <c r="AC102" s="100"/>
      <c r="AD102" s="100"/>
      <c r="AE102" s="100"/>
      <c r="AF102" s="100"/>
      <c r="AG102" s="100"/>
      <c r="AH102" s="100"/>
      <c r="AI102" s="100"/>
      <c r="AJ102" s="100"/>
      <c r="AK102" s="100"/>
      <c r="AL102" s="100"/>
      <c r="AM102" s="100"/>
      <c r="AN102" s="100"/>
      <c r="AO102" s="100"/>
      <c r="AP102" s="100"/>
      <c r="AQ102" s="100"/>
    </row>
    <row r="103" spans="1:43" s="174" customFormat="1" ht="17.25" hidden="1" customHeight="1">
      <c r="A103" s="209"/>
      <c r="D103" s="1110"/>
      <c r="E103" s="1111"/>
      <c r="F103" s="1112"/>
      <c r="G103" s="1111"/>
      <c r="H103" s="1113"/>
      <c r="I103" s="1114"/>
      <c r="J103" s="1115"/>
      <c r="K103" s="1116"/>
      <c r="L103" s="215"/>
      <c r="M103" s="215"/>
      <c r="N103" s="215"/>
      <c r="O103" s="215"/>
      <c r="P103" s="215"/>
      <c r="Q103" s="215"/>
      <c r="R103" s="215"/>
      <c r="W103" s="216"/>
      <c r="X103" s="100"/>
      <c r="Y103" s="100"/>
      <c r="Z103" s="100"/>
      <c r="AA103" s="100"/>
      <c r="AB103" s="100"/>
      <c r="AC103" s="100"/>
      <c r="AD103" s="100"/>
      <c r="AE103" s="100"/>
      <c r="AF103" s="100"/>
      <c r="AG103" s="100"/>
      <c r="AH103" s="100"/>
      <c r="AI103" s="100"/>
      <c r="AJ103" s="100"/>
      <c r="AK103" s="100"/>
      <c r="AL103" s="100"/>
      <c r="AM103" s="100"/>
      <c r="AN103" s="100"/>
      <c r="AO103" s="100"/>
      <c r="AP103" s="100"/>
      <c r="AQ103" s="100"/>
    </row>
    <row r="104" spans="1:43" s="174" customFormat="1" ht="17.25" hidden="1" customHeight="1">
      <c r="A104" s="209"/>
      <c r="D104" s="1110"/>
      <c r="E104" s="1111"/>
      <c r="F104" s="1112"/>
      <c r="G104" s="1111"/>
      <c r="H104" s="217"/>
      <c r="I104" s="218"/>
      <c r="J104" s="218"/>
      <c r="K104" s="218"/>
      <c r="L104" s="218"/>
      <c r="M104" s="218"/>
      <c r="N104" s="218"/>
      <c r="O104" s="218"/>
      <c r="P104" s="218"/>
      <c r="Q104" s="218"/>
      <c r="R104" s="218"/>
      <c r="S104" s="219"/>
      <c r="T104" s="219"/>
      <c r="U104" s="219"/>
      <c r="V104" s="219"/>
      <c r="W104" s="220"/>
      <c r="X104" s="100"/>
      <c r="Y104" s="100"/>
      <c r="Z104" s="100"/>
      <c r="AA104" s="100"/>
      <c r="AB104" s="100"/>
      <c r="AC104" s="100"/>
      <c r="AD104" s="100"/>
      <c r="AE104" s="100"/>
      <c r="AF104" s="100"/>
      <c r="AG104" s="100"/>
      <c r="AH104" s="100"/>
      <c r="AI104" s="100"/>
      <c r="AJ104" s="100"/>
      <c r="AK104" s="100"/>
      <c r="AL104" s="100"/>
      <c r="AM104" s="100"/>
      <c r="AN104" s="100"/>
      <c r="AO104" s="100"/>
      <c r="AP104" s="100"/>
      <c r="AQ104" s="100"/>
    </row>
    <row r="105" spans="1:43" s="174" customFormat="1" ht="11.25" hidden="1" customHeight="1">
      <c r="A105" s="121"/>
      <c r="B105" s="121"/>
      <c r="Y105" s="100"/>
      <c r="Z105" s="100"/>
      <c r="AA105" s="100"/>
      <c r="AB105" s="100"/>
      <c r="AC105" s="100"/>
      <c r="AD105" s="100"/>
      <c r="AE105" s="100"/>
      <c r="AF105" s="100"/>
      <c r="AG105" s="100"/>
      <c r="AH105" s="100"/>
      <c r="AI105" s="100"/>
      <c r="AJ105" s="100"/>
      <c r="AK105" s="100"/>
      <c r="AL105" s="100"/>
      <c r="AM105" s="100"/>
      <c r="AN105" s="100"/>
      <c r="AO105" s="100"/>
      <c r="AP105" s="100"/>
      <c r="AQ105" s="100"/>
    </row>
    <row r="106" spans="1:43" s="174" customFormat="1" ht="17.25" customHeight="1">
      <c r="A106" s="209"/>
      <c r="C106" s="120"/>
      <c r="D106" s="1110">
        <v>1</v>
      </c>
      <c r="E106" s="1111" t="s">
        <v>246</v>
      </c>
      <c r="F106" s="1112" t="s">
        <v>63</v>
      </c>
      <c r="G106" s="1121" t="str">
        <f>"Водоотведение"&amp;", "&amp;INDEX(VOTV_PT_VED_NAME,MATCH(4189713,VOTV_PT_VED_ID,0))</f>
        <v>Водоотведение, Транспортировка</v>
      </c>
      <c r="H106" s="1122"/>
      <c r="I106" s="1122">
        <v>1</v>
      </c>
      <c r="J106" s="1123" t="s">
        <v>247</v>
      </c>
      <c r="K106" s="1105" t="s">
        <v>63</v>
      </c>
      <c r="L106" s="1099"/>
      <c r="M106" s="1099" t="s">
        <v>105</v>
      </c>
      <c r="N106" s="1124" t="str">
        <f>IF(Z106="","",INDEX(TERRITORY_MR_LIST,MATCH(Z106,TERRITORY_LIST_ID,0)))</f>
        <v>Территория 1</v>
      </c>
      <c r="O106" s="1105" t="s">
        <v>53</v>
      </c>
      <c r="P106" s="1099"/>
      <c r="Q106" s="1099" t="s">
        <v>105</v>
      </c>
      <c r="R106" s="1125"/>
      <c r="S106" s="1126" t="s">
        <v>53</v>
      </c>
      <c r="T106" s="225"/>
      <c r="U106" s="225" t="s">
        <v>105</v>
      </c>
      <c r="V106" s="226"/>
      <c r="W106" s="1123"/>
      <c r="Y106" s="214"/>
      <c r="Z106" s="214" t="s">
        <v>94</v>
      </c>
      <c r="AA106" s="214"/>
      <c r="AB106" s="214" t="s">
        <v>248</v>
      </c>
      <c r="AC106" s="214" t="s">
        <v>249</v>
      </c>
      <c r="AD106" s="214" t="s">
        <v>250</v>
      </c>
      <c r="AE106" s="214" t="s">
        <v>251</v>
      </c>
      <c r="AF106" s="214" t="s">
        <v>252</v>
      </c>
      <c r="AG106" s="214"/>
      <c r="AH106" s="214" t="str">
        <f>IF($E$106=0,"",$E$106)</f>
        <v>Тариф на водоотведение</v>
      </c>
      <c r="AI106" s="214" t="str">
        <f>IF($G$106=0,"",$G$106)</f>
        <v>Водоотведение, Транспортировка</v>
      </c>
      <c r="AJ106" s="214" t="str">
        <f>IF($J$106=0,"",$J$106)</f>
        <v>Водоотведение</v>
      </c>
      <c r="AK106" s="214" t="str">
        <f>IF($K$106="нет","без дифференциации",IF($N$106=0,"",$N$106))</f>
        <v>Территория 1</v>
      </c>
      <c r="AL106" s="214" t="str">
        <f>IF($O$106="нет","без дифференциации",IF($R$106=0,"",$R$106))</f>
        <v>без дифференциации</v>
      </c>
      <c r="AM106" s="214" t="str">
        <f>IF($S$106="нет","без дифференциации",IF($V$106=0,"",$V$106))</f>
        <v>без дифференциации</v>
      </c>
      <c r="AN106" s="214">
        <f>$I$106</f>
        <v>1</v>
      </c>
      <c r="AO106" s="214" t="str">
        <f>$I$106&amp;"."&amp;$M$106</f>
        <v>1.1</v>
      </c>
      <c r="AP106" s="214" t="str">
        <f>$I$106&amp;"."&amp;$M$106&amp;"."&amp;$Q$106</f>
        <v>1.1.1</v>
      </c>
      <c r="AQ106" s="214" t="str">
        <f>$I$106&amp;"."&amp;$M$106&amp;"."&amp;$Q$106&amp;"."&amp;$U$106</f>
        <v>1.1.1.1</v>
      </c>
    </row>
    <row r="107" spans="1:43" s="174" customFormat="1" ht="17.25" customHeight="1">
      <c r="A107" s="209"/>
      <c r="D107" s="1110"/>
      <c r="E107" s="1111"/>
      <c r="F107" s="1112"/>
      <c r="G107" s="1121"/>
      <c r="H107" s="1122"/>
      <c r="I107" s="1122"/>
      <c r="J107" s="1123"/>
      <c r="K107" s="1105"/>
      <c r="L107" s="1099"/>
      <c r="M107" s="1099"/>
      <c r="N107" s="1124"/>
      <c r="O107" s="1105"/>
      <c r="P107" s="1099"/>
      <c r="Q107" s="1099"/>
      <c r="R107" s="1125"/>
      <c r="S107" s="1126"/>
      <c r="T107" s="227"/>
      <c r="U107" s="228"/>
      <c r="V107" s="228"/>
      <c r="W107" s="1123"/>
      <c r="Y107" s="100"/>
      <c r="Z107" s="100"/>
      <c r="AA107" s="100"/>
      <c r="AB107" s="100"/>
      <c r="AC107" s="100"/>
      <c r="AD107" s="100"/>
      <c r="AE107" s="100"/>
      <c r="AF107" s="100"/>
      <c r="AG107" s="100"/>
      <c r="AH107" s="100"/>
      <c r="AI107" s="100"/>
      <c r="AJ107" s="100"/>
      <c r="AK107" s="100"/>
      <c r="AL107" s="100"/>
      <c r="AM107" s="100"/>
      <c r="AN107" s="100"/>
      <c r="AO107" s="100"/>
      <c r="AP107" s="100"/>
      <c r="AQ107" s="100"/>
    </row>
    <row r="108" spans="1:43" s="174" customFormat="1" ht="17.25" customHeight="1">
      <c r="A108" s="209"/>
      <c r="C108" s="120"/>
      <c r="D108" s="1110"/>
      <c r="E108" s="1111"/>
      <c r="F108" s="1112"/>
      <c r="G108" s="1121"/>
      <c r="H108" s="1122"/>
      <c r="I108" s="1122"/>
      <c r="J108" s="1123"/>
      <c r="K108" s="1105"/>
      <c r="L108" s="1099"/>
      <c r="M108" s="1099"/>
      <c r="N108" s="1124"/>
      <c r="O108" s="1105"/>
      <c r="P108" s="229"/>
      <c r="Q108" s="230"/>
      <c r="R108" s="230" t="s">
        <v>253</v>
      </c>
      <c r="S108" s="231"/>
      <c r="T108" s="231"/>
      <c r="U108" s="231"/>
      <c r="V108" s="231"/>
      <c r="W108" s="232"/>
      <c r="Y108" s="214"/>
      <c r="Z108" s="214"/>
      <c r="AA108" s="214"/>
      <c r="AB108" s="214"/>
      <c r="AC108" s="214"/>
      <c r="AD108" s="214"/>
      <c r="AE108" s="214"/>
      <c r="AF108" s="214"/>
      <c r="AG108" s="214"/>
      <c r="AH108" s="214"/>
      <c r="AI108" s="214"/>
      <c r="AJ108" s="214"/>
      <c r="AK108" s="214"/>
      <c r="AL108" s="214"/>
      <c r="AM108" s="214"/>
      <c r="AN108" s="214"/>
      <c r="AO108" s="214"/>
      <c r="AP108" s="214"/>
      <c r="AQ108" s="214"/>
    </row>
    <row r="109" spans="1:43" s="174" customFormat="1" ht="17.25" customHeight="1">
      <c r="A109" s="209"/>
      <c r="D109" s="1110"/>
      <c r="E109" s="1111"/>
      <c r="F109" s="1112"/>
      <c r="G109" s="1121"/>
      <c r="H109" s="1122"/>
      <c r="I109" s="1122"/>
      <c r="J109" s="1123"/>
      <c r="K109" s="1105"/>
      <c r="L109" s="229"/>
      <c r="M109" s="230"/>
      <c r="N109" s="230" t="s">
        <v>254</v>
      </c>
      <c r="O109" s="230"/>
      <c r="P109" s="230"/>
      <c r="Q109" s="230"/>
      <c r="R109" s="230"/>
      <c r="S109" s="231"/>
      <c r="T109" s="231"/>
      <c r="U109" s="231"/>
      <c r="V109" s="231"/>
      <c r="W109" s="233"/>
      <c r="Y109" s="100"/>
      <c r="Z109" s="100"/>
      <c r="AA109" s="100"/>
      <c r="AB109" s="100"/>
      <c r="AC109" s="100"/>
      <c r="AD109" s="100"/>
      <c r="AE109" s="100"/>
      <c r="AF109" s="100"/>
      <c r="AG109" s="100"/>
      <c r="AH109" s="100"/>
      <c r="AI109" s="100"/>
      <c r="AJ109" s="100"/>
      <c r="AK109" s="100"/>
      <c r="AL109" s="100"/>
      <c r="AM109" s="100"/>
      <c r="AN109" s="100"/>
      <c r="AO109" s="100"/>
      <c r="AP109" s="100"/>
      <c r="AQ109" s="100"/>
    </row>
    <row r="110" spans="1:43" s="174" customFormat="1" ht="17.25" customHeight="1">
      <c r="A110" s="209"/>
      <c r="D110" s="1110"/>
      <c r="E110" s="1111"/>
      <c r="F110" s="1112"/>
      <c r="G110" s="1121"/>
      <c r="H110" s="229"/>
      <c r="I110" s="230"/>
      <c r="J110" s="230" t="s">
        <v>255</v>
      </c>
      <c r="K110" s="230"/>
      <c r="L110" s="230"/>
      <c r="M110" s="230"/>
      <c r="N110" s="230"/>
      <c r="O110" s="230"/>
      <c r="P110" s="230"/>
      <c r="Q110" s="230"/>
      <c r="R110" s="230"/>
      <c r="S110" s="231"/>
      <c r="T110" s="231"/>
      <c r="U110" s="231"/>
      <c r="V110" s="231"/>
      <c r="W110" s="233"/>
      <c r="Y110" s="100"/>
      <c r="Z110" s="100"/>
      <c r="AA110" s="100"/>
      <c r="AB110" s="100"/>
      <c r="AC110" s="100"/>
      <c r="AD110" s="100"/>
      <c r="AE110" s="100"/>
      <c r="AF110" s="100"/>
      <c r="AG110" s="100"/>
      <c r="AH110" s="100"/>
      <c r="AI110" s="100"/>
      <c r="AJ110" s="100"/>
      <c r="AK110" s="100"/>
      <c r="AL110" s="100"/>
      <c r="AM110" s="100"/>
      <c r="AN110" s="100"/>
      <c r="AO110" s="100"/>
      <c r="AP110" s="100"/>
      <c r="AQ110" s="100"/>
    </row>
    <row r="111" spans="1:43" s="174" customFormat="1" ht="17.25" customHeight="1">
      <c r="A111" s="209"/>
      <c r="C111" s="120"/>
      <c r="D111" s="1110">
        <v>2</v>
      </c>
      <c r="E111" s="1111" t="s">
        <v>256</v>
      </c>
      <c r="F111" s="1112" t="s">
        <v>53</v>
      </c>
      <c r="G111" s="1111"/>
      <c r="H111" s="1113"/>
      <c r="I111" s="1114"/>
      <c r="J111" s="1115"/>
      <c r="K111" s="1116"/>
      <c r="L111" s="1116"/>
      <c r="M111" s="1116"/>
      <c r="N111" s="1117"/>
      <c r="O111" s="1116"/>
      <c r="P111" s="1116"/>
      <c r="Q111" s="1116"/>
      <c r="R111" s="1118"/>
      <c r="S111" s="1116"/>
      <c r="T111" s="211"/>
      <c r="U111" s="211"/>
      <c r="V111" s="212"/>
      <c r="W111" s="213"/>
      <c r="X111" s="214"/>
      <c r="Y111" s="214"/>
      <c r="Z111" s="214"/>
      <c r="AA111" s="214"/>
      <c r="AB111" s="214"/>
      <c r="AC111" s="214" t="s">
        <v>257</v>
      </c>
      <c r="AD111" s="214" t="s">
        <v>258</v>
      </c>
      <c r="AE111" s="214" t="s">
        <v>259</v>
      </c>
      <c r="AF111" s="214" t="s">
        <v>260</v>
      </c>
      <c r="AG111" s="214"/>
      <c r="AH111" s="214" t="str">
        <f>IF($E$111=0,"",$E$111)</f>
        <v>Тариф на транспортировку сточных вод</v>
      </c>
      <c r="AI111" s="214" t="str">
        <f>IF($G$111=0,"",$G$111)</f>
        <v/>
      </c>
      <c r="AJ111" s="214" t="str">
        <f>IF($J$111=0,"",$J$111)</f>
        <v/>
      </c>
      <c r="AK111" s="214" t="str">
        <f>IF($K$111="нет","без дифференциации",IF($N$111=0,"",$N$111))</f>
        <v/>
      </c>
      <c r="AL111" s="214" t="str">
        <f>IF($O$111="нет","без дифференциации",IF($R$111=0,"",$R$111))</f>
        <v/>
      </c>
      <c r="AM111" s="214" t="str">
        <f>IF($S$111="нет","без дифференциации",IF($V$111=0,"",$V$111))</f>
        <v/>
      </c>
      <c r="AN111" s="221">
        <f>$I$111</f>
        <v>0</v>
      </c>
      <c r="AO111" s="214" t="str">
        <f>$I$111&amp;"."&amp;$M$111</f>
        <v>.</v>
      </c>
      <c r="AP111" s="100" t="str">
        <f>$I$111&amp;"."&amp;$M$111&amp;"."&amp;$Q$111</f>
        <v>..</v>
      </c>
      <c r="AQ111" s="100" t="str">
        <f>$I$111&amp;"."&amp;$M$111&amp;"."&amp;$Q$111&amp;"."&amp;$U$111</f>
        <v>...</v>
      </c>
    </row>
    <row r="112" spans="1:43" s="174" customFormat="1" ht="17.25" customHeight="1">
      <c r="A112" s="209"/>
      <c r="D112" s="1110"/>
      <c r="E112" s="1111"/>
      <c r="F112" s="1112"/>
      <c r="G112" s="1111"/>
      <c r="H112" s="1113"/>
      <c r="I112" s="1114"/>
      <c r="J112" s="1115"/>
      <c r="K112" s="1116"/>
      <c r="L112" s="1116"/>
      <c r="M112" s="1116"/>
      <c r="N112" s="1117"/>
      <c r="O112" s="1116"/>
      <c r="P112" s="1116"/>
      <c r="Q112" s="1116"/>
      <c r="R112" s="1118"/>
      <c r="S112" s="1116"/>
      <c r="T112" s="215"/>
      <c r="U112" s="215"/>
      <c r="V112" s="215"/>
      <c r="W112" s="216"/>
      <c r="X112" s="100"/>
      <c r="Y112" s="100"/>
      <c r="Z112" s="100"/>
      <c r="AA112" s="100"/>
      <c r="AB112" s="100"/>
      <c r="AC112" s="100"/>
      <c r="AD112" s="100"/>
      <c r="AE112" s="100"/>
      <c r="AF112" s="100"/>
      <c r="AG112" s="100"/>
      <c r="AH112" s="100"/>
      <c r="AI112" s="100"/>
      <c r="AJ112" s="100"/>
      <c r="AK112" s="100"/>
      <c r="AL112" s="100"/>
      <c r="AM112" s="100"/>
      <c r="AN112" s="100"/>
      <c r="AO112" s="100"/>
      <c r="AP112" s="100"/>
      <c r="AQ112" s="100"/>
    </row>
    <row r="113" spans="1:43" s="174" customFormat="1" ht="17.25" customHeight="1">
      <c r="A113" s="209"/>
      <c r="D113" s="1110"/>
      <c r="E113" s="1111"/>
      <c r="F113" s="1112"/>
      <c r="G113" s="1111"/>
      <c r="H113" s="1113"/>
      <c r="I113" s="1114"/>
      <c r="J113" s="1115"/>
      <c r="K113" s="1116"/>
      <c r="L113" s="1116"/>
      <c r="M113" s="1116"/>
      <c r="N113" s="1117"/>
      <c r="O113" s="1116"/>
      <c r="P113" s="117"/>
      <c r="Q113" s="215"/>
      <c r="R113" s="215"/>
      <c r="W113" s="216"/>
      <c r="X113" s="100"/>
      <c r="Y113" s="100"/>
      <c r="Z113" s="100"/>
      <c r="AA113" s="100"/>
      <c r="AB113" s="100"/>
      <c r="AC113" s="100"/>
      <c r="AD113" s="100"/>
      <c r="AE113" s="100"/>
      <c r="AF113" s="100"/>
      <c r="AG113" s="100"/>
      <c r="AH113" s="100"/>
      <c r="AI113" s="100"/>
      <c r="AJ113" s="100"/>
      <c r="AK113" s="100"/>
      <c r="AL113" s="100"/>
      <c r="AM113" s="100"/>
      <c r="AN113" s="100"/>
      <c r="AO113" s="100"/>
      <c r="AP113" s="100"/>
      <c r="AQ113" s="100"/>
    </row>
    <row r="114" spans="1:43" s="174" customFormat="1" ht="17.25" customHeight="1">
      <c r="A114" s="209"/>
      <c r="D114" s="1110"/>
      <c r="E114" s="1111"/>
      <c r="F114" s="1112"/>
      <c r="G114" s="1111"/>
      <c r="H114" s="1113"/>
      <c r="I114" s="1114"/>
      <c r="J114" s="1115"/>
      <c r="K114" s="1116"/>
      <c r="L114" s="215"/>
      <c r="M114" s="215"/>
      <c r="N114" s="215"/>
      <c r="O114" s="215"/>
      <c r="P114" s="215"/>
      <c r="Q114" s="215"/>
      <c r="R114" s="215"/>
      <c r="W114" s="216"/>
      <c r="X114" s="100"/>
      <c r="Y114" s="100"/>
      <c r="Z114" s="100"/>
      <c r="AA114" s="100"/>
      <c r="AB114" s="100"/>
      <c r="AC114" s="100"/>
      <c r="AD114" s="100"/>
      <c r="AE114" s="100"/>
      <c r="AF114" s="100"/>
      <c r="AG114" s="100"/>
      <c r="AH114" s="100"/>
      <c r="AI114" s="100"/>
      <c r="AJ114" s="100"/>
      <c r="AK114" s="100"/>
      <c r="AL114" s="100"/>
      <c r="AM114" s="100"/>
      <c r="AN114" s="100"/>
      <c r="AO114" s="100"/>
      <c r="AP114" s="100"/>
      <c r="AQ114" s="100"/>
    </row>
    <row r="115" spans="1:43" s="174" customFormat="1" ht="17.25" customHeight="1">
      <c r="A115" s="209"/>
      <c r="D115" s="1110"/>
      <c r="E115" s="1111"/>
      <c r="F115" s="1112"/>
      <c r="G115" s="1111"/>
      <c r="H115" s="217"/>
      <c r="I115" s="218"/>
      <c r="J115" s="218"/>
      <c r="K115" s="218"/>
      <c r="L115" s="218"/>
      <c r="M115" s="218"/>
      <c r="N115" s="218"/>
      <c r="O115" s="218"/>
      <c r="P115" s="218"/>
      <c r="Q115" s="218"/>
      <c r="R115" s="218"/>
      <c r="S115" s="219"/>
      <c r="T115" s="219"/>
      <c r="U115" s="219"/>
      <c r="V115" s="219"/>
      <c r="W115" s="220"/>
      <c r="X115" s="100"/>
      <c r="Y115" s="100"/>
      <c r="Z115" s="100"/>
      <c r="AA115" s="100"/>
      <c r="AB115" s="100"/>
      <c r="AC115" s="100"/>
      <c r="AD115" s="100"/>
      <c r="AE115" s="100"/>
      <c r="AF115" s="100"/>
      <c r="AG115" s="100"/>
      <c r="AH115" s="100"/>
      <c r="AI115" s="100"/>
      <c r="AJ115" s="100"/>
      <c r="AK115" s="100"/>
      <c r="AL115" s="100"/>
      <c r="AM115" s="100"/>
      <c r="AN115" s="100"/>
      <c r="AO115" s="100"/>
      <c r="AP115" s="100"/>
      <c r="AQ115" s="100"/>
    </row>
    <row r="116" spans="1:43" s="174" customFormat="1" ht="17.25" customHeight="1">
      <c r="A116" s="209"/>
      <c r="C116" s="120"/>
      <c r="D116" s="1110">
        <v>3</v>
      </c>
      <c r="E116" s="1111" t="s">
        <v>261</v>
      </c>
      <c r="F116" s="1112" t="s">
        <v>53</v>
      </c>
      <c r="G116" s="1111"/>
      <c r="H116" s="1113"/>
      <c r="I116" s="1114"/>
      <c r="J116" s="1115"/>
      <c r="K116" s="1116"/>
      <c r="L116" s="1116"/>
      <c r="M116" s="1116"/>
      <c r="N116" s="1117"/>
      <c r="O116" s="1116"/>
      <c r="P116" s="1116"/>
      <c r="Q116" s="1116"/>
      <c r="R116" s="1118"/>
      <c r="S116" s="1116"/>
      <c r="T116" s="211"/>
      <c r="U116" s="211"/>
      <c r="V116" s="212"/>
      <c r="W116" s="213"/>
      <c r="X116" s="214"/>
      <c r="Y116" s="214"/>
      <c r="Z116" s="214"/>
      <c r="AA116" s="214"/>
      <c r="AB116" s="214"/>
      <c r="AC116" s="214" t="s">
        <v>262</v>
      </c>
      <c r="AD116" s="214" t="s">
        <v>263</v>
      </c>
      <c r="AE116" s="214" t="s">
        <v>264</v>
      </c>
      <c r="AF116" s="214" t="s">
        <v>265</v>
      </c>
      <c r="AG116" s="214"/>
      <c r="AH116" s="214" t="str">
        <f>IF($E$116=0,"",$E$116)</f>
        <v>Тариф на подключение (технологическое присоединение) к централизованной системе водоотведения</v>
      </c>
      <c r="AI116" s="214" t="str">
        <f>IF($G$116=0,"",$G$116)</f>
        <v/>
      </c>
      <c r="AJ116" s="214" t="str">
        <f>IF($J$116=0,"",$J$116)</f>
        <v/>
      </c>
      <c r="AK116" s="214" t="str">
        <f>IF($K$116="нет","без дифференциации",IF($N$116=0,"",$N$116))</f>
        <v/>
      </c>
      <c r="AL116" s="214" t="str">
        <f>IF($O$116="нет","без дифференциации",IF($R$116=0,"",$R$116))</f>
        <v/>
      </c>
      <c r="AM116" s="214" t="str">
        <f>IF($S$116="нет","без дифференциации",IF($V$116=0,"",$V$116))</f>
        <v/>
      </c>
      <c r="AN116" s="221">
        <f>$I$116</f>
        <v>0</v>
      </c>
      <c r="AO116" s="214" t="str">
        <f>$I$116&amp;"."&amp;$M$116</f>
        <v>.</v>
      </c>
      <c r="AP116" s="100" t="str">
        <f>$I$116&amp;"."&amp;$M$116&amp;"."&amp;$Q$116</f>
        <v>..</v>
      </c>
      <c r="AQ116" s="100" t="str">
        <f>$I$116&amp;"."&amp;$M$116&amp;"."&amp;$Q$116&amp;"."&amp;$U$116</f>
        <v>...</v>
      </c>
    </row>
    <row r="117" spans="1:43" s="174" customFormat="1" ht="17.25" customHeight="1">
      <c r="A117" s="209"/>
      <c r="D117" s="1110"/>
      <c r="E117" s="1111"/>
      <c r="F117" s="1112"/>
      <c r="G117" s="1111"/>
      <c r="H117" s="1113"/>
      <c r="I117" s="1114"/>
      <c r="J117" s="1115"/>
      <c r="K117" s="1116"/>
      <c r="L117" s="1116"/>
      <c r="M117" s="1116"/>
      <c r="N117" s="1117"/>
      <c r="O117" s="1116"/>
      <c r="P117" s="1116"/>
      <c r="Q117" s="1116"/>
      <c r="R117" s="1118"/>
      <c r="S117" s="1116"/>
      <c r="T117" s="215"/>
      <c r="U117" s="215"/>
      <c r="V117" s="215"/>
      <c r="W117" s="216"/>
      <c r="X117" s="100"/>
      <c r="Y117" s="100"/>
      <c r="Z117" s="100"/>
      <c r="AA117" s="100"/>
      <c r="AB117" s="100"/>
      <c r="AC117" s="100"/>
      <c r="AD117" s="100"/>
      <c r="AE117" s="100"/>
      <c r="AF117" s="100"/>
      <c r="AG117" s="100"/>
      <c r="AH117" s="100"/>
      <c r="AI117" s="100"/>
      <c r="AJ117" s="100"/>
      <c r="AK117" s="100"/>
      <c r="AL117" s="100"/>
      <c r="AM117" s="100"/>
      <c r="AN117" s="100"/>
      <c r="AO117" s="100"/>
      <c r="AP117" s="100"/>
      <c r="AQ117" s="100"/>
    </row>
    <row r="118" spans="1:43" s="174" customFormat="1" ht="17.25" customHeight="1">
      <c r="A118" s="209"/>
      <c r="D118" s="1110"/>
      <c r="E118" s="1111"/>
      <c r="F118" s="1112"/>
      <c r="G118" s="1111"/>
      <c r="H118" s="1113"/>
      <c r="I118" s="1114"/>
      <c r="J118" s="1115"/>
      <c r="K118" s="1116"/>
      <c r="L118" s="1116"/>
      <c r="M118" s="1116"/>
      <c r="N118" s="1117"/>
      <c r="O118" s="1116"/>
      <c r="P118" s="117"/>
      <c r="Q118" s="215"/>
      <c r="R118" s="215"/>
      <c r="W118" s="216"/>
      <c r="X118" s="100"/>
      <c r="Y118" s="100"/>
      <c r="Z118" s="100"/>
      <c r="AA118" s="100"/>
      <c r="AB118" s="100"/>
      <c r="AC118" s="100"/>
      <c r="AD118" s="100"/>
      <c r="AE118" s="100"/>
      <c r="AF118" s="100"/>
      <c r="AG118" s="100"/>
      <c r="AH118" s="100"/>
      <c r="AI118" s="100"/>
      <c r="AJ118" s="100"/>
      <c r="AK118" s="100"/>
      <c r="AL118" s="100"/>
      <c r="AM118" s="100"/>
      <c r="AN118" s="100"/>
      <c r="AO118" s="100"/>
      <c r="AP118" s="100"/>
      <c r="AQ118" s="100"/>
    </row>
    <row r="119" spans="1:43" s="174" customFormat="1" ht="17.25" customHeight="1">
      <c r="A119" s="209"/>
      <c r="D119" s="1110"/>
      <c r="E119" s="1111"/>
      <c r="F119" s="1112"/>
      <c r="G119" s="1111"/>
      <c r="H119" s="1113"/>
      <c r="I119" s="1114"/>
      <c r="J119" s="1115"/>
      <c r="K119" s="1116"/>
      <c r="L119" s="215"/>
      <c r="M119" s="215"/>
      <c r="N119" s="215"/>
      <c r="O119" s="215"/>
      <c r="P119" s="215"/>
      <c r="Q119" s="215"/>
      <c r="R119" s="215"/>
      <c r="W119" s="216"/>
      <c r="X119" s="100"/>
      <c r="Y119" s="100"/>
      <c r="Z119" s="100"/>
      <c r="AA119" s="100"/>
      <c r="AB119" s="100"/>
      <c r="AC119" s="100"/>
      <c r="AD119" s="100"/>
      <c r="AE119" s="100"/>
      <c r="AF119" s="100"/>
      <c r="AG119" s="100"/>
      <c r="AH119" s="100"/>
      <c r="AI119" s="100"/>
      <c r="AJ119" s="100"/>
      <c r="AK119" s="100"/>
      <c r="AL119" s="100"/>
      <c r="AM119" s="100"/>
      <c r="AN119" s="100"/>
      <c r="AO119" s="100"/>
      <c r="AP119" s="100"/>
      <c r="AQ119" s="100"/>
    </row>
    <row r="120" spans="1:43" s="174" customFormat="1" ht="17.25" customHeight="1">
      <c r="A120" s="209"/>
      <c r="D120" s="1110"/>
      <c r="E120" s="1111"/>
      <c r="F120" s="1112"/>
      <c r="G120" s="1111"/>
      <c r="H120" s="217"/>
      <c r="I120" s="218"/>
      <c r="J120" s="218"/>
      <c r="K120" s="218"/>
      <c r="L120" s="218"/>
      <c r="M120" s="218"/>
      <c r="N120" s="218"/>
      <c r="O120" s="218"/>
      <c r="P120" s="218"/>
      <c r="Q120" s="218"/>
      <c r="R120" s="218"/>
      <c r="S120" s="219"/>
      <c r="T120" s="219"/>
      <c r="U120" s="219"/>
      <c r="V120" s="219"/>
      <c r="W120" s="220"/>
      <c r="X120" s="100"/>
      <c r="Y120" s="100"/>
      <c r="Z120" s="100"/>
      <c r="AA120" s="100"/>
      <c r="AB120" s="100"/>
      <c r="AC120" s="100"/>
      <c r="AD120" s="100"/>
      <c r="AE120" s="100"/>
      <c r="AF120" s="100"/>
      <c r="AG120" s="100"/>
      <c r="AH120" s="100"/>
      <c r="AI120" s="100"/>
      <c r="AJ120" s="100"/>
      <c r="AK120" s="100"/>
      <c r="AL120" s="100"/>
      <c r="AM120" s="100"/>
      <c r="AN120" s="100"/>
      <c r="AO120" s="100"/>
      <c r="AP120" s="100"/>
      <c r="AQ120" s="100"/>
    </row>
  </sheetData>
  <mergeCells count="332">
    <mergeCell ref="M116:M118"/>
    <mergeCell ref="N116:N118"/>
    <mergeCell ref="O116:O118"/>
    <mergeCell ref="P116:P117"/>
    <mergeCell ref="Q116:Q117"/>
    <mergeCell ref="R116:R117"/>
    <mergeCell ref="S116:S117"/>
    <mergeCell ref="D116:D120"/>
    <mergeCell ref="E116:E120"/>
    <mergeCell ref="F116:F120"/>
    <mergeCell ref="G116:G120"/>
    <mergeCell ref="H116:H119"/>
    <mergeCell ref="I116:I119"/>
    <mergeCell ref="J116:J119"/>
    <mergeCell ref="K116:K119"/>
    <mergeCell ref="L116:L118"/>
    <mergeCell ref="W106:W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00:D104"/>
    <mergeCell ref="E100:E104"/>
    <mergeCell ref="F100:F104"/>
    <mergeCell ref="G100:G104"/>
    <mergeCell ref="H100:H103"/>
    <mergeCell ref="I100:I103"/>
    <mergeCell ref="J100:J103"/>
    <mergeCell ref="K100:K103"/>
    <mergeCell ref="L100:L10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90:D94"/>
    <mergeCell ref="E90:E94"/>
    <mergeCell ref="F90:F94"/>
    <mergeCell ref="G90:G94"/>
    <mergeCell ref="H90:H93"/>
    <mergeCell ref="I90:I93"/>
    <mergeCell ref="J90:J93"/>
    <mergeCell ref="K90:K93"/>
    <mergeCell ref="L90:L92"/>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79:D83"/>
    <mergeCell ref="E79:E83"/>
    <mergeCell ref="F79:F83"/>
    <mergeCell ref="G79:G83"/>
    <mergeCell ref="H79:H82"/>
    <mergeCell ref="I79:I82"/>
    <mergeCell ref="J79:J82"/>
    <mergeCell ref="K79:K82"/>
    <mergeCell ref="L79:L8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69:D73"/>
    <mergeCell ref="E69:E73"/>
    <mergeCell ref="F69:F73"/>
    <mergeCell ref="G69:G73"/>
    <mergeCell ref="H69:H72"/>
    <mergeCell ref="I69:I72"/>
    <mergeCell ref="J69:J72"/>
    <mergeCell ref="K69:K72"/>
    <mergeCell ref="L69:L71"/>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43:D47"/>
    <mergeCell ref="E43:E47"/>
    <mergeCell ref="F43:F47"/>
    <mergeCell ref="G43:G47"/>
    <mergeCell ref="H43:H46"/>
    <mergeCell ref="I43:I46"/>
    <mergeCell ref="J43:J46"/>
    <mergeCell ref="K43:K46"/>
    <mergeCell ref="L43:L4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33:D37"/>
    <mergeCell ref="E33:E37"/>
    <mergeCell ref="F33:F37"/>
    <mergeCell ref="G33:G37"/>
    <mergeCell ref="H33:H36"/>
    <mergeCell ref="I33:I36"/>
    <mergeCell ref="J33:J36"/>
    <mergeCell ref="K33:K36"/>
    <mergeCell ref="L33:L3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23:D27"/>
    <mergeCell ref="E23:E27"/>
    <mergeCell ref="F23:F27"/>
    <mergeCell ref="G23:G27"/>
    <mergeCell ref="H23:H26"/>
    <mergeCell ref="I23:I26"/>
    <mergeCell ref="J23:J26"/>
    <mergeCell ref="K23:K26"/>
    <mergeCell ref="L23:L2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13:D17"/>
    <mergeCell ref="E13:E17"/>
    <mergeCell ref="F13:F17"/>
    <mergeCell ref="G13:G17"/>
    <mergeCell ref="H13:H16"/>
    <mergeCell ref="I13:I16"/>
    <mergeCell ref="J13:J16"/>
    <mergeCell ref="K13:K16"/>
    <mergeCell ref="L13:L15"/>
    <mergeCell ref="O9:R9"/>
    <mergeCell ref="S9:V9"/>
    <mergeCell ref="W9:W10"/>
    <mergeCell ref="L10:M10"/>
    <mergeCell ref="P10:Q10"/>
    <mergeCell ref="T10:U10"/>
    <mergeCell ref="H11:I11"/>
    <mergeCell ref="L11:M11"/>
    <mergeCell ref="P11:Q11"/>
    <mergeCell ref="T11:U11"/>
    <mergeCell ref="D5:J5"/>
    <mergeCell ref="D6:J6"/>
    <mergeCell ref="D7:J7"/>
    <mergeCell ref="D9:D10"/>
    <mergeCell ref="E9:F9"/>
    <mergeCell ref="G9:G10"/>
    <mergeCell ref="H9:I10"/>
    <mergeCell ref="J9:J10"/>
    <mergeCell ref="K9:N9"/>
  </mergeCells>
  <dataValidations count="5">
    <dataValidation allowBlank="1" showInputMessage="1" showErrorMessage="1" prompt="Для выбора выполните двойной щелчок левой клавиши мыши по соответствующей ячейке." sqref="F13:F50 K13:K14 O13:O14 S13:S14 K18:K19 O18:O19 S18:S19 K23:K24 O23:O24 S23:S24 K28:K29 O28:O29 S28:S29 K33:K34 O33:O34 S33:S34 K38:K39 O38:O39 S38:S39 K43:K44 O43:O44 S43:S44 K48:K49 O48:O49 S48:S49 F51:F52 F64:F86 K64:K65 O64:O65 S64:S65 K69:K70 O69:O70 S69:S70 K74:K75 O74:O75 S74:S75 K79:K80 O79:O80 S79:S80 K84:K85 O84:O85 S84:S85 F87:F88 F90:F102 K90:K91 O90:O91 S90:S91 K95:K96 O95:O96 S95:S96 K100:K101 O100:O101 S100:S101 F103:F104 F106:F118 K106 O106 S106:S107 K111:K112 O111:O112 S111:S112 K116:K117 O116:O117 S116:S117 F119:F120">
      <formula1>0</formula1>
      <formula2>0</formula2>
    </dataValidation>
    <dataValidation type="textLength" operator="lessThanOrEqual" allowBlank="1" showInputMessage="1" showErrorMessage="1" errorTitle="Ошибка" error="Допускается ввод не более 900 символов!"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formula1>900</formula1>
      <formula2>0</formula2>
    </dataValidation>
    <dataValidation allowBlank="1" showInputMessage="1" showErrorMessage="1" prompt="Выберите виды деятельности, выполнив двойной щелчок левой кнопки мыши по ячейке." sqref="G13:G52 G64:G88 G90:G104 G106:G120">
      <formula1>0</formula1>
      <formula2>0</formula2>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N15 N18:N20 N23:N25 N28:N30 N33:N35 N38:N40 N43:N45 N48:N50 N64:N66 N69:N71 N74:N76 N79:N81 N84:N86 N90:N92 N95:N97 N100:N102 N111:N113 N116:N118">
      <formula1>DESCRIPTION_TERRITORY</formula1>
      <formula2>0</formula2>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N108">
      <formula1>0</formula1>
      <formula2>0</formula2>
    </dataValidation>
  </dataValidations>
  <pageMargins left="0.7" right="0.7" top="0.625" bottom="0.62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zoomScaleNormal="90" workbookViewId="0"/>
  </sheetViews>
  <sheetFormatPr defaultColWidth="9.140625" defaultRowHeight="11.25"/>
  <cols>
    <col min="1" max="2" width="9.140625" style="59" hidden="1"/>
    <col min="3" max="4" width="3.7109375" style="59" customWidth="1"/>
    <col min="5" max="6" width="16" style="59" customWidth="1"/>
    <col min="7" max="7" width="11.5703125" style="59" customWidth="1"/>
    <col min="8" max="9" width="3.7109375" style="59" customWidth="1"/>
    <col min="10" max="10" width="13.140625" style="59" customWidth="1"/>
    <col min="11" max="11" width="0.28515625" style="59" customWidth="1"/>
    <col min="12" max="13" width="10.7109375" style="59" customWidth="1"/>
    <col min="14" max="15" width="3.7109375" style="59" customWidth="1"/>
    <col min="16" max="16" width="19.7109375" style="59" customWidth="1"/>
    <col min="17" max="17" width="0.28515625" style="59" customWidth="1"/>
    <col min="18" max="19" width="10.7109375" style="59" customWidth="1"/>
    <col min="20" max="21" width="3.7109375" style="59" customWidth="1"/>
    <col min="22" max="22" width="25.7109375" style="59" customWidth="1"/>
    <col min="23" max="23" width="0.28515625" style="59" customWidth="1"/>
    <col min="24" max="25" width="10.7109375" style="59" customWidth="1"/>
    <col min="26" max="27" width="3.7109375" style="59" customWidth="1"/>
    <col min="28" max="28" width="16.42578125" style="59" customWidth="1"/>
    <col min="29" max="29" width="0.28515625" style="59" customWidth="1"/>
    <col min="30" max="31" width="10.7109375" style="59" customWidth="1"/>
    <col min="32" max="33" width="3.7109375" style="59" customWidth="1"/>
    <col min="34" max="34" width="8.7109375" style="59" customWidth="1"/>
    <col min="35" max="35" width="21.7109375" style="59" customWidth="1"/>
    <col min="36" max="36" width="9.140625" style="59"/>
    <col min="37" max="37" width="9.140625" style="234"/>
    <col min="38" max="64" width="9.140625" style="59"/>
  </cols>
  <sheetData>
    <row r="1" spans="1:64" s="158" customFormat="1" ht="11.25" hidden="1" customHeight="1">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row>
    <row r="2" spans="1:64" s="235" customFormat="1" ht="11.25" hidden="1" customHeight="1">
      <c r="L2" s="235" t="s">
        <v>266</v>
      </c>
      <c r="M2" s="235" t="s">
        <v>267</v>
      </c>
      <c r="R2" s="235" t="s">
        <v>268</v>
      </c>
      <c r="S2" s="235" t="s">
        <v>267</v>
      </c>
      <c r="X2" s="235" t="s">
        <v>266</v>
      </c>
      <c r="Y2" s="235" t="s">
        <v>267</v>
      </c>
      <c r="AD2" s="235" t="s">
        <v>266</v>
      </c>
      <c r="AE2" s="235" t="s">
        <v>267</v>
      </c>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row>
    <row r="3" spans="1:64" s="237" customFormat="1" ht="11.25" customHeight="1">
      <c r="AJ3" s="59"/>
      <c r="AK3" s="234"/>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s="132" customFormat="1" ht="33" customHeight="1">
      <c r="A4" s="52"/>
      <c r="B4" s="46"/>
      <c r="C4" s="120"/>
      <c r="D4" s="1090" t="s">
        <v>269</v>
      </c>
      <c r="E4" s="1090"/>
      <c r="F4" s="1090"/>
      <c r="G4" s="1090"/>
      <c r="H4" s="1090"/>
      <c r="I4" s="1090"/>
      <c r="J4" s="1090"/>
      <c r="K4" s="238"/>
      <c r="T4" s="239"/>
      <c r="AJ4" s="240"/>
      <c r="AK4" s="241"/>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row>
    <row r="5" spans="1:64" s="132" customFormat="1" ht="14.25" customHeight="1">
      <c r="A5" s="52"/>
      <c r="B5" s="46"/>
      <c r="C5" s="120"/>
      <c r="D5" s="1127" t="str">
        <f>IF(org=0,"Не определено",org)</f>
        <v>Филиал ПАО "ОГК-2" - Серовская ГРЭС, г. Серов</v>
      </c>
      <c r="E5" s="1127"/>
      <c r="F5" s="1127"/>
      <c r="G5" s="1127"/>
      <c r="H5" s="1127"/>
      <c r="I5" s="1127"/>
      <c r="J5" s="1127"/>
      <c r="K5" s="238"/>
      <c r="T5" s="239"/>
      <c r="AJ5" s="240"/>
      <c r="AK5" s="241"/>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row>
    <row r="6" spans="1:64" s="132" customFormat="1" ht="14.25" customHeight="1">
      <c r="A6" s="52"/>
      <c r="B6" s="46"/>
      <c r="C6" s="120"/>
      <c r="D6" s="238"/>
      <c r="E6" s="238"/>
      <c r="F6" s="238"/>
      <c r="G6" s="238"/>
      <c r="H6" s="238"/>
      <c r="I6" s="238"/>
      <c r="J6" s="238"/>
      <c r="K6" s="238"/>
      <c r="T6" s="239"/>
      <c r="AJ6" s="240"/>
      <c r="AK6" s="241"/>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row>
    <row r="7" spans="1:64" s="158" customFormat="1" ht="0.75" customHeight="1">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31.5" customHeight="1">
      <c r="D8" s="1128" t="s">
        <v>84</v>
      </c>
      <c r="E8" s="1128" t="s">
        <v>101</v>
      </c>
      <c r="F8" s="1128" t="s">
        <v>118</v>
      </c>
      <c r="G8" s="1128"/>
      <c r="H8" s="1087" t="s">
        <v>84</v>
      </c>
      <c r="I8" s="1087"/>
      <c r="J8" s="1128" t="s">
        <v>119</v>
      </c>
      <c r="K8" s="243"/>
      <c r="L8" s="1128" t="s">
        <v>270</v>
      </c>
      <c r="M8" s="1128"/>
      <c r="N8" s="1128"/>
      <c r="O8" s="1128"/>
      <c r="P8" s="1128"/>
      <c r="Q8" s="244"/>
      <c r="R8" s="1129" t="s">
        <v>271</v>
      </c>
      <c r="S8" s="1129"/>
      <c r="T8" s="1129"/>
      <c r="U8" s="1129"/>
      <c r="V8" s="1129"/>
      <c r="W8" s="244"/>
      <c r="X8" s="1087" t="s">
        <v>272</v>
      </c>
      <c r="Y8" s="1087"/>
      <c r="Z8" s="1087"/>
      <c r="AA8" s="1087"/>
      <c r="AB8" s="1087"/>
      <c r="AC8" s="242"/>
      <c r="AD8" s="1129" t="s">
        <v>273</v>
      </c>
      <c r="AE8" s="1129"/>
      <c r="AF8" s="1129"/>
      <c r="AG8" s="1129"/>
      <c r="AH8" s="1129"/>
      <c r="AI8" s="1128" t="s">
        <v>274</v>
      </c>
    </row>
    <row r="9" spans="1:64" ht="22.5" customHeight="1">
      <c r="D9" s="1128"/>
      <c r="E9" s="1128"/>
      <c r="F9" s="1128" t="s">
        <v>85</v>
      </c>
      <c r="G9" s="1128" t="s">
        <v>124</v>
      </c>
      <c r="H9" s="1087"/>
      <c r="I9" s="1087"/>
      <c r="J9" s="1128"/>
      <c r="K9" s="246"/>
      <c r="L9" s="1129" t="s">
        <v>275</v>
      </c>
      <c r="M9" s="1129"/>
      <c r="N9" s="1128" t="s">
        <v>84</v>
      </c>
      <c r="O9" s="1128"/>
      <c r="P9" s="1128" t="s">
        <v>125</v>
      </c>
      <c r="Q9" s="243"/>
      <c r="R9" s="1129" t="s">
        <v>275</v>
      </c>
      <c r="S9" s="1129"/>
      <c r="T9" s="1128" t="s">
        <v>84</v>
      </c>
      <c r="U9" s="1128"/>
      <c r="V9" s="1128" t="s">
        <v>125</v>
      </c>
      <c r="W9" s="243"/>
      <c r="X9" s="1129" t="s">
        <v>275</v>
      </c>
      <c r="Y9" s="1129"/>
      <c r="Z9" s="1128" t="s">
        <v>84</v>
      </c>
      <c r="AA9" s="1128"/>
      <c r="AB9" s="1128" t="s">
        <v>276</v>
      </c>
      <c r="AC9" s="243"/>
      <c r="AD9" s="1129" t="s">
        <v>275</v>
      </c>
      <c r="AE9" s="1129"/>
      <c r="AF9" s="1128" t="s">
        <v>84</v>
      </c>
      <c r="AG9" s="1128"/>
      <c r="AH9" s="1130" t="s">
        <v>276</v>
      </c>
      <c r="AI9" s="1128"/>
    </row>
    <row r="10" spans="1:64" ht="22.5" customHeight="1">
      <c r="D10" s="1128"/>
      <c r="E10" s="1128"/>
      <c r="F10" s="1128"/>
      <c r="G10" s="1128"/>
      <c r="H10" s="1087"/>
      <c r="I10" s="1087"/>
      <c r="J10" s="1128"/>
      <c r="K10" s="246"/>
      <c r="L10" s="242" t="s">
        <v>277</v>
      </c>
      <c r="M10" s="244" t="s">
        <v>278</v>
      </c>
      <c r="N10" s="1128"/>
      <c r="O10" s="1128"/>
      <c r="P10" s="1128"/>
      <c r="Q10" s="243"/>
      <c r="R10" s="242" t="s">
        <v>277</v>
      </c>
      <c r="S10" s="244" t="s">
        <v>278</v>
      </c>
      <c r="T10" s="1128"/>
      <c r="U10" s="1128"/>
      <c r="V10" s="1128"/>
      <c r="W10" s="243"/>
      <c r="X10" s="242" t="s">
        <v>277</v>
      </c>
      <c r="Y10" s="244" t="s">
        <v>278</v>
      </c>
      <c r="Z10" s="1128"/>
      <c r="AA10" s="1128"/>
      <c r="AB10" s="1128"/>
      <c r="AC10" s="243"/>
      <c r="AD10" s="242" t="s">
        <v>277</v>
      </c>
      <c r="AE10" s="244" t="s">
        <v>278</v>
      </c>
      <c r="AF10" s="1128"/>
      <c r="AG10" s="1128"/>
      <c r="AH10" s="1130"/>
      <c r="AI10" s="1128"/>
      <c r="AK10" s="134" t="s">
        <v>279</v>
      </c>
      <c r="AL10" s="134" t="s">
        <v>126</v>
      </c>
    </row>
    <row r="11" spans="1:64" ht="14.25" customHeight="1">
      <c r="D11" s="1131" t="s">
        <v>105</v>
      </c>
      <c r="E11" s="1132" t="s">
        <v>280</v>
      </c>
      <c r="F11" s="1132" t="s">
        <v>281</v>
      </c>
      <c r="G11" s="1105" t="s">
        <v>53</v>
      </c>
      <c r="H11" s="249"/>
      <c r="I11" s="1133"/>
      <c r="J11" s="1115"/>
      <c r="K11" s="210"/>
      <c r="L11" s="1116"/>
      <c r="M11" s="1116"/>
      <c r="N11" s="250"/>
      <c r="O11" s="1116"/>
      <c r="P11" s="1115"/>
      <c r="Q11" s="210"/>
      <c r="R11" s="1116"/>
      <c r="S11" s="1116"/>
      <c r="T11" s="251"/>
      <c r="U11" s="1116"/>
      <c r="V11" s="1115"/>
      <c r="W11" s="211"/>
      <c r="X11" s="1116"/>
      <c r="Y11" s="1116"/>
      <c r="Z11" s="250"/>
      <c r="AA11" s="1116"/>
      <c r="AB11" s="1115"/>
      <c r="AC11" s="252"/>
      <c r="AD11" s="1116"/>
      <c r="AE11" s="1116"/>
      <c r="AF11" s="211"/>
      <c r="AG11" s="211"/>
      <c r="AH11" s="250"/>
      <c r="AI11" s="213"/>
    </row>
    <row r="12" spans="1:64" ht="14.25" customHeight="1">
      <c r="D12" s="1131"/>
      <c r="E12" s="1132"/>
      <c r="F12" s="1132"/>
      <c r="G12" s="1105"/>
      <c r="H12" s="253"/>
      <c r="I12" s="1133"/>
      <c r="J12" s="1115"/>
      <c r="K12" s="254"/>
      <c r="L12" s="1116"/>
      <c r="M12" s="1116"/>
      <c r="N12" s="56"/>
      <c r="O12" s="1116"/>
      <c r="P12" s="1115"/>
      <c r="Q12" s="255"/>
      <c r="R12" s="1116"/>
      <c r="S12" s="1116"/>
      <c r="T12" s="256"/>
      <c r="U12" s="1116"/>
      <c r="V12" s="1115"/>
      <c r="W12" s="117"/>
      <c r="X12" s="1116"/>
      <c r="Y12" s="1116"/>
      <c r="Z12" s="56"/>
      <c r="AA12" s="1116"/>
      <c r="AB12" s="1115"/>
      <c r="AC12" s="254"/>
      <c r="AD12" s="1116"/>
      <c r="AE12" s="1116"/>
      <c r="AF12" s="215"/>
      <c r="AG12" s="215"/>
      <c r="AH12" s="1134"/>
      <c r="AI12" s="1134"/>
    </row>
    <row r="13" spans="1:64" ht="14.25" customHeight="1">
      <c r="D13" s="1131"/>
      <c r="E13" s="1132"/>
      <c r="F13" s="1132"/>
      <c r="G13" s="1105"/>
      <c r="H13" s="253"/>
      <c r="I13" s="1133"/>
      <c r="J13" s="1115"/>
      <c r="K13" s="254"/>
      <c r="L13" s="1116"/>
      <c r="M13" s="1116"/>
      <c r="N13" s="56"/>
      <c r="O13" s="1116"/>
      <c r="P13" s="1115"/>
      <c r="Q13" s="255"/>
      <c r="R13" s="1116"/>
      <c r="S13" s="1116"/>
      <c r="T13" s="256"/>
      <c r="U13" s="1116"/>
      <c r="V13" s="1115"/>
      <c r="W13" s="117"/>
      <c r="X13" s="1116"/>
      <c r="Y13" s="1116"/>
      <c r="Z13" s="117"/>
      <c r="AA13" s="215"/>
      <c r="AB13" s="1134"/>
      <c r="AC13" s="1134"/>
      <c r="AD13" s="1134"/>
      <c r="AE13" s="1134"/>
      <c r="AF13" s="1134"/>
      <c r="AG13" s="1134"/>
      <c r="AH13" s="1134"/>
      <c r="AI13" s="1134"/>
    </row>
    <row r="14" spans="1:64" ht="14.25" customHeight="1">
      <c r="D14" s="1131"/>
      <c r="E14" s="1132"/>
      <c r="F14" s="1132"/>
      <c r="G14" s="1105"/>
      <c r="H14" s="253"/>
      <c r="I14" s="1133"/>
      <c r="J14" s="1115"/>
      <c r="K14" s="254"/>
      <c r="L14" s="1116"/>
      <c r="M14" s="1116"/>
      <c r="N14" s="56"/>
      <c r="O14" s="1116"/>
      <c r="P14" s="1115"/>
      <c r="Q14" s="255"/>
      <c r="R14" s="1116"/>
      <c r="S14" s="1116"/>
      <c r="T14" s="257"/>
      <c r="U14" s="258"/>
      <c r="V14" s="1134"/>
      <c r="W14" s="1134"/>
      <c r="X14" s="1134"/>
      <c r="Y14" s="1134"/>
      <c r="Z14" s="1134"/>
      <c r="AA14" s="1134"/>
      <c r="AB14" s="1134"/>
      <c r="AC14" s="1134"/>
      <c r="AD14" s="1134"/>
      <c r="AE14" s="1134"/>
      <c r="AF14" s="1134"/>
      <c r="AG14" s="1134"/>
      <c r="AH14" s="1134"/>
      <c r="AI14" s="1134"/>
    </row>
    <row r="15" spans="1:64" ht="11.25" customHeight="1">
      <c r="D15" s="1131"/>
      <c r="E15" s="1132"/>
      <c r="F15" s="1132"/>
      <c r="G15" s="1105"/>
      <c r="H15" s="259"/>
      <c r="I15" s="1133"/>
      <c r="J15" s="1115"/>
      <c r="K15" s="254"/>
      <c r="L15" s="1116"/>
      <c r="M15" s="1116"/>
      <c r="N15" s="215"/>
      <c r="O15" s="215"/>
      <c r="P15" s="1134"/>
      <c r="Q15" s="1134"/>
      <c r="R15" s="1134"/>
      <c r="S15" s="1134"/>
      <c r="T15" s="1134"/>
      <c r="U15" s="1134"/>
      <c r="V15" s="1134"/>
      <c r="W15" s="1134"/>
      <c r="X15" s="1134"/>
      <c r="Y15" s="1134"/>
      <c r="Z15" s="1134"/>
      <c r="AA15" s="1134"/>
      <c r="AB15" s="1134"/>
      <c r="AC15" s="1134"/>
      <c r="AD15" s="1134"/>
      <c r="AE15" s="1134"/>
      <c r="AF15" s="1134"/>
      <c r="AG15" s="1134"/>
      <c r="AH15" s="1134"/>
      <c r="AI15" s="1134"/>
    </row>
    <row r="16" spans="1:64" s="237" customFormat="1" ht="11.25" customHeight="1">
      <c r="D16" s="1131"/>
      <c r="E16" s="1132"/>
      <c r="F16" s="1132"/>
      <c r="G16" s="1105"/>
      <c r="H16" s="260"/>
      <c r="I16" s="261"/>
      <c r="J16" s="1135"/>
      <c r="K16" s="1135"/>
      <c r="L16" s="1135"/>
      <c r="M16" s="1135"/>
      <c r="N16" s="1135"/>
      <c r="O16" s="1135"/>
      <c r="P16" s="1135"/>
      <c r="Q16" s="1135"/>
      <c r="R16" s="1135"/>
      <c r="S16" s="1135"/>
      <c r="T16" s="1135"/>
      <c r="U16" s="1135"/>
      <c r="V16" s="1135"/>
      <c r="W16" s="1135"/>
      <c r="X16" s="1135"/>
      <c r="Y16" s="1135"/>
      <c r="Z16" s="1135"/>
      <c r="AA16" s="1135"/>
      <c r="AB16" s="1135"/>
      <c r="AC16" s="1135"/>
      <c r="AD16" s="1135"/>
      <c r="AE16" s="1135"/>
      <c r="AF16" s="1135"/>
      <c r="AG16" s="1135"/>
      <c r="AH16" s="1135"/>
      <c r="AI16" s="1135"/>
      <c r="AJ16" s="59"/>
      <c r="AK16" s="234"/>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row>
    <row r="17" spans="4:64" ht="14.25" customHeight="1">
      <c r="D17" s="1131" t="s">
        <v>106</v>
      </c>
      <c r="E17" s="1132" t="s">
        <v>280</v>
      </c>
      <c r="F17" s="1132" t="s">
        <v>282</v>
      </c>
      <c r="G17" s="1105" t="s">
        <v>53</v>
      </c>
      <c r="H17" s="249"/>
      <c r="I17" s="1133"/>
      <c r="J17" s="1115"/>
      <c r="K17" s="210"/>
      <c r="L17" s="1116"/>
      <c r="M17" s="1116"/>
      <c r="N17" s="250"/>
      <c r="O17" s="1116"/>
      <c r="P17" s="1115"/>
      <c r="Q17" s="210"/>
      <c r="R17" s="1116"/>
      <c r="S17" s="1116"/>
      <c r="T17" s="251"/>
      <c r="U17" s="1116"/>
      <c r="V17" s="1115"/>
      <c r="W17" s="211"/>
      <c r="X17" s="1116"/>
      <c r="Y17" s="1116"/>
      <c r="Z17" s="250"/>
      <c r="AA17" s="1116"/>
      <c r="AB17" s="1115"/>
      <c r="AC17" s="252"/>
      <c r="AD17" s="1116"/>
      <c r="AE17" s="1116"/>
      <c r="AF17" s="211"/>
      <c r="AG17" s="211"/>
      <c r="AH17" s="250"/>
      <c r="AI17" s="213"/>
    </row>
    <row r="18" spans="4:64" ht="14.25" customHeight="1">
      <c r="D18" s="1131"/>
      <c r="E18" s="1132"/>
      <c r="F18" s="1132"/>
      <c r="G18" s="1105"/>
      <c r="H18" s="253"/>
      <c r="I18" s="1133"/>
      <c r="J18" s="1115"/>
      <c r="K18" s="254"/>
      <c r="L18" s="1116"/>
      <c r="M18" s="1116"/>
      <c r="N18" s="56"/>
      <c r="O18" s="1116"/>
      <c r="P18" s="1115"/>
      <c r="Q18" s="255"/>
      <c r="R18" s="1116"/>
      <c r="S18" s="1116"/>
      <c r="T18" s="256"/>
      <c r="U18" s="1116"/>
      <c r="V18" s="1115"/>
      <c r="W18" s="117"/>
      <c r="X18" s="1116"/>
      <c r="Y18" s="1116"/>
      <c r="Z18" s="56"/>
      <c r="AA18" s="1116"/>
      <c r="AB18" s="1115"/>
      <c r="AC18" s="254"/>
      <c r="AD18" s="1116"/>
      <c r="AE18" s="1116"/>
      <c r="AF18" s="215"/>
      <c r="AG18" s="215"/>
      <c r="AH18" s="1134"/>
      <c r="AI18" s="1134"/>
    </row>
    <row r="19" spans="4:64" ht="14.25" customHeight="1">
      <c r="D19" s="1131"/>
      <c r="E19" s="1132"/>
      <c r="F19" s="1132"/>
      <c r="G19" s="1105"/>
      <c r="H19" s="253"/>
      <c r="I19" s="1133"/>
      <c r="J19" s="1115"/>
      <c r="K19" s="254"/>
      <c r="L19" s="1116"/>
      <c r="M19" s="1116"/>
      <c r="N19" s="56"/>
      <c r="O19" s="1116"/>
      <c r="P19" s="1115"/>
      <c r="Q19" s="255"/>
      <c r="R19" s="1116"/>
      <c r="S19" s="1116"/>
      <c r="T19" s="256"/>
      <c r="U19" s="1116"/>
      <c r="V19" s="1115"/>
      <c r="W19" s="117"/>
      <c r="X19" s="1116"/>
      <c r="Y19" s="1116"/>
      <c r="Z19" s="117"/>
      <c r="AA19" s="215"/>
      <c r="AB19" s="1134"/>
      <c r="AC19" s="1134"/>
      <c r="AD19" s="1134"/>
      <c r="AE19" s="1134"/>
      <c r="AF19" s="1134"/>
      <c r="AG19" s="1134"/>
      <c r="AH19" s="1134"/>
      <c r="AI19" s="1134"/>
    </row>
    <row r="20" spans="4:64" ht="14.25" customHeight="1">
      <c r="D20" s="1131"/>
      <c r="E20" s="1132"/>
      <c r="F20" s="1132"/>
      <c r="G20" s="1105"/>
      <c r="H20" s="253"/>
      <c r="I20" s="1133"/>
      <c r="J20" s="1115"/>
      <c r="K20" s="254"/>
      <c r="L20" s="1116"/>
      <c r="M20" s="1116"/>
      <c r="N20" s="56"/>
      <c r="O20" s="1116"/>
      <c r="P20" s="1115"/>
      <c r="Q20" s="255"/>
      <c r="R20" s="1116"/>
      <c r="S20" s="1116"/>
      <c r="T20" s="257"/>
      <c r="U20" s="258"/>
      <c r="V20" s="1134"/>
      <c r="W20" s="1134"/>
      <c r="X20" s="1134"/>
      <c r="Y20" s="1134"/>
      <c r="Z20" s="1134"/>
      <c r="AA20" s="1134"/>
      <c r="AB20" s="1134"/>
      <c r="AC20" s="1134"/>
      <c r="AD20" s="1134"/>
      <c r="AE20" s="1134"/>
      <c r="AF20" s="1134"/>
      <c r="AG20" s="1134"/>
      <c r="AH20" s="1134"/>
      <c r="AI20" s="1134"/>
    </row>
    <row r="21" spans="4:64" ht="11.25" customHeight="1">
      <c r="D21" s="1131"/>
      <c r="E21" s="1132"/>
      <c r="F21" s="1132"/>
      <c r="G21" s="1105"/>
      <c r="H21" s="259"/>
      <c r="I21" s="1133"/>
      <c r="J21" s="1115"/>
      <c r="K21" s="254"/>
      <c r="L21" s="1116"/>
      <c r="M21" s="1116"/>
      <c r="N21" s="215"/>
      <c r="O21" s="215"/>
      <c r="P21" s="1134"/>
      <c r="Q21" s="1134"/>
      <c r="R21" s="1134"/>
      <c r="S21" s="1134"/>
      <c r="T21" s="1134"/>
      <c r="U21" s="1134"/>
      <c r="V21" s="1134"/>
      <c r="W21" s="1134"/>
      <c r="X21" s="1134"/>
      <c r="Y21" s="1134"/>
      <c r="Z21" s="1134"/>
      <c r="AA21" s="1134"/>
      <c r="AB21" s="1134"/>
      <c r="AC21" s="1134"/>
      <c r="AD21" s="1134"/>
      <c r="AE21" s="1134"/>
      <c r="AF21" s="1134"/>
      <c r="AG21" s="1134"/>
      <c r="AH21" s="1134"/>
      <c r="AI21" s="1134"/>
    </row>
    <row r="22" spans="4:64" s="237" customFormat="1" ht="11.25" customHeight="1">
      <c r="D22" s="1131"/>
      <c r="E22" s="1132"/>
      <c r="F22" s="1132"/>
      <c r="G22" s="1105"/>
      <c r="H22" s="260"/>
      <c r="I22" s="261"/>
      <c r="J22" s="1135"/>
      <c r="K22" s="1135"/>
      <c r="L22" s="1135"/>
      <c r="M22" s="1135"/>
      <c r="N22" s="1135"/>
      <c r="O22" s="1135"/>
      <c r="P22" s="1135"/>
      <c r="Q22" s="1135"/>
      <c r="R22" s="1135"/>
      <c r="S22" s="1135"/>
      <c r="T22" s="1135"/>
      <c r="U22" s="1135"/>
      <c r="V22" s="1135"/>
      <c r="W22" s="1135"/>
      <c r="X22" s="1135"/>
      <c r="Y22" s="1135"/>
      <c r="Z22" s="1135"/>
      <c r="AA22" s="1135"/>
      <c r="AB22" s="1135"/>
      <c r="AC22" s="1135"/>
      <c r="AD22" s="1135"/>
      <c r="AE22" s="1135"/>
      <c r="AF22" s="1135"/>
      <c r="AG22" s="1135"/>
      <c r="AH22" s="1135"/>
      <c r="AI22" s="1135"/>
      <c r="AJ22" s="59"/>
      <c r="AK22" s="234"/>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row>
    <row r="23" spans="4:64" ht="14.25" customHeight="1">
      <c r="D23" s="1131" t="s">
        <v>86</v>
      </c>
      <c r="E23" s="1132" t="s">
        <v>280</v>
      </c>
      <c r="F23" s="1132" t="s">
        <v>283</v>
      </c>
      <c r="G23" s="1105" t="s">
        <v>53</v>
      </c>
      <c r="H23" s="249"/>
      <c r="I23" s="1133"/>
      <c r="J23" s="1115"/>
      <c r="K23" s="210"/>
      <c r="L23" s="1116"/>
      <c r="M23" s="1116"/>
      <c r="N23" s="250"/>
      <c r="O23" s="1116"/>
      <c r="P23" s="1115"/>
      <c r="Q23" s="210"/>
      <c r="R23" s="1116"/>
      <c r="S23" s="1116"/>
      <c r="T23" s="251"/>
      <c r="U23" s="1116"/>
      <c r="V23" s="1115"/>
      <c r="W23" s="211"/>
      <c r="X23" s="1116"/>
      <c r="Y23" s="1116"/>
      <c r="Z23" s="250"/>
      <c r="AA23" s="1116"/>
      <c r="AB23" s="1115"/>
      <c r="AC23" s="252"/>
      <c r="AD23" s="1116"/>
      <c r="AE23" s="1116"/>
      <c r="AF23" s="211"/>
      <c r="AG23" s="211"/>
      <c r="AH23" s="250"/>
      <c r="AI23" s="213"/>
      <c r="AK23" s="234" t="s">
        <v>94</v>
      </c>
    </row>
    <row r="24" spans="4:64" ht="14.25" customHeight="1">
      <c r="D24" s="1131"/>
      <c r="E24" s="1132"/>
      <c r="F24" s="1132"/>
      <c r="G24" s="1105"/>
      <c r="H24" s="253"/>
      <c r="I24" s="1133"/>
      <c r="J24" s="1115"/>
      <c r="K24" s="254"/>
      <c r="L24" s="1116"/>
      <c r="M24" s="1116"/>
      <c r="N24" s="56"/>
      <c r="O24" s="1116"/>
      <c r="P24" s="1115"/>
      <c r="Q24" s="255"/>
      <c r="R24" s="1116"/>
      <c r="S24" s="1116"/>
      <c r="T24" s="256"/>
      <c r="U24" s="1116"/>
      <c r="V24" s="1115"/>
      <c r="W24" s="117"/>
      <c r="X24" s="1116"/>
      <c r="Y24" s="1116"/>
      <c r="Z24" s="56"/>
      <c r="AA24" s="1116"/>
      <c r="AB24" s="1115"/>
      <c r="AC24" s="254"/>
      <c r="AD24" s="1116"/>
      <c r="AE24" s="1116"/>
      <c r="AF24" s="215"/>
      <c r="AG24" s="215"/>
      <c r="AH24" s="1134"/>
      <c r="AI24" s="1134"/>
    </row>
    <row r="25" spans="4:64" ht="14.25" customHeight="1">
      <c r="D25" s="1131"/>
      <c r="E25" s="1132"/>
      <c r="F25" s="1132"/>
      <c r="G25" s="1105"/>
      <c r="H25" s="253"/>
      <c r="I25" s="1133"/>
      <c r="J25" s="1115"/>
      <c r="K25" s="254"/>
      <c r="L25" s="1116"/>
      <c r="M25" s="1116"/>
      <c r="N25" s="56"/>
      <c r="O25" s="1116"/>
      <c r="P25" s="1115"/>
      <c r="Q25" s="255"/>
      <c r="R25" s="1116"/>
      <c r="S25" s="1116"/>
      <c r="T25" s="256"/>
      <c r="U25" s="1116"/>
      <c r="V25" s="1115"/>
      <c r="W25" s="117"/>
      <c r="X25" s="1116"/>
      <c r="Y25" s="1116"/>
      <c r="Z25" s="117"/>
      <c r="AA25" s="215"/>
      <c r="AB25" s="1134"/>
      <c r="AC25" s="1134"/>
      <c r="AD25" s="1134"/>
      <c r="AE25" s="1134"/>
      <c r="AF25" s="1134"/>
      <c r="AG25" s="1134"/>
      <c r="AH25" s="1134"/>
      <c r="AI25" s="1134"/>
    </row>
    <row r="26" spans="4:64" ht="14.25" customHeight="1">
      <c r="D26" s="1131"/>
      <c r="E26" s="1132"/>
      <c r="F26" s="1132"/>
      <c r="G26" s="1105"/>
      <c r="H26" s="253"/>
      <c r="I26" s="1133"/>
      <c r="J26" s="1115"/>
      <c r="K26" s="254"/>
      <c r="L26" s="1116"/>
      <c r="M26" s="1116"/>
      <c r="N26" s="56"/>
      <c r="O26" s="1116"/>
      <c r="P26" s="1115"/>
      <c r="Q26" s="255"/>
      <c r="R26" s="1116"/>
      <c r="S26" s="1116"/>
      <c r="T26" s="257"/>
      <c r="U26" s="258"/>
      <c r="V26" s="1134"/>
      <c r="W26" s="1134"/>
      <c r="X26" s="1134"/>
      <c r="Y26" s="1134"/>
      <c r="Z26" s="1134"/>
      <c r="AA26" s="1134"/>
      <c r="AB26" s="1134"/>
      <c r="AC26" s="1134"/>
      <c r="AD26" s="1134"/>
      <c r="AE26" s="1134"/>
      <c r="AF26" s="1134"/>
      <c r="AG26" s="1134"/>
      <c r="AH26" s="1134"/>
      <c r="AI26" s="1134"/>
    </row>
    <row r="27" spans="4:64" ht="11.25" customHeight="1">
      <c r="D27" s="1131"/>
      <c r="E27" s="1132"/>
      <c r="F27" s="1132"/>
      <c r="G27" s="1105"/>
      <c r="H27" s="259"/>
      <c r="I27" s="1133"/>
      <c r="J27" s="1115"/>
      <c r="K27" s="254"/>
      <c r="L27" s="1116"/>
      <c r="M27" s="1116"/>
      <c r="N27" s="215"/>
      <c r="O27" s="215"/>
      <c r="P27" s="1134"/>
      <c r="Q27" s="1134"/>
      <c r="R27" s="1134"/>
      <c r="S27" s="1134"/>
      <c r="T27" s="1134"/>
      <c r="U27" s="1134"/>
      <c r="V27" s="1134"/>
      <c r="W27" s="1134"/>
      <c r="X27" s="1134"/>
      <c r="Y27" s="1134"/>
      <c r="Z27" s="1134"/>
      <c r="AA27" s="1134"/>
      <c r="AB27" s="1134"/>
      <c r="AC27" s="1134"/>
      <c r="AD27" s="1134"/>
      <c r="AE27" s="1134"/>
      <c r="AF27" s="1134"/>
      <c r="AG27" s="1134"/>
      <c r="AH27" s="1134"/>
      <c r="AI27" s="1134"/>
    </row>
    <row r="28" spans="4:64" s="237" customFormat="1" ht="11.25" customHeight="1">
      <c r="D28" s="1131"/>
      <c r="E28" s="1132"/>
      <c r="F28" s="1132"/>
      <c r="G28" s="1105"/>
      <c r="H28" s="260"/>
      <c r="I28" s="261"/>
      <c r="J28" s="1135"/>
      <c r="K28" s="1135"/>
      <c r="L28" s="1135"/>
      <c r="M28" s="1135"/>
      <c r="N28" s="1135"/>
      <c r="O28" s="1135"/>
      <c r="P28" s="1135"/>
      <c r="Q28" s="1135"/>
      <c r="R28" s="1135"/>
      <c r="S28" s="1135"/>
      <c r="T28" s="1135"/>
      <c r="U28" s="1135"/>
      <c r="V28" s="1135"/>
      <c r="W28" s="1135"/>
      <c r="X28" s="1135"/>
      <c r="Y28" s="1135"/>
      <c r="Z28" s="1135"/>
      <c r="AA28" s="1135"/>
      <c r="AB28" s="1135"/>
      <c r="AC28" s="1135"/>
      <c r="AD28" s="1135"/>
      <c r="AE28" s="1135"/>
      <c r="AF28" s="1135"/>
      <c r="AG28" s="1135"/>
      <c r="AH28" s="1135"/>
      <c r="AI28" s="1135"/>
      <c r="AJ28" s="59"/>
      <c r="AK28" s="234"/>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4:64" ht="14.25" customHeight="1">
      <c r="D29" s="1131" t="s">
        <v>87</v>
      </c>
      <c r="E29" s="1132" t="s">
        <v>280</v>
      </c>
      <c r="F29" s="1132" t="s">
        <v>284</v>
      </c>
      <c r="G29" s="1105" t="s">
        <v>53</v>
      </c>
      <c r="H29" s="249"/>
      <c r="I29" s="1133"/>
      <c r="J29" s="1115"/>
      <c r="K29" s="210"/>
      <c r="L29" s="1116"/>
      <c r="M29" s="1116"/>
      <c r="N29" s="250"/>
      <c r="O29" s="1116"/>
      <c r="P29" s="1115"/>
      <c r="Q29" s="210"/>
      <c r="R29" s="1116"/>
      <c r="S29" s="1116"/>
      <c r="T29" s="251"/>
      <c r="U29" s="1116"/>
      <c r="V29" s="1115"/>
      <c r="W29" s="211"/>
      <c r="X29" s="1116"/>
      <c r="Y29" s="1116"/>
      <c r="Z29" s="250"/>
      <c r="AA29" s="1116"/>
      <c r="AB29" s="1115"/>
      <c r="AC29" s="252"/>
      <c r="AD29" s="1116"/>
      <c r="AE29" s="1116"/>
      <c r="AF29" s="211"/>
      <c r="AG29" s="211"/>
      <c r="AH29" s="250"/>
      <c r="AI29" s="213"/>
    </row>
    <row r="30" spans="4:64" ht="14.25" customHeight="1">
      <c r="D30" s="1131"/>
      <c r="E30" s="1132"/>
      <c r="F30" s="1132"/>
      <c r="G30" s="1105"/>
      <c r="H30" s="253"/>
      <c r="I30" s="1133"/>
      <c r="J30" s="1115"/>
      <c r="K30" s="254"/>
      <c r="L30" s="1116"/>
      <c r="M30" s="1116"/>
      <c r="N30" s="56"/>
      <c r="O30" s="1116"/>
      <c r="P30" s="1115"/>
      <c r="Q30" s="255"/>
      <c r="R30" s="1116"/>
      <c r="S30" s="1116"/>
      <c r="T30" s="256"/>
      <c r="U30" s="1116"/>
      <c r="V30" s="1115"/>
      <c r="W30" s="117"/>
      <c r="X30" s="1116"/>
      <c r="Y30" s="1116"/>
      <c r="Z30" s="56"/>
      <c r="AA30" s="1116"/>
      <c r="AB30" s="1115"/>
      <c r="AC30" s="254"/>
      <c r="AD30" s="1116"/>
      <c r="AE30" s="1116"/>
      <c r="AF30" s="215"/>
      <c r="AG30" s="215"/>
      <c r="AH30" s="1134"/>
      <c r="AI30" s="1134"/>
    </row>
    <row r="31" spans="4:64" ht="14.25" customHeight="1">
      <c r="D31" s="1131"/>
      <c r="E31" s="1132"/>
      <c r="F31" s="1132"/>
      <c r="G31" s="1105"/>
      <c r="H31" s="253"/>
      <c r="I31" s="1133"/>
      <c r="J31" s="1115"/>
      <c r="K31" s="254"/>
      <c r="L31" s="1116"/>
      <c r="M31" s="1116"/>
      <c r="N31" s="56"/>
      <c r="O31" s="1116"/>
      <c r="P31" s="1115"/>
      <c r="Q31" s="255"/>
      <c r="R31" s="1116"/>
      <c r="S31" s="1116"/>
      <c r="T31" s="256"/>
      <c r="U31" s="1116"/>
      <c r="V31" s="1115"/>
      <c r="W31" s="117"/>
      <c r="X31" s="1116"/>
      <c r="Y31" s="1116"/>
      <c r="Z31" s="117"/>
      <c r="AA31" s="215"/>
      <c r="AB31" s="1134"/>
      <c r="AC31" s="1134"/>
      <c r="AD31" s="1134"/>
      <c r="AE31" s="1134"/>
      <c r="AF31" s="1134"/>
      <c r="AG31" s="1134"/>
      <c r="AH31" s="1134"/>
      <c r="AI31" s="1134"/>
    </row>
    <row r="32" spans="4:64" ht="14.25" customHeight="1">
      <c r="D32" s="1131"/>
      <c r="E32" s="1132"/>
      <c r="F32" s="1132"/>
      <c r="G32" s="1105"/>
      <c r="H32" s="253"/>
      <c r="I32" s="1133"/>
      <c r="J32" s="1115"/>
      <c r="K32" s="254"/>
      <c r="L32" s="1116"/>
      <c r="M32" s="1116"/>
      <c r="N32" s="56"/>
      <c r="O32" s="1116"/>
      <c r="P32" s="1115"/>
      <c r="Q32" s="255"/>
      <c r="R32" s="1116"/>
      <c r="S32" s="1116"/>
      <c r="T32" s="257"/>
      <c r="U32" s="258"/>
      <c r="V32" s="1134"/>
      <c r="W32" s="1134"/>
      <c r="X32" s="1134"/>
      <c r="Y32" s="1134"/>
      <c r="Z32" s="1134"/>
      <c r="AA32" s="1134"/>
      <c r="AB32" s="1134"/>
      <c r="AC32" s="1134"/>
      <c r="AD32" s="1134"/>
      <c r="AE32" s="1134"/>
      <c r="AF32" s="1134"/>
      <c r="AG32" s="1134"/>
      <c r="AH32" s="1134"/>
      <c r="AI32" s="1134"/>
    </row>
    <row r="33" spans="4:64" ht="11.25" customHeight="1">
      <c r="D33" s="1131"/>
      <c r="E33" s="1132"/>
      <c r="F33" s="1132"/>
      <c r="G33" s="1105"/>
      <c r="H33" s="259"/>
      <c r="I33" s="1133"/>
      <c r="J33" s="1115"/>
      <c r="K33" s="254"/>
      <c r="L33" s="1116"/>
      <c r="M33" s="1116"/>
      <c r="N33" s="215"/>
      <c r="O33" s="215"/>
      <c r="P33" s="1134"/>
      <c r="Q33" s="1134"/>
      <c r="R33" s="1134"/>
      <c r="S33" s="1134"/>
      <c r="T33" s="1134"/>
      <c r="U33" s="1134"/>
      <c r="V33" s="1134"/>
      <c r="W33" s="1134"/>
      <c r="X33" s="1134"/>
      <c r="Y33" s="1134"/>
      <c r="Z33" s="1134"/>
      <c r="AA33" s="1134"/>
      <c r="AB33" s="1134"/>
      <c r="AC33" s="1134"/>
      <c r="AD33" s="1134"/>
      <c r="AE33" s="1134"/>
      <c r="AF33" s="1134"/>
      <c r="AG33" s="1134"/>
      <c r="AH33" s="1134"/>
      <c r="AI33" s="1134"/>
    </row>
    <row r="34" spans="4:64" s="237" customFormat="1" ht="11.25" customHeight="1">
      <c r="D34" s="1131"/>
      <c r="E34" s="1132"/>
      <c r="F34" s="1132"/>
      <c r="G34" s="1105"/>
      <c r="H34" s="260"/>
      <c r="I34" s="261"/>
      <c r="J34" s="1135"/>
      <c r="K34" s="1135"/>
      <c r="L34" s="1135"/>
      <c r="M34" s="1135"/>
      <c r="N34" s="1135"/>
      <c r="O34" s="1135"/>
      <c r="P34" s="1135"/>
      <c r="Q34" s="1135"/>
      <c r="R34" s="1135"/>
      <c r="S34" s="1135"/>
      <c r="T34" s="1135"/>
      <c r="U34" s="1135"/>
      <c r="V34" s="1135"/>
      <c r="W34" s="1135"/>
      <c r="X34" s="1135"/>
      <c r="Y34" s="1135"/>
      <c r="Z34" s="1135"/>
      <c r="AA34" s="1135"/>
      <c r="AB34" s="1135"/>
      <c r="AC34" s="1135"/>
      <c r="AD34" s="1135"/>
      <c r="AE34" s="1135"/>
      <c r="AF34" s="1135"/>
      <c r="AG34" s="1135"/>
      <c r="AH34" s="1135"/>
      <c r="AI34" s="1135"/>
      <c r="AJ34" s="59"/>
      <c r="AK34" s="234"/>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row>
    <row r="35" spans="4:64" ht="14.25" customHeight="1">
      <c r="D35" s="1136" t="s">
        <v>107</v>
      </c>
      <c r="E35" s="1137" t="s">
        <v>280</v>
      </c>
      <c r="F35" s="1137" t="s">
        <v>285</v>
      </c>
      <c r="G35" s="1105" t="s">
        <v>53</v>
      </c>
      <c r="H35" s="249"/>
      <c r="I35" s="1133"/>
      <c r="J35" s="1115"/>
      <c r="K35" s="210"/>
      <c r="L35" s="1116"/>
      <c r="M35" s="1116"/>
      <c r="N35" s="250"/>
      <c r="O35" s="1116"/>
      <c r="P35" s="1115"/>
      <c r="Q35" s="210"/>
      <c r="R35" s="1116"/>
      <c r="S35" s="1116"/>
      <c r="T35" s="251"/>
      <c r="U35" s="1116"/>
      <c r="V35" s="1115"/>
      <c r="W35" s="211"/>
      <c r="X35" s="1116"/>
      <c r="Y35" s="1116"/>
      <c r="Z35" s="250"/>
      <c r="AA35" s="1116"/>
      <c r="AB35" s="1115"/>
      <c r="AC35" s="252"/>
      <c r="AD35" s="1116"/>
      <c r="AE35" s="1116"/>
      <c r="AF35" s="211"/>
      <c r="AG35" s="211"/>
      <c r="AH35" s="250"/>
      <c r="AI35" s="213"/>
    </row>
    <row r="36" spans="4:64" ht="14.25" customHeight="1">
      <c r="D36" s="1136"/>
      <c r="E36" s="1137"/>
      <c r="F36" s="1137"/>
      <c r="G36" s="1105"/>
      <c r="H36" s="253"/>
      <c r="I36" s="1133"/>
      <c r="J36" s="1115"/>
      <c r="K36" s="254"/>
      <c r="L36" s="1116"/>
      <c r="M36" s="1116"/>
      <c r="N36" s="56"/>
      <c r="O36" s="1116"/>
      <c r="P36" s="1115"/>
      <c r="Q36" s="255"/>
      <c r="R36" s="1116"/>
      <c r="S36" s="1116"/>
      <c r="T36" s="256"/>
      <c r="U36" s="1116"/>
      <c r="V36" s="1115"/>
      <c r="W36" s="117"/>
      <c r="X36" s="1116"/>
      <c r="Y36" s="1116"/>
      <c r="Z36" s="56"/>
      <c r="AA36" s="1116"/>
      <c r="AB36" s="1115"/>
      <c r="AC36" s="254"/>
      <c r="AD36" s="1116"/>
      <c r="AE36" s="1116"/>
      <c r="AF36" s="215"/>
      <c r="AG36" s="215"/>
      <c r="AH36" s="1134"/>
      <c r="AI36" s="1134"/>
    </row>
    <row r="37" spans="4:64" ht="14.25" customHeight="1">
      <c r="D37" s="1136"/>
      <c r="E37" s="1137"/>
      <c r="F37" s="1137"/>
      <c r="G37" s="1105"/>
      <c r="H37" s="253"/>
      <c r="I37" s="1133"/>
      <c r="J37" s="1115"/>
      <c r="K37" s="254"/>
      <c r="L37" s="1116"/>
      <c r="M37" s="1116"/>
      <c r="N37" s="56"/>
      <c r="O37" s="1116"/>
      <c r="P37" s="1115"/>
      <c r="Q37" s="255"/>
      <c r="R37" s="1116"/>
      <c r="S37" s="1116"/>
      <c r="T37" s="256"/>
      <c r="U37" s="1116"/>
      <c r="V37" s="1115"/>
      <c r="W37" s="117"/>
      <c r="X37" s="1116"/>
      <c r="Y37" s="1116"/>
      <c r="Z37" s="117"/>
      <c r="AA37" s="215"/>
      <c r="AB37" s="1134"/>
      <c r="AC37" s="1134"/>
      <c r="AD37" s="1134"/>
      <c r="AE37" s="1134"/>
      <c r="AF37" s="1134"/>
      <c r="AG37" s="1134"/>
      <c r="AH37" s="1134"/>
      <c r="AI37" s="1134"/>
    </row>
    <row r="38" spans="4:64" ht="14.25" customHeight="1">
      <c r="D38" s="1136"/>
      <c r="E38" s="1137"/>
      <c r="F38" s="1137"/>
      <c r="G38" s="1105"/>
      <c r="H38" s="253"/>
      <c r="I38" s="1133"/>
      <c r="J38" s="1115"/>
      <c r="K38" s="254"/>
      <c r="L38" s="1116"/>
      <c r="M38" s="1116"/>
      <c r="N38" s="56"/>
      <c r="O38" s="1116"/>
      <c r="P38" s="1115"/>
      <c r="Q38" s="255"/>
      <c r="R38" s="1116"/>
      <c r="S38" s="1116"/>
      <c r="T38" s="257"/>
      <c r="U38" s="258"/>
      <c r="V38" s="1134"/>
      <c r="W38" s="1134"/>
      <c r="X38" s="1134"/>
      <c r="Y38" s="1134"/>
      <c r="Z38" s="1134"/>
      <c r="AA38" s="1134"/>
      <c r="AB38" s="1134"/>
      <c r="AC38" s="1134"/>
      <c r="AD38" s="1134"/>
      <c r="AE38" s="1134"/>
      <c r="AF38" s="1134"/>
      <c r="AG38" s="1134"/>
      <c r="AH38" s="1134"/>
      <c r="AI38" s="1134"/>
    </row>
    <row r="39" spans="4:64" ht="11.25" customHeight="1">
      <c r="D39" s="1136"/>
      <c r="E39" s="1137"/>
      <c r="F39" s="1137"/>
      <c r="G39" s="1105"/>
      <c r="H39" s="259"/>
      <c r="I39" s="1133"/>
      <c r="J39" s="1115"/>
      <c r="K39" s="254"/>
      <c r="L39" s="1116"/>
      <c r="M39" s="1116"/>
      <c r="N39" s="215"/>
      <c r="O39" s="215"/>
      <c r="P39" s="1134"/>
      <c r="Q39" s="1134"/>
      <c r="R39" s="1134"/>
      <c r="S39" s="1134"/>
      <c r="T39" s="1134"/>
      <c r="U39" s="1134"/>
      <c r="V39" s="1134"/>
      <c r="W39" s="1134"/>
      <c r="X39" s="1134"/>
      <c r="Y39" s="1134"/>
      <c r="Z39" s="1134"/>
      <c r="AA39" s="1134"/>
      <c r="AB39" s="1134"/>
      <c r="AC39" s="1134"/>
      <c r="AD39" s="1134"/>
      <c r="AE39" s="1134"/>
      <c r="AF39" s="1134"/>
      <c r="AG39" s="1134"/>
      <c r="AH39" s="1134"/>
      <c r="AI39" s="1134"/>
    </row>
    <row r="40" spans="4:64" s="237" customFormat="1" ht="11.25" customHeight="1">
      <c r="D40" s="1136"/>
      <c r="E40" s="1137"/>
      <c r="F40" s="1137"/>
      <c r="G40" s="1105"/>
      <c r="H40" s="260"/>
      <c r="I40" s="261"/>
      <c r="J40" s="1135"/>
      <c r="K40" s="1135"/>
      <c r="L40" s="1135"/>
      <c r="M40" s="1135"/>
      <c r="N40" s="1135"/>
      <c r="O40" s="1135"/>
      <c r="P40" s="1135"/>
      <c r="Q40" s="1135"/>
      <c r="R40" s="1135"/>
      <c r="S40" s="1135"/>
      <c r="T40" s="1135"/>
      <c r="U40" s="1135"/>
      <c r="V40" s="1135"/>
      <c r="W40" s="1135"/>
      <c r="X40" s="1135"/>
      <c r="Y40" s="1135"/>
      <c r="Z40" s="1135"/>
      <c r="AA40" s="1135"/>
      <c r="AB40" s="1135"/>
      <c r="AC40" s="1135"/>
      <c r="AD40" s="1135"/>
      <c r="AE40" s="1135"/>
      <c r="AF40" s="1135"/>
      <c r="AG40" s="1135"/>
      <c r="AH40" s="1135"/>
      <c r="AI40" s="1135"/>
      <c r="AJ40" s="59"/>
      <c r="AK40" s="234"/>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row>
    <row r="41" spans="4:64" ht="11.25" customHeight="1">
      <c r="AK41" s="59"/>
    </row>
    <row r="42" spans="4:64" ht="11.25" customHeight="1">
      <c r="AK42" s="59"/>
    </row>
    <row r="43" spans="4:64" ht="11.25" customHeight="1">
      <c r="AK43" s="59"/>
    </row>
    <row r="44" spans="4:64" ht="11.25" customHeight="1">
      <c r="AK44" s="59"/>
    </row>
    <row r="45" spans="4:64" ht="11.25" customHeight="1">
      <c r="AK45" s="59"/>
    </row>
    <row r="46" spans="4:64" ht="11.25" customHeight="1">
      <c r="AK46" s="59"/>
    </row>
    <row r="47" spans="4:64" ht="11.25" customHeight="1">
      <c r="AK47" s="59"/>
    </row>
    <row r="48" spans="4:64" ht="11.25" customHeight="1">
      <c r="AK48" s="59"/>
    </row>
    <row r="49" spans="37:37" ht="11.25" customHeight="1">
      <c r="AK49" s="59"/>
    </row>
  </sheetData>
  <mergeCells count="151">
    <mergeCell ref="AB35:AB36"/>
    <mergeCell ref="AD35:AD36"/>
    <mergeCell ref="AE35:AE36"/>
    <mergeCell ref="AH36:AI36"/>
    <mergeCell ref="AB37:AI37"/>
    <mergeCell ref="V38:AI38"/>
    <mergeCell ref="P39:AI39"/>
    <mergeCell ref="J40:AI4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P29:P32"/>
    <mergeCell ref="R29:R32"/>
    <mergeCell ref="S29:S32"/>
    <mergeCell ref="U29:U31"/>
    <mergeCell ref="V29:V31"/>
    <mergeCell ref="X29:X31"/>
    <mergeCell ref="Y29:Y31"/>
    <mergeCell ref="AA29:AA30"/>
    <mergeCell ref="AB29:AB30"/>
    <mergeCell ref="D29:D34"/>
    <mergeCell ref="E29:E34"/>
    <mergeCell ref="F29:F34"/>
    <mergeCell ref="G29:G34"/>
    <mergeCell ref="I29:I33"/>
    <mergeCell ref="J29:J33"/>
    <mergeCell ref="L29:L33"/>
    <mergeCell ref="M29:M33"/>
    <mergeCell ref="O29:O32"/>
    <mergeCell ref="AA23:AA24"/>
    <mergeCell ref="AB23:AB24"/>
    <mergeCell ref="AD23:AD24"/>
    <mergeCell ref="AE23:AE24"/>
    <mergeCell ref="AH24:AI24"/>
    <mergeCell ref="AB25:AI25"/>
    <mergeCell ref="V26:AI26"/>
    <mergeCell ref="P27:AI27"/>
    <mergeCell ref="J28:AI2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P11:P14"/>
    <mergeCell ref="R11:R14"/>
    <mergeCell ref="S11:S14"/>
    <mergeCell ref="U11:U13"/>
    <mergeCell ref="V11:V13"/>
    <mergeCell ref="X11:X13"/>
    <mergeCell ref="Y11:Y13"/>
    <mergeCell ref="AA11:AA12"/>
    <mergeCell ref="AB11:AB12"/>
    <mergeCell ref="D11:D16"/>
    <mergeCell ref="E11:E16"/>
    <mergeCell ref="F11:F16"/>
    <mergeCell ref="G11:G16"/>
    <mergeCell ref="I11:I15"/>
    <mergeCell ref="J11:J15"/>
    <mergeCell ref="L11:L15"/>
    <mergeCell ref="M11:M15"/>
    <mergeCell ref="O11:O14"/>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4:J4"/>
    <mergeCell ref="D5:J5"/>
    <mergeCell ref="D8:D10"/>
    <mergeCell ref="E8:E10"/>
    <mergeCell ref="F8:G8"/>
    <mergeCell ref="H8:I10"/>
    <mergeCell ref="J8:J10"/>
    <mergeCell ref="L8:P8"/>
    <mergeCell ref="R8:V8"/>
  </mergeCells>
  <dataValidations count="2">
    <dataValidation type="textLength" operator="lessThanOrEqual" allowBlank="1" showInputMessage="1" showErrorMessage="1" errorTitle="Ошибка" error="Допускается ввод не более 900 символов!" sqref="J11:J12 P11:P14 AI11 J13:J15 J17:J18 P17:P20 AI17 J19:J21 J23:J24 P23:P26 AI23 J25:J27 J29:J30 P29:P32 AI29 J31:J33 J35:J36 P35:P38 AI35 J37:J39">
      <formula1>900</formula1>
      <formula2>0</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1 AC17 AC23 AC29 AC35">
      <formula1>list_typetko</formula1>
      <formula2>0</formula2>
    </dataValidation>
  </dataValidations>
  <pageMargins left="0.7" right="0.7" top="0.625" bottom="0.62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B4E3"/>
  </sheetPr>
  <dimension ref="A1:I58"/>
  <sheetViews>
    <sheetView showGridLines="0" topLeftCell="C3" zoomScale="90" zoomScaleNormal="90" workbookViewId="0"/>
  </sheetViews>
  <sheetFormatPr defaultColWidth="9.140625" defaultRowHeight="11.25"/>
  <cols>
    <col min="1" max="1" width="15" style="264" hidden="1" customWidth="1"/>
    <col min="2" max="2" width="15" style="265" hidden="1" customWidth="1"/>
    <col min="3" max="3" width="3.7109375" style="266" customWidth="1"/>
    <col min="4" max="4" width="6.85546875" style="267" customWidth="1"/>
    <col min="5" max="5" width="52.28515625" style="266" customWidth="1"/>
    <col min="6" max="6" width="48.85546875" style="266" customWidth="1"/>
    <col min="7" max="7" width="121.7109375" style="266" customWidth="1"/>
    <col min="8" max="8" width="9.140625" style="266"/>
    <col min="9" max="9" width="65" style="266" customWidth="1"/>
  </cols>
  <sheetData>
    <row r="1" spans="1:9" ht="11.25" hidden="1" customHeight="1">
      <c r="A1" s="264" t="s">
        <v>286</v>
      </c>
    </row>
    <row r="2" spans="1:9" ht="11.25" hidden="1" customHeight="1"/>
    <row r="3" spans="1:9" s="268" customFormat="1" ht="11.25" customHeight="1">
      <c r="A3" s="264"/>
      <c r="B3" s="265"/>
      <c r="D3" s="269"/>
    </row>
    <row r="4" spans="1:9" ht="25.5" customHeight="1">
      <c r="D4" s="1106" t="str">
        <f>ORG_INFO_NAME_FORM</f>
        <v>Форма 1. Информация об организации, осуществляющей водоотведение (общая информация)</v>
      </c>
      <c r="E4" s="1106"/>
      <c r="F4" s="1106"/>
      <c r="I4" s="270"/>
    </row>
    <row r="5" spans="1:9" ht="17.25" customHeight="1">
      <c r="D5" s="1127" t="str">
        <f>IF(org=0,"Не определено",org)</f>
        <v>Филиал ПАО "ОГК-2" - Серовская ГРЭС, г. Серов</v>
      </c>
      <c r="E5" s="1127"/>
      <c r="F5" s="1127"/>
      <c r="I5" s="270"/>
    </row>
    <row r="6" spans="1:9" s="268" customFormat="1" ht="11.25" customHeight="1">
      <c r="A6" s="264"/>
      <c r="B6" s="265"/>
      <c r="D6" s="271"/>
      <c r="E6" s="271"/>
      <c r="F6" s="272"/>
      <c r="G6" s="271"/>
    </row>
    <row r="7" spans="1:9" ht="11.25" hidden="1" customHeight="1">
      <c r="A7" s="83"/>
      <c r="B7" s="273"/>
      <c r="C7" s="83"/>
      <c r="D7" s="77"/>
      <c r="E7" s="1138"/>
      <c r="F7" s="1138"/>
    </row>
    <row r="8" spans="1:9" ht="11.25" customHeight="1">
      <c r="A8" s="83"/>
      <c r="B8" s="273"/>
      <c r="C8" s="83"/>
      <c r="D8" s="1139" t="s">
        <v>287</v>
      </c>
      <c r="E8" s="1139"/>
      <c r="F8" s="1139"/>
      <c r="G8" s="1140" t="s">
        <v>288</v>
      </c>
    </row>
    <row r="9" spans="1:9" ht="11.25" customHeight="1">
      <c r="A9" s="83"/>
      <c r="B9" s="273"/>
      <c r="C9" s="83"/>
      <c r="D9" s="276" t="s">
        <v>84</v>
      </c>
      <c r="E9" s="275" t="s">
        <v>289</v>
      </c>
      <c r="F9" s="275" t="s">
        <v>290</v>
      </c>
      <c r="G9" s="1140"/>
    </row>
    <row r="10" spans="1:9" ht="12" hidden="1" customHeight="1">
      <c r="A10" s="83"/>
      <c r="B10" s="273"/>
      <c r="C10" s="83"/>
      <c r="D10" s="277"/>
      <c r="E10" s="277"/>
      <c r="F10" s="277"/>
      <c r="G10" s="277"/>
    </row>
    <row r="11" spans="1:9" ht="22.5" hidden="1" customHeight="1">
      <c r="A11" s="83"/>
      <c r="B11" s="273"/>
      <c r="C11" s="83"/>
      <c r="D11" s="278" t="s">
        <v>105</v>
      </c>
      <c r="E11" s="279" t="s">
        <v>291</v>
      </c>
      <c r="F11" s="280" t="str">
        <f>IF(region_name="","",region_name)</f>
        <v>Свердловская область</v>
      </c>
      <c r="G11" s="279" t="s">
        <v>292</v>
      </c>
      <c r="H11" s="281"/>
    </row>
    <row r="12" spans="1:9" ht="22.5" hidden="1" customHeight="1">
      <c r="A12" s="83"/>
      <c r="B12" s="273"/>
      <c r="C12" s="83"/>
      <c r="D12" s="282" t="s">
        <v>105</v>
      </c>
      <c r="E12" s="28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03" t="s">
        <v>293</v>
      </c>
      <c r="G12" s="284"/>
      <c r="H12" s="281"/>
    </row>
    <row r="13" spans="1:9" ht="22.5" customHeight="1">
      <c r="A13" s="83"/>
      <c r="B13" s="273"/>
      <c r="C13" s="83"/>
      <c r="D13" s="282" t="s">
        <v>105</v>
      </c>
      <c r="E13" s="285" t="str">
        <f>"Наименование юридического лица"&amp;IF(TEMPLATE_SPHERE="TKO"," (индивидуального предпринимателя)","")</f>
        <v>Наименование юридического лица</v>
      </c>
      <c r="F13" s="286"/>
      <c r="G13" s="28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1"/>
    </row>
    <row r="14" spans="1:9" ht="22.5" hidden="1" customHeight="1">
      <c r="A14" s="83"/>
      <c r="B14" s="273"/>
      <c r="C14" s="83"/>
      <c r="D14" s="278" t="s">
        <v>294</v>
      </c>
      <c r="E14" s="287" t="s">
        <v>295</v>
      </c>
      <c r="F14" s="280" t="str">
        <f>IF(inn="","",inn)</f>
        <v>2607018122</v>
      </c>
      <c r="G14" s="279" t="s">
        <v>296</v>
      </c>
      <c r="H14" s="281"/>
    </row>
    <row r="15" spans="1:9" ht="22.5" hidden="1" customHeight="1">
      <c r="A15" s="83"/>
      <c r="B15" s="273"/>
      <c r="C15" s="83"/>
      <c r="D15" s="278" t="s">
        <v>297</v>
      </c>
      <c r="E15" s="287" t="s">
        <v>298</v>
      </c>
      <c r="F15" s="280" t="str">
        <f>IF(kpp="","",kpp)</f>
        <v>663202001</v>
      </c>
      <c r="G15" s="279" t="s">
        <v>299</v>
      </c>
      <c r="H15" s="281"/>
    </row>
    <row r="16" spans="1:9" ht="36.75" customHeight="1">
      <c r="A16" s="83"/>
      <c r="B16" s="273"/>
      <c r="C16" s="83"/>
      <c r="D16" s="282" t="s">
        <v>106</v>
      </c>
      <c r="E16" s="28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86"/>
      <c r="G16" s="28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1"/>
    </row>
    <row r="17" spans="1:9" ht="22.5" customHeight="1">
      <c r="A17" s="83"/>
      <c r="B17" s="273"/>
      <c r="C17" s="83"/>
      <c r="D17" s="282" t="s">
        <v>86</v>
      </c>
      <c r="E17" s="285" t="str">
        <f>"Дата присвоения ОГРН"&amp;IF(TEMPLATE_SPHERE="TKO",""," (ОГРНИП)")</f>
        <v>Дата присвоения ОГРН (ОГРНИП)</v>
      </c>
      <c r="F17" s="81"/>
      <c r="G17" s="283" t="str">
        <f>"Дата присвоения ОГРН"&amp;IF(TEMPLATE_SPHERE="TKO",""," (ОГРНИП)")&amp;" указывается в виде «ДД.ММ.ГГГГ»."</f>
        <v>Дата присвоения ОГРН (ОГРНИП) указывается в виде «ДД.ММ.ГГГГ».</v>
      </c>
      <c r="H17" s="281"/>
    </row>
    <row r="18" spans="1:9" ht="56.25" customHeight="1">
      <c r="A18" s="83"/>
      <c r="B18" s="273"/>
      <c r="C18" s="83"/>
      <c r="D18" s="282" t="s">
        <v>87</v>
      </c>
      <c r="E18" s="28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86"/>
      <c r="G18" s="284"/>
      <c r="H18" s="281"/>
    </row>
    <row r="19" spans="1:9" ht="22.5" hidden="1" customHeight="1">
      <c r="A19" s="1093">
        <v>1</v>
      </c>
      <c r="B19" s="273"/>
      <c r="C19" s="1141"/>
      <c r="D19" s="289">
        <v>5</v>
      </c>
      <c r="E19" s="285" t="s">
        <v>300</v>
      </c>
      <c r="F19" s="203" t="s">
        <v>293</v>
      </c>
      <c r="G19" s="283" t="s">
        <v>301</v>
      </c>
      <c r="H19" s="281"/>
      <c r="I19" s="290"/>
    </row>
    <row r="20" spans="1:9" ht="33.75" hidden="1" customHeight="1">
      <c r="A20" s="1093"/>
      <c r="B20" s="273"/>
      <c r="C20" s="1141"/>
      <c r="D20" s="282" t="s">
        <v>302</v>
      </c>
      <c r="E20" s="291" t="s">
        <v>303</v>
      </c>
      <c r="F20" s="292"/>
      <c r="G20" s="284"/>
      <c r="H20" s="281"/>
      <c r="I20" s="290"/>
    </row>
    <row r="21" spans="1:9" ht="22.5" hidden="1" customHeight="1">
      <c r="A21" s="1093"/>
      <c r="B21" s="273"/>
      <c r="C21" s="1141"/>
      <c r="D21" s="282" t="s">
        <v>304</v>
      </c>
      <c r="E21" s="291" t="s">
        <v>305</v>
      </c>
      <c r="F21" s="89"/>
      <c r="G21" s="283" t="s">
        <v>306</v>
      </c>
      <c r="H21" s="281"/>
      <c r="I21" s="290"/>
    </row>
    <row r="22" spans="1:9" ht="22.5" hidden="1" customHeight="1">
      <c r="A22" s="1093"/>
      <c r="B22" s="273"/>
      <c r="C22" s="1141"/>
      <c r="D22" s="282" t="s">
        <v>307</v>
      </c>
      <c r="E22" s="291" t="s">
        <v>308</v>
      </c>
      <c r="F22" s="292"/>
      <c r="G22" s="284"/>
      <c r="H22" s="281"/>
      <c r="I22" s="290"/>
    </row>
    <row r="23" spans="1:9" ht="22.5" hidden="1" customHeight="1">
      <c r="A23" s="1093"/>
      <c r="B23" s="273"/>
      <c r="C23" s="1141"/>
      <c r="D23" s="282" t="s">
        <v>309</v>
      </c>
      <c r="E23" s="291" t="s">
        <v>310</v>
      </c>
      <c r="F23" s="292"/>
      <c r="G23" s="283" t="s">
        <v>311</v>
      </c>
      <c r="H23" s="281"/>
      <c r="I23" s="290"/>
    </row>
    <row r="24" spans="1:9" s="265" customFormat="1" ht="24.75" hidden="1" customHeight="1">
      <c r="A24" s="83"/>
      <c r="B24" s="273"/>
      <c r="C24" s="273"/>
      <c r="D24" s="293" t="s">
        <v>86</v>
      </c>
      <c r="E24" s="294" t="s">
        <v>312</v>
      </c>
      <c r="F24" s="149" t="s">
        <v>293</v>
      </c>
      <c r="G24" s="294"/>
    </row>
    <row r="25" spans="1:9" s="265" customFormat="1" ht="11.25" hidden="1" customHeight="1">
      <c r="A25" s="83"/>
      <c r="B25" s="273"/>
      <c r="C25" s="273"/>
      <c r="D25" s="293" t="s">
        <v>313</v>
      </c>
      <c r="E25" s="295" t="s">
        <v>314</v>
      </c>
      <c r="F25" s="149" t="s">
        <v>293</v>
      </c>
      <c r="G25" s="294"/>
    </row>
    <row r="26" spans="1:9" s="265" customFormat="1" ht="11.25" hidden="1" customHeight="1">
      <c r="A26" s="83"/>
      <c r="B26" s="273"/>
      <c r="C26" s="273"/>
      <c r="D26" s="293" t="s">
        <v>315</v>
      </c>
      <c r="E26" s="296" t="s">
        <v>316</v>
      </c>
      <c r="F26" s="297"/>
      <c r="G26" s="2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265" customFormat="1" ht="11.25" hidden="1" customHeight="1">
      <c r="A27" s="83"/>
      <c r="B27" s="273"/>
      <c r="C27" s="273"/>
      <c r="D27" s="293" t="s">
        <v>317</v>
      </c>
      <c r="E27" s="296" t="s">
        <v>318</v>
      </c>
      <c r="F27" s="297"/>
      <c r="G27" s="2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265" customFormat="1" ht="11.25" hidden="1" customHeight="1">
      <c r="A28" s="83"/>
      <c r="B28" s="273"/>
      <c r="C28" s="273"/>
      <c r="D28" s="293" t="s">
        <v>319</v>
      </c>
      <c r="E28" s="296" t="s">
        <v>320</v>
      </c>
      <c r="F28" s="297"/>
      <c r="G28" s="2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265" customFormat="1" ht="11.25" hidden="1" customHeight="1">
      <c r="A29" s="83"/>
      <c r="B29" s="273"/>
      <c r="C29" s="273"/>
      <c r="D29" s="293" t="s">
        <v>321</v>
      </c>
      <c r="E29" s="295" t="s">
        <v>322</v>
      </c>
      <c r="F29" s="297"/>
      <c r="G29" s="294"/>
    </row>
    <row r="30" spans="1:9" s="265" customFormat="1" ht="11.25" hidden="1" customHeight="1">
      <c r="A30" s="83"/>
      <c r="B30" s="273"/>
      <c r="C30" s="273"/>
      <c r="D30" s="293" t="s">
        <v>323</v>
      </c>
      <c r="E30" s="295" t="s">
        <v>324</v>
      </c>
      <c r="F30" s="297"/>
      <c r="G30" s="294"/>
    </row>
    <row r="31" spans="1:9" s="265" customFormat="1" ht="11.25" hidden="1" customHeight="1">
      <c r="A31" s="83"/>
      <c r="B31" s="273"/>
      <c r="C31" s="273"/>
      <c r="D31" s="293" t="s">
        <v>325</v>
      </c>
      <c r="E31" s="295" t="s">
        <v>326</v>
      </c>
      <c r="F31" s="297"/>
      <c r="G31" s="294"/>
    </row>
    <row r="32" spans="1:9" ht="22.5" customHeight="1">
      <c r="A32" s="83" t="str">
        <f>IF(TEMPLATE_SPHERE="HEAT","6","5")</f>
        <v>5</v>
      </c>
      <c r="B32" s="273"/>
      <c r="C32" s="83"/>
      <c r="D32" s="289" t="str">
        <f>A32</f>
        <v>5</v>
      </c>
      <c r="E32" s="29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203" t="s">
        <v>293</v>
      </c>
      <c r="G32" s="284"/>
      <c r="H32" s="281"/>
    </row>
    <row r="33" spans="1:8" ht="22.5" customHeight="1">
      <c r="A33" s="83"/>
      <c r="B33" s="273"/>
      <c r="C33" s="83"/>
      <c r="D33" s="289" t="str">
        <f>D32&amp;".1"</f>
        <v>5.1</v>
      </c>
      <c r="E33" s="285" t="str">
        <f>"фамилия"&amp;IF(TEMPLATE_SPHERE&lt;&gt;"HEAT"," руководителя","")</f>
        <v>фамилия руководителя</v>
      </c>
      <c r="F33" s="286"/>
      <c r="G33" s="28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81"/>
    </row>
    <row r="34" spans="1:8" ht="22.5" customHeight="1">
      <c r="A34" s="83"/>
      <c r="B34" s="273"/>
      <c r="C34" s="83"/>
      <c r="D34" s="289" t="str">
        <f>D32&amp;".2"</f>
        <v>5.2</v>
      </c>
      <c r="E34" s="285" t="str">
        <f>"имя"&amp;IF(TEMPLATE_SPHERE&lt;&gt;"HEAT"," руководителя","")</f>
        <v>имя руководителя</v>
      </c>
      <c r="F34" s="286"/>
      <c r="G34" s="28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81"/>
    </row>
    <row r="35" spans="1:8" ht="22.5" customHeight="1">
      <c r="A35" s="83"/>
      <c r="B35" s="273"/>
      <c r="C35" s="83"/>
      <c r="D35" s="289" t="str">
        <f>D32&amp;".3"</f>
        <v>5.3</v>
      </c>
      <c r="E35" s="285" t="str">
        <f>"отчество"&amp;IF(TEMPLATE_SPHERE&lt;&gt;"HEAT"," руководителя","")</f>
        <v>отчество руководителя</v>
      </c>
      <c r="F35" s="299"/>
      <c r="G35" s="28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81"/>
    </row>
    <row r="36" spans="1:8" ht="33.75" customHeight="1">
      <c r="A36" s="83"/>
      <c r="B36" s="273"/>
      <c r="C36" s="83"/>
      <c r="D36" s="289">
        <f>D32+1</f>
        <v>6</v>
      </c>
      <c r="E36" s="29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86"/>
      <c r="G36" s="283" t="s">
        <v>327</v>
      </c>
      <c r="H36" s="281"/>
    </row>
    <row r="37" spans="1:8" ht="33.75" customHeight="1">
      <c r="A37" s="83"/>
      <c r="B37" s="273"/>
      <c r="C37" s="83"/>
      <c r="D37" s="289">
        <f>D36+1</f>
        <v>7</v>
      </c>
      <c r="E37" s="29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86"/>
      <c r="G37" s="283" t="s">
        <v>327</v>
      </c>
      <c r="H37" s="281"/>
    </row>
    <row r="38" spans="1:8" ht="22.5" customHeight="1">
      <c r="A38" s="83"/>
      <c r="B38" s="273"/>
      <c r="C38" s="83"/>
      <c r="D38" s="289">
        <f>D37+1</f>
        <v>8</v>
      </c>
      <c r="E38" s="3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203" t="s">
        <v>293</v>
      </c>
      <c r="G38" s="114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1"/>
    </row>
    <row r="39" spans="1:8" ht="22.5" hidden="1" customHeight="1">
      <c r="A39" s="83"/>
      <c r="B39" s="273"/>
      <c r="C39" s="83"/>
      <c r="D39" s="289" t="str">
        <f>D38&amp;".0"</f>
        <v>8.0</v>
      </c>
      <c r="E39" s="301"/>
      <c r="F39" s="292"/>
      <c r="G39" s="1142"/>
      <c r="H39" s="281"/>
    </row>
    <row r="40" spans="1:8" ht="22.5" customHeight="1">
      <c r="A40" s="83"/>
      <c r="B40" s="83"/>
      <c r="C40" s="302"/>
      <c r="D40" s="289" t="str">
        <f>D38&amp;".1"</f>
        <v>8.1</v>
      </c>
      <c r="E40" s="303"/>
      <c r="F40" s="304"/>
      <c r="G40" s="1142"/>
      <c r="H40" s="281"/>
    </row>
    <row r="41" spans="1:8" ht="15" customHeight="1">
      <c r="A41" s="83"/>
      <c r="B41" s="273"/>
      <c r="C41" s="83"/>
      <c r="D41" s="305"/>
      <c r="E41" s="163" t="s">
        <v>328</v>
      </c>
      <c r="F41" s="306"/>
      <c r="G41" s="1142"/>
      <c r="H41" s="307"/>
    </row>
    <row r="42" spans="1:8" ht="25.5" customHeight="1">
      <c r="A42" s="83"/>
      <c r="B42" s="273"/>
      <c r="C42" s="83"/>
      <c r="D42" s="289">
        <f>D38+1</f>
        <v>9</v>
      </c>
      <c r="E42" s="29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08"/>
      <c r="G42" s="28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1"/>
    </row>
    <row r="43" spans="1:8" ht="22.5" customHeight="1">
      <c r="A43" s="83"/>
      <c r="B43" s="273"/>
      <c r="C43" s="83"/>
      <c r="D43" s="289">
        <f>D42+1</f>
        <v>10</v>
      </c>
      <c r="E43" s="29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24"/>
      <c r="G43" s="284" t="s">
        <v>329</v>
      </c>
      <c r="H43" s="281"/>
    </row>
    <row r="44" spans="1:8" ht="22.5" customHeight="1">
      <c r="A44" s="83"/>
      <c r="B44" s="273"/>
      <c r="C44" s="83"/>
      <c r="D44" s="289">
        <f>D43+1</f>
        <v>11</v>
      </c>
      <c r="E44" s="298" t="s">
        <v>330</v>
      </c>
      <c r="F44" s="203" t="s">
        <v>293</v>
      </c>
      <c r="G44" s="300" t="str">
        <f>IF(TEMPLATE_SPHERE="TKO","Указывается режим работы организации.","")</f>
        <v/>
      </c>
      <c r="H44" s="281"/>
    </row>
    <row r="45" spans="1:8" ht="22.5" customHeight="1">
      <c r="A45" s="83"/>
      <c r="B45" s="273"/>
      <c r="C45" s="83"/>
      <c r="D45" s="289" t="str">
        <f>D44&amp;".1"</f>
        <v>11.1</v>
      </c>
      <c r="E45" s="285" t="str">
        <f>"режим работы регулируемой организации"&amp;IF(TEMPLATE_SPHERE="HEAT",", ЕТО, ТО","")</f>
        <v>режим работы регулируемой организации</v>
      </c>
      <c r="F45" s="309"/>
      <c r="G45" s="300" t="s">
        <v>331</v>
      </c>
      <c r="H45" s="281"/>
    </row>
    <row r="46" spans="1:8" ht="22.5" customHeight="1">
      <c r="A46" s="1143"/>
      <c r="B46" s="273"/>
      <c r="C46" s="311"/>
      <c r="D46" s="289" t="str">
        <f>D44&amp;".2"</f>
        <v>11.2</v>
      </c>
      <c r="E46" s="285" t="s">
        <v>332</v>
      </c>
      <c r="F46" s="309"/>
      <c r="G46" s="300" t="s">
        <v>333</v>
      </c>
      <c r="H46" s="281"/>
    </row>
    <row r="47" spans="1:8" ht="22.5" customHeight="1">
      <c r="A47" s="1143"/>
      <c r="B47" s="273"/>
      <c r="C47" s="311"/>
      <c r="D47" s="289" t="str">
        <f>D44&amp;".3"</f>
        <v>11.3</v>
      </c>
      <c r="E47" s="285" t="s">
        <v>334</v>
      </c>
      <c r="F47" s="309"/>
      <c r="G47" s="300" t="s">
        <v>335</v>
      </c>
      <c r="H47" s="281"/>
    </row>
    <row r="48" spans="1:8" ht="22.5" customHeight="1">
      <c r="A48" s="1143"/>
      <c r="B48" s="273"/>
      <c r="C48" s="311"/>
      <c r="D48" s="289" t="str">
        <f>IF(TEMPLATE_SPHERE="TKO",D44&amp;".0",D44&amp;".4")</f>
        <v>11.4</v>
      </c>
      <c r="E48" s="312" t="s">
        <v>336</v>
      </c>
      <c r="F48" s="313"/>
      <c r="G48" s="314" t="s">
        <v>337</v>
      </c>
      <c r="H48" s="281"/>
    </row>
    <row r="49" spans="1:9" ht="22.5" customHeight="1">
      <c r="A49" s="83"/>
      <c r="B49" s="273"/>
      <c r="C49" s="83"/>
      <c r="D49" s="305"/>
      <c r="E49" s="163" t="s">
        <v>338</v>
      </c>
      <c r="F49" s="315"/>
      <c r="G49" s="314" t="s">
        <v>339</v>
      </c>
      <c r="H49" s="307"/>
    </row>
    <row r="50" spans="1:9" ht="22.5" customHeight="1">
      <c r="A50" s="310"/>
      <c r="B50" s="273"/>
      <c r="C50" s="311"/>
      <c r="D50" s="289">
        <f>D44+1</f>
        <v>12</v>
      </c>
      <c r="E50" s="316" t="s">
        <v>340</v>
      </c>
      <c r="F50" s="309"/>
      <c r="G50" s="3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81"/>
    </row>
    <row r="51" spans="1:9" ht="11.25" customHeight="1">
      <c r="A51" s="83"/>
      <c r="B51" s="273"/>
      <c r="C51" s="83"/>
    </row>
    <row r="52" spans="1:9" s="320" customFormat="1" ht="30" customHeight="1">
      <c r="A52" s="318"/>
      <c r="B52" s="53"/>
      <c r="C52" s="1144"/>
      <c r="D52" s="11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45"/>
      <c r="F52" s="1145"/>
      <c r="G52" s="1145"/>
      <c r="H52" s="171"/>
      <c r="I52" s="171"/>
    </row>
    <row r="53" spans="1:9" s="320" customFormat="1" ht="39.75" customHeight="1">
      <c r="A53" s="83"/>
      <c r="B53" s="273"/>
      <c r="C53" s="1144"/>
      <c r="D53" s="114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1145"/>
      <c r="F53" s="1145"/>
      <c r="G53" s="1145"/>
    </row>
    <row r="54" spans="1:9" ht="11.25" customHeight="1">
      <c r="D54" s="321"/>
      <c r="E54" s="322"/>
      <c r="F54" s="322"/>
      <c r="G54" s="322"/>
    </row>
    <row r="55" spans="1:9" ht="27" customHeight="1">
      <c r="D55" s="323"/>
      <c r="E55" s="321"/>
      <c r="F55" s="324"/>
      <c r="G55" s="324"/>
    </row>
    <row r="56" spans="1:9" ht="11.25" customHeight="1">
      <c r="D56" s="321"/>
      <c r="E56" s="321"/>
      <c r="F56" s="322"/>
      <c r="G56" s="322"/>
    </row>
    <row r="57" spans="1:9" ht="39" customHeight="1">
      <c r="D57" s="325"/>
      <c r="E57" s="326"/>
      <c r="F57" s="326"/>
      <c r="G57" s="326"/>
    </row>
    <row r="58" spans="1:9" ht="27" customHeight="1">
      <c r="D58" s="325"/>
      <c r="E58" s="326"/>
      <c r="F58" s="326"/>
      <c r="G58" s="326"/>
    </row>
  </sheetData>
  <mergeCells count="12">
    <mergeCell ref="A19:A23"/>
    <mergeCell ref="C19:C23"/>
    <mergeCell ref="G38:G41"/>
    <mergeCell ref="A46:A48"/>
    <mergeCell ref="C52:C53"/>
    <mergeCell ref="D52:G52"/>
    <mergeCell ref="D53:G53"/>
    <mergeCell ref="D4:F4"/>
    <mergeCell ref="D5:F5"/>
    <mergeCell ref="E7:F7"/>
    <mergeCell ref="D8:F8"/>
    <mergeCell ref="G8:G9"/>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7 F21">
      <formula1>0</formula1>
      <formula2>0</formula2>
    </dataValidation>
    <dataValidation type="textLength" operator="lessThanOrEqual" allowBlank="1" showInputMessage="1" showErrorMessage="1" errorTitle="Ошибка" error="Допускается ввод не более 900 символов!" sqref="F13 F16 F18 F20 F22:F23 F26:F31 F33:F37 E39:F40 F42:F43">
      <formula1>900</formula1>
      <formula2>0</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45:F48 F50">
      <formula1>"a"</formula1>
      <formula2>0</formula2>
    </dataValidation>
  </dataValidations>
  <pageMargins left="0.7" right="0.7" top="0.625" bottom="0.62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B4E3"/>
  </sheetPr>
  <dimension ref="A1:AS14"/>
  <sheetViews>
    <sheetView showGridLines="0" topLeftCell="C3" zoomScale="90" zoomScaleNormal="90" workbookViewId="0"/>
  </sheetViews>
  <sheetFormatPr defaultColWidth="10.5703125" defaultRowHeight="14.25"/>
  <cols>
    <col min="1" max="1" width="9.140625" style="52" hidden="1" customWidth="1"/>
    <col min="2" max="2" width="9.140625" style="46" hidden="1" customWidth="1"/>
    <col min="3" max="3" width="3.7109375" style="120" customWidth="1"/>
    <col min="4" max="4" width="5.5703125" style="46" customWidth="1"/>
    <col min="5" max="5" width="48.42578125" style="46" customWidth="1"/>
    <col min="6" max="6" width="38.140625" style="46" customWidth="1"/>
    <col min="7" max="7" width="1.7109375" style="46" hidden="1" customWidth="1"/>
    <col min="8" max="11" width="19.85546875" style="46" hidden="1" customWidth="1"/>
    <col min="12" max="12" width="9.7109375" style="46" hidden="1" customWidth="1"/>
    <col min="13" max="18" width="19.85546875" style="46" hidden="1" customWidth="1"/>
    <col min="19" max="19" width="1.7109375" style="46" hidden="1" customWidth="1"/>
    <col min="20" max="22" width="19.85546875" style="46" customWidth="1"/>
    <col min="23" max="23" width="1.7109375" style="46" hidden="1" customWidth="1"/>
    <col min="24" max="26" width="19.85546875" style="46" hidden="1" customWidth="1"/>
    <col min="27" max="27" width="1.7109375" style="46" hidden="1" customWidth="1"/>
    <col min="28" max="29" width="19.85546875" style="46" hidden="1" customWidth="1"/>
    <col min="30" max="30" width="1.7109375" style="46" hidden="1" customWidth="1"/>
    <col min="31" max="31" width="103.7109375" style="46" hidden="1" customWidth="1"/>
    <col min="32" max="32" width="103.7109375" style="46" customWidth="1"/>
    <col min="33" max="34" width="103.7109375" style="46" hidden="1" customWidth="1"/>
    <col min="35" max="35" width="3.7109375" style="132" customWidth="1"/>
    <col min="36" max="38" width="10.5703125" style="53"/>
    <col min="39" max="39" width="13.7109375" style="53" hidden="1" customWidth="1"/>
    <col min="40" max="40" width="15.42578125" style="53" customWidth="1"/>
    <col min="41" max="41" width="16.28515625" style="53" customWidth="1"/>
    <col min="42" max="45" width="10.5703125" style="53"/>
  </cols>
  <sheetData>
    <row r="1" spans="1:45" ht="14.25" hidden="1" customHeight="1">
      <c r="E1" s="159"/>
      <c r="F1" s="159"/>
      <c r="G1" s="159"/>
      <c r="H1" s="1146" t="s">
        <v>341</v>
      </c>
      <c r="I1" s="1146"/>
      <c r="J1" s="1146"/>
      <c r="K1" s="1146"/>
      <c r="L1" s="1146"/>
      <c r="M1" s="1146"/>
      <c r="N1" s="1146"/>
      <c r="O1" s="1146"/>
      <c r="P1" s="1146"/>
      <c r="Q1" s="1146"/>
      <c r="R1" s="1146"/>
      <c r="T1" s="1146" t="s">
        <v>342</v>
      </c>
      <c r="U1" s="1146"/>
      <c r="V1" s="1146"/>
      <c r="X1" s="1146" t="s">
        <v>343</v>
      </c>
      <c r="Y1" s="1146"/>
      <c r="Z1" s="1146"/>
      <c r="AB1" s="1146" t="s">
        <v>344</v>
      </c>
      <c r="AC1" s="1146"/>
    </row>
    <row r="2" spans="1:45" ht="14.25" hidden="1" customHeight="1"/>
    <row r="3" spans="1:45" s="66" customFormat="1" ht="6" customHeight="1">
      <c r="C3" s="327"/>
      <c r="D3" s="328"/>
      <c r="E3" s="328"/>
      <c r="F3" s="328"/>
      <c r="G3" s="328"/>
      <c r="H3" s="328" t="s">
        <v>345</v>
      </c>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J3" s="53"/>
      <c r="AK3" s="53"/>
      <c r="AL3" s="53"/>
      <c r="AM3" s="53"/>
      <c r="AN3" s="53"/>
      <c r="AO3" s="53"/>
      <c r="AP3" s="53"/>
      <c r="AQ3" s="53"/>
      <c r="AR3" s="53"/>
      <c r="AS3" s="53"/>
    </row>
    <row r="4" spans="1:45" ht="37.5" customHeight="1">
      <c r="C4" s="302"/>
      <c r="D4" s="1106" t="str">
        <f>ORG_VD_NAME_FORM</f>
        <v>Форма 1. Информация об организации, осуществляющей водоотведение (общая информация)</v>
      </c>
      <c r="E4" s="1106"/>
      <c r="F4" s="1106"/>
      <c r="G4" s="1106"/>
      <c r="H4" s="1106"/>
      <c r="I4" s="1106"/>
      <c r="J4" s="1106"/>
      <c r="K4" s="1106"/>
      <c r="L4" s="1106"/>
      <c r="M4" s="1106"/>
      <c r="N4" s="1106"/>
      <c r="O4" s="1106"/>
      <c r="P4" s="1106"/>
      <c r="Q4" s="1106"/>
      <c r="R4" s="1106"/>
      <c r="S4" s="329"/>
      <c r="T4" s="238"/>
      <c r="U4" s="238"/>
      <c r="V4" s="238"/>
      <c r="W4" s="238"/>
      <c r="X4" s="238"/>
      <c r="Y4" s="238"/>
      <c r="Z4" s="238"/>
      <c r="AA4" s="238"/>
      <c r="AB4" s="238"/>
      <c r="AC4" s="238"/>
      <c r="AD4" s="238"/>
      <c r="AE4" s="330"/>
      <c r="AF4" s="330"/>
      <c r="AG4" s="330"/>
      <c r="AH4" s="330"/>
      <c r="AI4" s="200"/>
    </row>
    <row r="5" spans="1:45" s="46" customFormat="1" ht="17.25" customHeight="1">
      <c r="A5" s="52"/>
      <c r="C5" s="302"/>
      <c r="D5" s="1127" t="str">
        <f>IF(org=0,"Не определено",org)</f>
        <v>Филиал ПАО "ОГК-2" - Серовская ГРЭС, г. Серов</v>
      </c>
      <c r="E5" s="1127"/>
      <c r="F5" s="1127"/>
      <c r="G5" s="1127"/>
      <c r="H5" s="1127"/>
      <c r="I5" s="1127"/>
      <c r="J5" s="1127"/>
      <c r="K5" s="1127"/>
      <c r="L5" s="1127"/>
      <c r="M5" s="1127"/>
      <c r="N5" s="1127"/>
      <c r="O5" s="1127"/>
      <c r="P5" s="1127"/>
      <c r="Q5" s="1127"/>
      <c r="R5" s="1127"/>
      <c r="S5" s="329"/>
      <c r="T5" s="238"/>
      <c r="U5" s="238"/>
      <c r="V5" s="238"/>
      <c r="W5" s="238"/>
      <c r="X5" s="238"/>
      <c r="Y5" s="238"/>
      <c r="Z5" s="238"/>
      <c r="AA5" s="238"/>
      <c r="AB5" s="238"/>
      <c r="AC5" s="238"/>
      <c r="AD5" s="238"/>
      <c r="AE5" s="330"/>
      <c r="AF5" s="330"/>
      <c r="AG5" s="330"/>
      <c r="AH5" s="330"/>
      <c r="AI5" s="200"/>
      <c r="AJ5" s="53"/>
      <c r="AK5" s="53"/>
      <c r="AL5" s="53"/>
      <c r="AM5" s="53"/>
      <c r="AN5" s="53"/>
      <c r="AO5" s="53"/>
      <c r="AP5" s="53"/>
      <c r="AQ5" s="53"/>
      <c r="AR5" s="53"/>
      <c r="AS5" s="53"/>
    </row>
    <row r="6" spans="1:45" s="64" customFormat="1" ht="11.25" customHeight="1">
      <c r="A6" s="331"/>
      <c r="C6" s="332"/>
      <c r="D6" s="333"/>
      <c r="E6" s="333"/>
      <c r="F6" s="333"/>
      <c r="G6" s="333"/>
      <c r="H6" s="333"/>
      <c r="I6" s="333"/>
      <c r="J6" s="333"/>
      <c r="K6" s="333"/>
      <c r="L6" s="333"/>
      <c r="M6" s="333"/>
      <c r="N6" s="333"/>
      <c r="O6" s="333"/>
      <c r="P6" s="333"/>
      <c r="Q6" s="333"/>
      <c r="R6" s="272"/>
      <c r="S6" s="272"/>
      <c r="T6" s="333"/>
      <c r="U6" s="333"/>
      <c r="V6" s="334"/>
      <c r="W6" s="334"/>
      <c r="X6" s="333"/>
      <c r="Y6" s="333"/>
      <c r="Z6" s="334"/>
      <c r="AA6" s="334"/>
      <c r="AB6" s="333"/>
      <c r="AC6" s="334"/>
      <c r="AD6" s="334"/>
      <c r="AE6" s="333"/>
      <c r="AF6" s="333"/>
      <c r="AG6" s="333"/>
      <c r="AH6" s="333"/>
      <c r="AJ6" s="53"/>
      <c r="AK6" s="53"/>
      <c r="AL6" s="53"/>
      <c r="AM6" s="53"/>
      <c r="AN6" s="53"/>
      <c r="AO6" s="53"/>
      <c r="AP6" s="53"/>
      <c r="AQ6" s="53"/>
      <c r="AR6" s="53"/>
      <c r="AS6" s="53"/>
    </row>
    <row r="7" spans="1:45" ht="14.25" customHeight="1">
      <c r="C7" s="302"/>
      <c r="D7" s="1108" t="s">
        <v>287</v>
      </c>
      <c r="E7" s="1108"/>
      <c r="F7" s="1108"/>
      <c r="G7" s="1108"/>
      <c r="H7" s="1108"/>
      <c r="I7" s="1108"/>
      <c r="J7" s="1108"/>
      <c r="K7" s="1108"/>
      <c r="L7" s="1108"/>
      <c r="M7" s="1108"/>
      <c r="N7" s="1108"/>
      <c r="O7" s="1108"/>
      <c r="P7" s="1108"/>
      <c r="Q7" s="1108"/>
      <c r="R7" s="1108"/>
      <c r="S7" s="1108"/>
      <c r="T7" s="1108"/>
      <c r="U7" s="1108"/>
      <c r="V7" s="1108"/>
      <c r="W7" s="1108"/>
      <c r="X7" s="1108"/>
      <c r="Y7" s="1108"/>
      <c r="Z7" s="1108"/>
      <c r="AA7" s="1108"/>
      <c r="AB7" s="1108"/>
      <c r="AC7" s="1108"/>
      <c r="AD7" s="1108"/>
      <c r="AE7" s="1108" t="s">
        <v>288</v>
      </c>
      <c r="AF7" s="1108" t="s">
        <v>288</v>
      </c>
      <c r="AG7" s="1108" t="s">
        <v>288</v>
      </c>
      <c r="AH7" s="1108" t="s">
        <v>288</v>
      </c>
    </row>
    <row r="8" spans="1:45" ht="25.5" customHeight="1">
      <c r="C8" s="302"/>
      <c r="D8" s="1087" t="s">
        <v>84</v>
      </c>
      <c r="E8" s="1108" t="str">
        <f>"Наименование "&amp;IF(TEMPLATE_SPHERE&lt;&gt;"HEAT","централизованной ","")&amp;"системы "&amp;TEMPLATE_SPHERE_RUS</f>
        <v>Наименование централизованной системы водоотведения</v>
      </c>
      <c r="F8" s="1108" t="str">
        <f>IF(TEMPLATE_SPHERE&lt;&gt;"HEAT","Регулируемый вид деятельности","Вид регулируемой деятельности")</f>
        <v>Регулируемый вид деятельности</v>
      </c>
      <c r="G8" s="335"/>
      <c r="H8" s="1108" t="s">
        <v>346</v>
      </c>
      <c r="I8" s="1147" t="s">
        <v>347</v>
      </c>
      <c r="J8" s="1147" t="s">
        <v>348</v>
      </c>
      <c r="K8" s="1147"/>
      <c r="L8" s="1147"/>
      <c r="M8" s="1147"/>
      <c r="N8" s="1108" t="s">
        <v>349</v>
      </c>
      <c r="O8" s="1108"/>
      <c r="P8" s="1108" t="s">
        <v>350</v>
      </c>
      <c r="Q8" s="1108"/>
      <c r="R8" s="1148" t="s">
        <v>351</v>
      </c>
      <c r="S8" s="338"/>
      <c r="T8" s="1108" t="s">
        <v>352</v>
      </c>
      <c r="U8" s="1108" t="s">
        <v>353</v>
      </c>
      <c r="V8" s="1108" t="s">
        <v>354</v>
      </c>
      <c r="W8" s="335"/>
      <c r="X8" s="1108" t="s">
        <v>355</v>
      </c>
      <c r="Y8" s="1108" t="s">
        <v>356</v>
      </c>
      <c r="Z8" s="1108" t="s">
        <v>357</v>
      </c>
      <c r="AA8" s="335"/>
      <c r="AB8" s="1108" t="s">
        <v>358</v>
      </c>
      <c r="AC8" s="1108" t="s">
        <v>351</v>
      </c>
      <c r="AD8" s="335"/>
      <c r="AE8" s="1108"/>
      <c r="AF8" s="1108"/>
      <c r="AG8" s="1108"/>
      <c r="AH8" s="1108"/>
    </row>
    <row r="9" spans="1:45" ht="43.5" customHeight="1">
      <c r="C9" s="302"/>
      <c r="D9" s="1087"/>
      <c r="E9" s="1108"/>
      <c r="F9" s="1108"/>
      <c r="G9" s="339"/>
      <c r="H9" s="1108"/>
      <c r="I9" s="1147"/>
      <c r="J9" s="203" t="s">
        <v>359</v>
      </c>
      <c r="K9" s="203" t="s">
        <v>360</v>
      </c>
      <c r="L9" s="203" t="s">
        <v>361</v>
      </c>
      <c r="M9" s="336" t="s">
        <v>362</v>
      </c>
      <c r="N9" s="203" t="s">
        <v>363</v>
      </c>
      <c r="O9" s="203" t="s">
        <v>362</v>
      </c>
      <c r="P9" s="203" t="s">
        <v>364</v>
      </c>
      <c r="Q9" s="203" t="s">
        <v>362</v>
      </c>
      <c r="R9" s="1148"/>
      <c r="S9" s="340"/>
      <c r="T9" s="1108"/>
      <c r="U9" s="1108"/>
      <c r="V9" s="1108"/>
      <c r="W9" s="339"/>
      <c r="X9" s="1108"/>
      <c r="Y9" s="1108"/>
      <c r="Z9" s="1108"/>
      <c r="AA9" s="339"/>
      <c r="AB9" s="1108"/>
      <c r="AC9" s="1108"/>
      <c r="AD9" s="339"/>
      <c r="AE9" s="1108"/>
      <c r="AF9" s="1108"/>
      <c r="AG9" s="1108"/>
      <c r="AH9" s="1108"/>
    </row>
    <row r="10" spans="1:45" ht="12" hidden="1" customHeight="1">
      <c r="C10" s="341"/>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46"/>
      <c r="AP10" s="121"/>
      <c r="AQ10" s="121"/>
    </row>
    <row r="11" spans="1:45" s="123" customFormat="1" ht="11.25" hidden="1" customHeight="1">
      <c r="C11" s="343"/>
      <c r="D11" s="344" t="s">
        <v>365</v>
      </c>
      <c r="E11" s="344"/>
      <c r="F11" s="344"/>
      <c r="G11" s="344"/>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6"/>
      <c r="AF11" s="346"/>
      <c r="AG11" s="346"/>
      <c r="AH11" s="346"/>
      <c r="AJ11" s="53"/>
      <c r="AK11" s="53"/>
      <c r="AL11" s="53"/>
      <c r="AM11" s="53"/>
      <c r="AN11" s="53"/>
      <c r="AO11" s="53"/>
      <c r="AP11" s="53"/>
      <c r="AQ11" s="53"/>
      <c r="AR11" s="53"/>
      <c r="AS11" s="53"/>
    </row>
    <row r="12" spans="1:45" ht="14.25" customHeight="1">
      <c r="A12" s="46"/>
      <c r="C12" s="302"/>
      <c r="D12" s="347" t="s">
        <v>105</v>
      </c>
      <c r="E12" s="299"/>
      <c r="F12" s="348"/>
      <c r="G12" s="349"/>
      <c r="H12" s="350"/>
      <c r="I12" s="350"/>
      <c r="J12" s="351"/>
      <c r="K12" s="352"/>
      <c r="L12" s="353"/>
      <c r="M12" s="352"/>
      <c r="N12" s="351"/>
      <c r="O12" s="352"/>
      <c r="P12" s="351"/>
      <c r="Q12" s="352"/>
      <c r="R12" s="351"/>
      <c r="S12" s="354"/>
      <c r="T12" s="350"/>
      <c r="U12" s="351"/>
      <c r="V12" s="351"/>
      <c r="W12" s="339"/>
      <c r="X12" s="350"/>
      <c r="Y12" s="351"/>
      <c r="Z12" s="351"/>
      <c r="AA12" s="339"/>
      <c r="AB12" s="350"/>
      <c r="AC12" s="351"/>
      <c r="AD12" s="339"/>
      <c r="AE12" s="1149" t="s">
        <v>366</v>
      </c>
      <c r="AF12" s="1149" t="s">
        <v>367</v>
      </c>
      <c r="AG12" s="1149" t="s">
        <v>368</v>
      </c>
      <c r="AH12" s="1149" t="s">
        <v>369</v>
      </c>
      <c r="AI12" s="46"/>
      <c r="AP12" s="121" t="s">
        <v>370</v>
      </c>
      <c r="AQ12" s="121" t="s">
        <v>370</v>
      </c>
    </row>
    <row r="13" spans="1:45" ht="17.25" customHeight="1">
      <c r="A13" s="46"/>
      <c r="C13" s="302"/>
      <c r="D13" s="355"/>
      <c r="E13" s="356" t="str">
        <f>IF(TITLE_DIFFERENTIATION_TYPE="нет","","Добавить систему")</f>
        <v/>
      </c>
      <c r="F13" s="356" t="str">
        <f>IF(TITLE_DIFFERENTIATION_TYPE="нет","Добавить вид деятельности","")</f>
        <v>Добавить вид деятельности</v>
      </c>
      <c r="G13" s="357"/>
      <c r="H13" s="358"/>
      <c r="I13" s="358"/>
      <c r="J13" s="358"/>
      <c r="K13" s="358"/>
      <c r="L13" s="358"/>
      <c r="M13" s="358"/>
      <c r="N13" s="358"/>
      <c r="O13" s="358"/>
      <c r="P13" s="358"/>
      <c r="Q13" s="358"/>
      <c r="R13" s="358"/>
      <c r="S13" s="358"/>
      <c r="T13" s="358"/>
      <c r="U13" s="358"/>
      <c r="V13" s="358"/>
      <c r="W13" s="358"/>
      <c r="X13" s="358"/>
      <c r="Y13" s="358"/>
      <c r="Z13" s="358"/>
      <c r="AA13" s="358"/>
      <c r="AB13" s="358"/>
      <c r="AC13" s="358"/>
      <c r="AD13" s="359"/>
      <c r="AE13" s="1149"/>
      <c r="AF13" s="1149"/>
      <c r="AG13" s="1149"/>
      <c r="AH13" s="1149"/>
      <c r="AI13" s="46"/>
    </row>
    <row r="14" spans="1:45" ht="14.25" customHeight="1">
      <c r="AI14" s="46"/>
    </row>
  </sheetData>
  <mergeCells count="32">
    <mergeCell ref="AE12:AE13"/>
    <mergeCell ref="AF12:AF13"/>
    <mergeCell ref="AG12:AG13"/>
    <mergeCell ref="AH12:AH13"/>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D5:R5"/>
    <mergeCell ref="D7:AD7"/>
    <mergeCell ref="AE7:AE9"/>
    <mergeCell ref="AF7:AF9"/>
    <mergeCell ref="AG7:AG9"/>
    <mergeCell ref="AB8:AB9"/>
    <mergeCell ref="AC8:AC9"/>
    <mergeCell ref="H1:R1"/>
    <mergeCell ref="T1:V1"/>
    <mergeCell ref="X1:Z1"/>
    <mergeCell ref="AB1:AC1"/>
    <mergeCell ref="D4:R4"/>
  </mergeCells>
  <dataValidations count="6">
    <dataValidation type="textLength" operator="lessThanOrEqual" allowBlank="1" showInputMessage="1" showErrorMessage="1" errorTitle="Ошибка" error="Допускается ввод не более 900 символов!" sqref="E12">
      <formula1>900</formula1>
      <formula2>0</formula2>
    </dataValidation>
    <dataValidation type="decimal" allowBlank="1" showErrorMessage="1" errorTitle="Ошибка" error="Допускается ввод только неотрицательных чисел!" sqref="H11:AD11 H12:I12 K12 M12 O12 Q12 T12 X12 AB12">
      <formula1>0</formula1>
      <formula2>9.99999999999999E+23</formula2>
    </dataValidation>
    <dataValidation allowBlank="1" showErrorMessage="1" errorTitle="Ошибка" error="Допускается ввод только неотрицательных чисел!" sqref="E11:G11">
      <formula1>0</formula1>
      <formula2>0</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formula1>0</formula1>
      <formula2>0</formula2>
    </dataValidation>
    <dataValidation type="whole" allowBlank="1" showErrorMessage="1" errorTitle="Ошибка" error="Допускается ввод только неотрицательных целых чисел!" sqref="J12 N12 P12 R12:S12 U12:V12 Y12:Z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formula2>0</formula2>
    </dataValidation>
  </dataValidations>
  <pageMargins left="0.7" right="0.7" top="0.625" bottom="0.62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B4E3"/>
  </sheetPr>
  <dimension ref="A1:U17"/>
  <sheetViews>
    <sheetView showGridLines="0" topLeftCell="C5" zoomScale="90" zoomScaleNormal="90" workbookViewId="0"/>
  </sheetViews>
  <sheetFormatPr defaultColWidth="10.5703125" defaultRowHeight="14.25"/>
  <cols>
    <col min="1" max="1" width="9.140625" style="52" hidden="1" customWidth="1"/>
    <col min="2" max="2" width="9.140625" style="46" hidden="1" customWidth="1"/>
    <col min="3" max="3" width="3.7109375" style="120" customWidth="1"/>
    <col min="4" max="4" width="5.5703125" style="46" customWidth="1"/>
    <col min="5" max="5" width="38.140625" style="46" customWidth="1"/>
    <col min="6" max="7" width="3.7109375" style="46" customWidth="1"/>
    <col min="8" max="8" width="38.28515625" style="46" customWidth="1"/>
    <col min="9" max="9" width="35.7109375" style="46" customWidth="1"/>
    <col min="10" max="10" width="103.7109375" style="46" customWidth="1"/>
    <col min="11" max="11" width="3.7109375" style="132" customWidth="1"/>
    <col min="12" max="14" width="10.5703125" style="53"/>
    <col min="15" max="15" width="13.7109375" style="53" customWidth="1"/>
    <col min="16" max="16" width="15.42578125" style="53" customWidth="1"/>
    <col min="17" max="17" width="16.28515625" style="53" customWidth="1"/>
    <col min="18" max="21" width="10.5703125" style="53"/>
  </cols>
  <sheetData>
    <row r="1" spans="1:21" ht="14.25" hidden="1" customHeight="1">
      <c r="E1" s="159"/>
      <c r="F1" s="159"/>
      <c r="G1" s="159"/>
      <c r="H1" s="1146" t="s">
        <v>341</v>
      </c>
      <c r="I1" s="1146"/>
    </row>
    <row r="2" spans="1:21" s="46" customFormat="1" ht="14.25" hidden="1" customHeight="1">
      <c r="C2" s="302"/>
      <c r="D2" s="1150" t="s">
        <v>105</v>
      </c>
      <c r="E2" s="1151"/>
      <c r="F2" s="360"/>
      <c r="G2" s="190" t="s">
        <v>105</v>
      </c>
      <c r="H2" s="308"/>
      <c r="I2" s="361"/>
      <c r="L2" s="53"/>
      <c r="M2" s="53"/>
      <c r="N2" s="53"/>
      <c r="O2" s="53" t="s">
        <v>371</v>
      </c>
      <c r="P2" s="53"/>
      <c r="Q2" s="53"/>
      <c r="R2" s="121" t="s">
        <v>370</v>
      </c>
      <c r="S2" s="121" t="s">
        <v>370</v>
      </c>
      <c r="T2" s="53"/>
      <c r="U2" s="53"/>
    </row>
    <row r="3" spans="1:21" s="46" customFormat="1" ht="14.25" hidden="1" customHeight="1">
      <c r="C3" s="302"/>
      <c r="D3" s="1150"/>
      <c r="E3" s="1151"/>
      <c r="F3" s="355"/>
      <c r="G3" s="356"/>
      <c r="H3" s="356" t="s">
        <v>372</v>
      </c>
      <c r="I3" s="357"/>
      <c r="L3" s="53"/>
      <c r="M3" s="53"/>
      <c r="N3" s="53"/>
      <c r="O3" s="53"/>
      <c r="P3" s="53"/>
      <c r="Q3" s="53"/>
      <c r="R3" s="121"/>
      <c r="S3" s="121"/>
      <c r="T3" s="53"/>
      <c r="U3" s="53"/>
    </row>
    <row r="4" spans="1:21" ht="14.25" hidden="1" customHeight="1"/>
    <row r="5" spans="1:21" s="66" customFormat="1" ht="6" customHeight="1">
      <c r="C5" s="327"/>
      <c r="D5" s="328"/>
      <c r="E5" s="328"/>
      <c r="F5" s="328"/>
      <c r="G5" s="328"/>
      <c r="H5" s="328" t="s">
        <v>345</v>
      </c>
      <c r="I5" s="328"/>
      <c r="J5" s="328"/>
      <c r="L5" s="53"/>
      <c r="M5" s="53"/>
      <c r="N5" s="53"/>
      <c r="O5" s="53"/>
      <c r="P5" s="53"/>
      <c r="Q5" s="53"/>
      <c r="R5" s="53"/>
      <c r="S5" s="53"/>
      <c r="T5" s="53"/>
      <c r="U5" s="53"/>
    </row>
    <row r="6" spans="1:21" ht="27.75" customHeight="1">
      <c r="C6" s="302"/>
      <c r="D6" s="1106" t="s">
        <v>373</v>
      </c>
      <c r="E6" s="1106"/>
      <c r="F6" s="1106"/>
      <c r="G6" s="1106"/>
      <c r="H6" s="1106"/>
      <c r="I6" s="1106"/>
      <c r="J6" s="330"/>
      <c r="K6" s="200"/>
    </row>
    <row r="7" spans="1:21" ht="17.25" customHeight="1">
      <c r="C7" s="302"/>
      <c r="D7" s="1127" t="str">
        <f>IF(org=0,"Не определено",org)</f>
        <v>Филиал ПАО "ОГК-2" - Серовская ГРЭС, г. Серов</v>
      </c>
      <c r="E7" s="1127"/>
      <c r="F7" s="1127"/>
      <c r="G7" s="1127"/>
      <c r="H7" s="1127"/>
      <c r="I7" s="1127"/>
      <c r="J7" s="330"/>
      <c r="K7" s="200"/>
    </row>
    <row r="8" spans="1:21" s="64" customFormat="1" ht="6" customHeight="1">
      <c r="A8" s="331"/>
      <c r="C8" s="332"/>
      <c r="D8" s="333"/>
      <c r="E8" s="333"/>
      <c r="F8" s="333"/>
      <c r="G8" s="333"/>
      <c r="H8" s="333"/>
      <c r="I8" s="333"/>
      <c r="J8" s="333"/>
      <c r="L8" s="53"/>
      <c r="M8" s="53"/>
      <c r="N8" s="53"/>
      <c r="O8" s="53"/>
      <c r="P8" s="53"/>
      <c r="Q8" s="53"/>
      <c r="R8" s="53"/>
      <c r="S8" s="53"/>
      <c r="T8" s="53"/>
      <c r="U8" s="53"/>
    </row>
    <row r="9" spans="1:21" s="64" customFormat="1" ht="6" customHeight="1">
      <c r="A9" s="331"/>
      <c r="C9" s="332"/>
      <c r="D9" s="333"/>
      <c r="E9" s="333"/>
      <c r="F9" s="333"/>
      <c r="G9" s="333"/>
      <c r="H9" s="333"/>
      <c r="I9" s="333"/>
      <c r="J9" s="333"/>
      <c r="L9" s="53"/>
      <c r="M9" s="53"/>
      <c r="N9" s="53"/>
      <c r="O9" s="53"/>
      <c r="P9" s="53"/>
      <c r="Q9" s="53"/>
      <c r="R9" s="53"/>
      <c r="S9" s="53"/>
      <c r="T9" s="53"/>
      <c r="U9" s="53"/>
    </row>
    <row r="10" spans="1:21" ht="14.25" customHeight="1">
      <c r="C10" s="302"/>
      <c r="D10" s="1147" t="s">
        <v>287</v>
      </c>
      <c r="E10" s="1147"/>
      <c r="F10" s="1147"/>
      <c r="G10" s="1147"/>
      <c r="H10" s="1147"/>
      <c r="I10" s="1147"/>
      <c r="J10" s="1108" t="s">
        <v>288</v>
      </c>
    </row>
    <row r="11" spans="1:21" ht="25.5" customHeight="1">
      <c r="C11" s="302"/>
      <c r="D11" s="1087" t="s">
        <v>84</v>
      </c>
      <c r="E11" s="1108" t="str">
        <f>IF(TEMPLATE_SPHERE&lt;&gt;"HEAT","Регулируемый вид деятельности","Вид регулируемой деятельности")</f>
        <v>Регулируемый вид деятельности</v>
      </c>
      <c r="F11" s="1087" t="s">
        <v>84</v>
      </c>
      <c r="G11" s="1087"/>
      <c r="H11" s="1087" t="s">
        <v>374</v>
      </c>
      <c r="I11" s="1087" t="s">
        <v>375</v>
      </c>
      <c r="J11" s="1108"/>
    </row>
    <row r="12" spans="1:21" ht="14.25" customHeight="1">
      <c r="C12" s="302"/>
      <c r="D12" s="1087"/>
      <c r="E12" s="1108"/>
      <c r="F12" s="1087"/>
      <c r="G12" s="1087"/>
      <c r="H12" s="1087"/>
      <c r="I12" s="1087"/>
      <c r="J12" s="1108"/>
    </row>
    <row r="13" spans="1:21" s="123" customFormat="1" ht="11.25" hidden="1" customHeight="1">
      <c r="C13" s="343"/>
      <c r="D13" s="344" t="s">
        <v>365</v>
      </c>
      <c r="E13" s="344"/>
      <c r="F13" s="344"/>
      <c r="G13" s="344"/>
      <c r="H13" s="345"/>
      <c r="I13" s="345"/>
      <c r="J13" s="346"/>
      <c r="L13" s="53"/>
      <c r="M13" s="53"/>
      <c r="N13" s="53"/>
      <c r="O13" s="53"/>
      <c r="P13" s="53"/>
      <c r="Q13" s="53"/>
      <c r="R13" s="53"/>
      <c r="S13" s="53"/>
      <c r="T13" s="53"/>
      <c r="U13" s="53"/>
    </row>
    <row r="14" spans="1:21" ht="14.25" customHeight="1">
      <c r="A14" s="46"/>
      <c r="C14" s="302"/>
      <c r="D14" s="1150" t="s">
        <v>105</v>
      </c>
      <c r="E14" s="1151"/>
      <c r="F14" s="360"/>
      <c r="G14" s="190" t="s">
        <v>105</v>
      </c>
      <c r="H14" s="308"/>
      <c r="I14" s="361"/>
      <c r="J14" s="1152" t="s">
        <v>376</v>
      </c>
      <c r="K14" s="46"/>
      <c r="R14" s="121" t="s">
        <v>370</v>
      </c>
      <c r="S14" s="121" t="s">
        <v>370</v>
      </c>
    </row>
    <row r="15" spans="1:21" ht="14.25" customHeight="1">
      <c r="A15" s="46"/>
      <c r="C15" s="302"/>
      <c r="D15" s="1150"/>
      <c r="E15" s="1151"/>
      <c r="F15" s="355"/>
      <c r="G15" s="356"/>
      <c r="H15" s="356" t="s">
        <v>372</v>
      </c>
      <c r="I15" s="357"/>
      <c r="J15" s="1152"/>
      <c r="K15" s="46"/>
      <c r="R15" s="121"/>
      <c r="S15" s="121"/>
    </row>
    <row r="16" spans="1:21" ht="14.25" customHeight="1">
      <c r="A16" s="46"/>
      <c r="C16" s="302"/>
      <c r="D16" s="355"/>
      <c r="E16" s="356" t="s">
        <v>117</v>
      </c>
      <c r="F16" s="357"/>
      <c r="G16" s="357"/>
      <c r="H16" s="358"/>
      <c r="I16" s="358"/>
      <c r="J16" s="1152"/>
      <c r="K16" s="46"/>
    </row>
    <row r="17" spans="11:11" ht="14.25" customHeight="1">
      <c r="K17" s="46"/>
    </row>
  </sheetData>
  <mergeCells count="15">
    <mergeCell ref="D14:D15"/>
    <mergeCell ref="E14:E15"/>
    <mergeCell ref="J14:J16"/>
    <mergeCell ref="D10:I10"/>
    <mergeCell ref="J10:J12"/>
    <mergeCell ref="D11:D12"/>
    <mergeCell ref="E11:E12"/>
    <mergeCell ref="F11:G12"/>
    <mergeCell ref="H11:H12"/>
    <mergeCell ref="I11:I12"/>
    <mergeCell ref="H1:I1"/>
    <mergeCell ref="D2:D3"/>
    <mergeCell ref="E2:E3"/>
    <mergeCell ref="D6:I6"/>
    <mergeCell ref="D7:I7"/>
  </mergeCells>
  <dataValidations count="5">
    <dataValidation type="textLength" operator="lessThanOrEqual" allowBlank="1" showInputMessage="1" showErrorMessage="1" errorTitle="Ошибка" error="Допускается ввод не более 900 символов!" sqref="H2 H14">
      <formula1>900</formula1>
      <formula2>0</formula2>
    </dataValidation>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formula1>0</formula1>
      <formula2>0</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2 E14">
      <formula1>0</formula1>
      <formula2>0</formula2>
    </dataValidation>
    <dataValidation type="whole" allowBlank="1" showErrorMessage="1" errorTitle="Ошибка" error="Допускается ввод только неотрицательных целых чисел!" sqref="I2 I14">
      <formula1>0</formula1>
      <formula2>9.99999999999999E+23</formula2>
    </dataValidation>
  </dataValidations>
  <pageMargins left="0.7" right="0.7" top="0.625" bottom="0.62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B4E3"/>
  </sheetPr>
  <dimension ref="A1:V15"/>
  <sheetViews>
    <sheetView showGridLines="0" topLeftCell="D3" zoomScale="90" zoomScaleNormal="90" workbookViewId="0"/>
  </sheetViews>
  <sheetFormatPr defaultColWidth="10.5703125" defaultRowHeight="14.25"/>
  <cols>
    <col min="1" max="1" width="9.140625" style="52" hidden="1" customWidth="1"/>
    <col min="2" max="3" width="9.140625" style="46" hidden="1" customWidth="1"/>
    <col min="4" max="4" width="3.7109375" style="120" customWidth="1"/>
    <col min="5" max="5" width="6.28515625" style="46" customWidth="1"/>
    <col min="6" max="6" width="1.7109375" style="46" hidden="1" customWidth="1"/>
    <col min="7" max="8" width="30.7109375" style="46" customWidth="1"/>
    <col min="9" max="9" width="9" style="46" customWidth="1"/>
    <col min="10" max="10" width="12.140625" style="46" customWidth="1"/>
    <col min="11" max="11" width="46.7109375" style="46" customWidth="1"/>
    <col min="12" max="12" width="100.28515625" style="46" customWidth="1"/>
    <col min="13" max="13" width="7.5703125" style="132" customWidth="1"/>
    <col min="14" max="22" width="10.5703125" style="46"/>
  </cols>
  <sheetData>
    <row r="1" spans="1:22" s="53" customFormat="1" ht="5.25" hidden="1" customHeight="1">
      <c r="D1" s="124"/>
      <c r="G1" s="53" t="s">
        <v>79</v>
      </c>
      <c r="H1" s="53" t="s">
        <v>80</v>
      </c>
      <c r="I1" s="53" t="s">
        <v>81</v>
      </c>
      <c r="P1" s="53" t="s">
        <v>79</v>
      </c>
      <c r="Q1" s="53" t="s">
        <v>80</v>
      </c>
      <c r="R1" s="53" t="s">
        <v>81</v>
      </c>
    </row>
    <row r="2" spans="1:22" s="53" customFormat="1" ht="5.25" hidden="1" customHeight="1">
      <c r="D2" s="124"/>
    </row>
    <row r="3" spans="1:22" s="64" customFormat="1" ht="6" customHeight="1">
      <c r="A3" s="331"/>
      <c r="D3" s="332"/>
      <c r="E3" s="63"/>
      <c r="F3" s="63"/>
      <c r="G3" s="63"/>
      <c r="H3" s="63"/>
      <c r="I3" s="364"/>
      <c r="J3" s="365"/>
      <c r="K3" s="365"/>
      <c r="L3" s="365"/>
    </row>
    <row r="4" spans="1:22" ht="22.5" customHeight="1">
      <c r="D4" s="302"/>
      <c r="E4" s="1090" t="s">
        <v>377</v>
      </c>
      <c r="F4" s="1090"/>
      <c r="G4" s="1090"/>
      <c r="H4" s="1090"/>
      <c r="I4" s="1090"/>
      <c r="J4" s="330"/>
      <c r="K4" s="366"/>
      <c r="L4" s="366"/>
    </row>
    <row r="5" spans="1:22" s="46" customFormat="1" ht="17.25" customHeight="1">
      <c r="A5" s="52"/>
      <c r="D5" s="302"/>
      <c r="E5" s="1127" t="str">
        <f>IF(org=0,"Не определено",org)</f>
        <v>Филиал ПАО "ОГК-2" - Серовская ГРЭС, г. Серов</v>
      </c>
      <c r="F5" s="1127"/>
      <c r="G5" s="1127"/>
      <c r="H5" s="1127"/>
      <c r="I5" s="1127"/>
      <c r="J5" s="330"/>
      <c r="K5" s="366"/>
      <c r="L5" s="366"/>
      <c r="M5" s="132"/>
    </row>
    <row r="6" spans="1:22" s="64" customFormat="1" ht="11.25" customHeight="1">
      <c r="A6" s="331"/>
      <c r="D6" s="332"/>
      <c r="E6" s="63"/>
      <c r="F6" s="63"/>
      <c r="G6" s="367"/>
      <c r="H6" s="367"/>
      <c r="I6" s="333"/>
      <c r="J6" s="333"/>
      <c r="K6" s="272"/>
      <c r="L6" s="333"/>
    </row>
    <row r="7" spans="1:22" ht="14.25" customHeight="1">
      <c r="D7" s="302"/>
      <c r="E7" s="1140" t="s">
        <v>287</v>
      </c>
      <c r="F7" s="1140"/>
      <c r="G7" s="1140"/>
      <c r="H7" s="1140"/>
      <c r="I7" s="1140"/>
      <c r="J7" s="1140"/>
      <c r="K7" s="1140"/>
      <c r="L7" s="1108" t="s">
        <v>288</v>
      </c>
    </row>
    <row r="8" spans="1:22" ht="45" customHeight="1">
      <c r="D8" s="302"/>
      <c r="E8" s="368" t="s">
        <v>84</v>
      </c>
      <c r="F8" s="368"/>
      <c r="G8" s="148" t="s">
        <v>82</v>
      </c>
      <c r="H8" s="148" t="s">
        <v>83</v>
      </c>
      <c r="I8" s="203" t="s">
        <v>81</v>
      </c>
      <c r="J8" s="203" t="s">
        <v>378</v>
      </c>
      <c r="K8" s="203" t="s">
        <v>379</v>
      </c>
      <c r="L8" s="1108"/>
    </row>
    <row r="9" spans="1:22" ht="12" hidden="1" customHeight="1">
      <c r="D9" s="341"/>
      <c r="E9" s="369"/>
      <c r="F9" s="369"/>
      <c r="G9" s="369"/>
      <c r="H9" s="369"/>
      <c r="I9" s="369"/>
      <c r="J9" s="369"/>
      <c r="K9" s="369"/>
      <c r="L9" s="369"/>
      <c r="M9" s="46"/>
    </row>
    <row r="10" spans="1:22" ht="14.25" hidden="1" customHeight="1">
      <c r="A10" s="46"/>
      <c r="D10" s="302"/>
      <c r="E10" s="148">
        <v>0</v>
      </c>
      <c r="F10" s="148"/>
      <c r="G10" s="370"/>
      <c r="H10" s="370"/>
      <c r="I10" s="370"/>
      <c r="J10" s="370"/>
      <c r="K10" s="370"/>
      <c r="L10" s="1149" t="s">
        <v>380</v>
      </c>
    </row>
    <row r="11" spans="1:22" ht="15" hidden="1" customHeight="1">
      <c r="A11" s="1089"/>
      <c r="B11" s="134"/>
      <c r="C11" s="134"/>
      <c r="D11" s="371"/>
      <c r="E11" s="372"/>
      <c r="F11" s="372"/>
      <c r="G11" s="372"/>
      <c r="H11" s="372"/>
      <c r="I11" s="186"/>
      <c r="J11" s="373"/>
      <c r="K11" s="374"/>
      <c r="L11" s="1149"/>
      <c r="M11" s="53"/>
      <c r="N11" s="53"/>
      <c r="O11" s="53"/>
      <c r="P11" s="375"/>
      <c r="Q11" s="375"/>
      <c r="R11" s="376"/>
      <c r="S11" s="53"/>
      <c r="T11" s="53"/>
      <c r="U11" s="53"/>
      <c r="V11" s="53"/>
    </row>
    <row r="12" spans="1:22" s="64" customFormat="1" ht="14.25" customHeight="1">
      <c r="A12" s="1089"/>
      <c r="B12" s="134"/>
      <c r="C12" s="134"/>
      <c r="D12" s="377"/>
      <c r="E12" s="368">
        <v>1</v>
      </c>
      <c r="F12" s="378">
        <v>23</v>
      </c>
      <c r="G12" s="379"/>
      <c r="H12" s="155"/>
      <c r="I12" s="156"/>
      <c r="J12" s="380" t="s">
        <v>63</v>
      </c>
      <c r="K12" s="381"/>
      <c r="L12" s="1149"/>
      <c r="M12" s="53"/>
      <c r="N12" s="53"/>
      <c r="O12" s="53"/>
      <c r="P12" s="375" t="s">
        <v>381</v>
      </c>
      <c r="Q12" s="375" t="s">
        <v>382</v>
      </c>
      <c r="R12" s="376" t="s">
        <v>383</v>
      </c>
      <c r="S12" s="53" t="s">
        <v>384</v>
      </c>
      <c r="T12" s="53"/>
      <c r="U12" s="53"/>
      <c r="V12" s="53"/>
    </row>
    <row r="13" spans="1:22" ht="15" customHeight="1">
      <c r="A13" s="1089"/>
      <c r="D13" s="302"/>
      <c r="E13" s="355"/>
      <c r="F13" s="382"/>
      <c r="G13" s="168" t="s">
        <v>98</v>
      </c>
      <c r="H13" s="383"/>
      <c r="I13" s="383"/>
      <c r="J13" s="383"/>
      <c r="K13" s="384"/>
      <c r="L13" s="1149"/>
      <c r="M13" s="46"/>
    </row>
    <row r="14" spans="1:22" ht="11.25" customHeight="1">
      <c r="A14" s="331"/>
      <c r="B14" s="64"/>
      <c r="C14" s="64"/>
      <c r="D14" s="385"/>
      <c r="E14" s="64"/>
      <c r="F14" s="64"/>
      <c r="G14" s="64"/>
      <c r="H14" s="64"/>
      <c r="I14" s="64"/>
      <c r="J14" s="64"/>
      <c r="K14" s="64"/>
      <c r="L14" s="64"/>
      <c r="M14" s="64"/>
      <c r="N14" s="64"/>
      <c r="O14" s="64"/>
      <c r="P14" s="64"/>
      <c r="Q14" s="64"/>
      <c r="R14" s="64"/>
      <c r="S14" s="64"/>
      <c r="T14" s="64"/>
      <c r="U14" s="64"/>
      <c r="V14" s="64"/>
    </row>
    <row r="15" spans="1:22" ht="14.25" customHeight="1">
      <c r="D15" s="386"/>
      <c r="E15" s="387"/>
      <c r="F15" s="387"/>
      <c r="G15" s="3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86"/>
      <c r="I15" s="386"/>
      <c r="J15" s="386"/>
      <c r="K15" s="386"/>
      <c r="L15" s="386"/>
    </row>
  </sheetData>
  <mergeCells count="6">
    <mergeCell ref="A11:A13"/>
    <mergeCell ref="E4:I4"/>
    <mergeCell ref="E5:I5"/>
    <mergeCell ref="E7:K7"/>
    <mergeCell ref="L7:L8"/>
    <mergeCell ref="L10:L13"/>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formula2>0</formula2>
    </dataValidation>
    <dataValidation allowBlank="1" showInputMessage="1" showErrorMessage="1" prompt="Изменение значения по двойному щелчоку левой кнопки мыши" sqref="J12">
      <formula1>0</formula1>
      <formula2>0</formula2>
    </dataValidation>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625" bottom="0.62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R64"/>
  <sheetViews>
    <sheetView showGridLines="0" topLeftCell="P25"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2" style="49" hidden="1" customWidth="1"/>
    <col min="10" max="10" width="9.85546875" style="49" hidden="1" customWidth="1"/>
    <col min="11" max="11" width="11.42578125" style="49" hidden="1" customWidth="1"/>
    <col min="12" max="12" width="19.140625" style="107" hidden="1" customWidth="1"/>
    <col min="13" max="14" width="12.28515625" style="57" hidden="1" customWidth="1"/>
    <col min="15" max="15" width="23.42578125" style="57" hidden="1" customWidth="1"/>
    <col min="16" max="16" width="3.7109375" style="56" customWidth="1"/>
    <col min="17" max="18" width="3.7109375" style="389" customWidth="1"/>
    <col min="19" max="19" width="12.7109375" style="254" customWidth="1"/>
    <col min="20" max="20" width="35.7109375" style="46" customWidth="1"/>
    <col min="21" max="21" width="0.140625" style="46" customWidth="1"/>
    <col min="22" max="22" width="24.7109375" style="46" hidden="1" customWidth="1"/>
    <col min="23" max="23" width="0.140625" style="46" hidden="1" customWidth="1"/>
    <col min="24" max="25" width="24.7109375" style="46" hidden="1" customWidth="1"/>
    <col min="26" max="26" width="11.7109375" style="46" hidden="1" customWidth="1"/>
    <col min="27" max="27" width="3.7109375" style="46" hidden="1" customWidth="1"/>
    <col min="28" max="28" width="11.7109375" style="46" hidden="1" customWidth="1"/>
    <col min="29" max="29" width="8.5703125" style="46" hidden="1" customWidth="1"/>
    <col min="30" max="30" width="24.7109375" style="46" customWidth="1"/>
    <col min="31" max="31" width="0.140625" style="46" customWidth="1"/>
    <col min="32" max="33" width="24.7109375" style="46" customWidth="1"/>
    <col min="34" max="34" width="11.7109375" style="46" customWidth="1"/>
    <col min="35" max="35" width="3.7109375" style="46" customWidth="1"/>
    <col min="36" max="36" width="11.7109375" style="46" customWidth="1"/>
    <col min="37" max="37" width="8.5703125" style="46" hidden="1" customWidth="1"/>
    <col min="38" max="38" width="4.7109375" style="46" customWidth="1"/>
    <col min="39" max="39" width="115.7109375" style="46" customWidth="1"/>
    <col min="40" max="41" width="10.5703125" style="53"/>
    <col min="42" max="42" width="11.140625" style="53" customWidth="1"/>
    <col min="43" max="44" width="10.5703125" style="53"/>
  </cols>
  <sheetData>
    <row r="1" spans="1:44" ht="14.25" hidden="1" customHeight="1"/>
    <row r="2" spans="1:44" ht="21"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c r="AD2" s="1154" t="e">
        <f>INDEX(PT_DIFFERENTIATION_NTAR,MATCH(A2,PT_DIFFERENTIATION_NTAR_ID,0))</f>
        <v>#N/A</v>
      </c>
      <c r="AE2" s="1154"/>
      <c r="AF2" s="1154"/>
      <c r="AG2" s="1154"/>
      <c r="AH2" s="1154"/>
      <c r="AI2" s="1154"/>
      <c r="AJ2" s="1154"/>
      <c r="AK2" s="1154"/>
      <c r="AL2" s="1154"/>
      <c r="AM2" s="397" t="s">
        <v>385</v>
      </c>
      <c r="AO2" s="121"/>
      <c r="AP2" s="121" t="str">
        <f t="shared" ref="AP2:AP15" si="0">IF(T2="","",T2)</f>
        <v>Наименование тарифа</v>
      </c>
      <c r="AQ2" s="121"/>
      <c r="AR2" s="121"/>
    </row>
    <row r="3" spans="1:44" ht="21"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c r="AD3" s="1154" t="e">
        <f>INDEX(PT_DIFFERENTIATION_TER,MATCH(B3,PT_DIFFERENTIATION_TER_ID,0))</f>
        <v>#N/A</v>
      </c>
      <c r="AE3" s="1154"/>
      <c r="AF3" s="1154"/>
      <c r="AG3" s="1154"/>
      <c r="AH3" s="1154"/>
      <c r="AI3" s="1154"/>
      <c r="AJ3" s="1154"/>
      <c r="AK3" s="1154"/>
      <c r="AL3" s="1154"/>
      <c r="AM3" s="397" t="s">
        <v>387</v>
      </c>
      <c r="AO3" s="121"/>
      <c r="AP3" s="121" t="str">
        <f t="shared" si="0"/>
        <v>Территория действия тарифа</v>
      </c>
      <c r="AQ3" s="121"/>
      <c r="AR3" s="121"/>
    </row>
    <row r="4" spans="1:44"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388</v>
      </c>
      <c r="U4" s="396"/>
      <c r="V4" s="1154"/>
      <c r="W4" s="1154"/>
      <c r="X4" s="1154"/>
      <c r="Y4" s="1154"/>
      <c r="Z4" s="1154"/>
      <c r="AA4" s="1154"/>
      <c r="AB4" s="1154"/>
      <c r="AC4" s="1154"/>
      <c r="AD4" s="1154" t="e">
        <f>INDEX(PT_DIFFERENTIATION_CS,MATCH(C4,PT_DIFFERENTIATION_CS_ID,0))</f>
        <v>#N/A</v>
      </c>
      <c r="AE4" s="1154"/>
      <c r="AF4" s="1154"/>
      <c r="AG4" s="1154"/>
      <c r="AH4" s="1154"/>
      <c r="AI4" s="1154"/>
      <c r="AJ4" s="1154"/>
      <c r="AK4" s="1154"/>
      <c r="AL4" s="1154"/>
      <c r="AM4" s="397" t="s">
        <v>389</v>
      </c>
      <c r="AO4" s="121"/>
      <c r="AP4" s="121" t="str">
        <f t="shared" si="0"/>
        <v xml:space="preserve">Наименование системы теплоснабжения </v>
      </c>
      <c r="AQ4" s="121"/>
      <c r="AR4" s="121"/>
    </row>
    <row r="5" spans="1:44" ht="21" hidden="1" customHeight="1">
      <c r="A5" s="390"/>
      <c r="B5" s="390"/>
      <c r="C5" s="390"/>
      <c r="D5" s="390"/>
      <c r="E5" s="1153"/>
      <c r="F5" s="1153"/>
      <c r="G5" s="1153"/>
      <c r="H5" s="1153">
        <v>1</v>
      </c>
      <c r="I5" s="390"/>
      <c r="J5" s="390"/>
      <c r="K5" s="390"/>
      <c r="L5" s="391"/>
      <c r="M5" s="392"/>
      <c r="N5" s="392"/>
      <c r="O5" s="392"/>
      <c r="P5" s="401"/>
      <c r="Q5" s="398"/>
      <c r="R5" s="399"/>
      <c r="S5" s="394" t="e">
        <f>INDEX(PT_DIFFERENTIATION_NUM_IST_TE,MATCH(D5,PT_DIFFERENTIATION_IST_TE_ID,0))</f>
        <v>#N/A</v>
      </c>
      <c r="T5" s="403" t="s">
        <v>390</v>
      </c>
      <c r="U5" s="396"/>
      <c r="V5" s="1154"/>
      <c r="W5" s="1154"/>
      <c r="X5" s="1154"/>
      <c r="Y5" s="1154"/>
      <c r="Z5" s="1154"/>
      <c r="AA5" s="1154"/>
      <c r="AB5" s="1154"/>
      <c r="AC5" s="1154"/>
      <c r="AD5" s="1154" t="e">
        <f>INDEX(PT_DIFFERENTIATION_IST_TE,MATCH(D5,PT_DIFFERENTIATION_IST_TE_ID,0))</f>
        <v>#N/A</v>
      </c>
      <c r="AE5" s="1154"/>
      <c r="AF5" s="1154"/>
      <c r="AG5" s="1154"/>
      <c r="AH5" s="1154"/>
      <c r="AI5" s="1154"/>
      <c r="AJ5" s="1154"/>
      <c r="AK5" s="1154"/>
      <c r="AL5" s="1154"/>
      <c r="AM5" s="397" t="s">
        <v>391</v>
      </c>
      <c r="AO5" s="121"/>
      <c r="AP5" s="121" t="str">
        <f t="shared" si="0"/>
        <v xml:space="preserve">Источник тепловой энергии  </v>
      </c>
      <c r="AQ5" s="121"/>
      <c r="AR5" s="121"/>
    </row>
    <row r="6" spans="1:44" ht="47.25" hidden="1" customHeight="1">
      <c r="A6" s="390"/>
      <c r="B6" s="390"/>
      <c r="C6" s="390"/>
      <c r="D6" s="390"/>
      <c r="E6" s="1153"/>
      <c r="F6" s="1153"/>
      <c r="G6" s="1153"/>
      <c r="H6" s="1153"/>
      <c r="I6" s="1155" t="e">
        <f>S5&amp;".1"</f>
        <v>#N/A</v>
      </c>
      <c r="J6" s="390"/>
      <c r="K6" s="390"/>
      <c r="L6" s="391" t="s">
        <v>392</v>
      </c>
      <c r="M6" s="49"/>
      <c r="P6" s="1156">
        <v>1</v>
      </c>
      <c r="Q6" s="124"/>
      <c r="R6" s="405"/>
      <c r="S6" s="394" t="e">
        <f>$I6</f>
        <v>#N/A</v>
      </c>
      <c r="T6" s="406" t="s">
        <v>393</v>
      </c>
      <c r="U6" s="396"/>
      <c r="V6" s="1157"/>
      <c r="W6" s="1157"/>
      <c r="X6" s="1157"/>
      <c r="Y6" s="1157"/>
      <c r="Z6" s="1157"/>
      <c r="AA6" s="1157"/>
      <c r="AB6" s="1157"/>
      <c r="AC6" s="1157"/>
      <c r="AD6" s="1157"/>
      <c r="AE6" s="1157"/>
      <c r="AF6" s="1157"/>
      <c r="AG6" s="1157"/>
      <c r="AH6" s="1157"/>
      <c r="AI6" s="1157"/>
      <c r="AJ6" s="1157"/>
      <c r="AK6" s="1157"/>
      <c r="AL6" s="1157"/>
      <c r="AM6" s="397" t="s">
        <v>394</v>
      </c>
      <c r="AO6" s="121"/>
      <c r="AP6" s="121" t="str">
        <f t="shared" si="0"/>
        <v>Схема подключения теплопотребляющей установки к коллектору источника тепловой энергии</v>
      </c>
      <c r="AQ6" s="121"/>
      <c r="AR6" s="121"/>
    </row>
    <row r="7" spans="1:44" ht="21" hidden="1" customHeight="1">
      <c r="A7" s="390"/>
      <c r="B7" s="390"/>
      <c r="C7" s="390"/>
      <c r="D7" s="390"/>
      <c r="E7" s="1153"/>
      <c r="F7" s="1153"/>
      <c r="G7" s="1153"/>
      <c r="H7" s="1153"/>
      <c r="I7" s="1155"/>
      <c r="J7" s="1155" t="e">
        <f>I6&amp;".1"</f>
        <v>#N/A</v>
      </c>
      <c r="K7" s="390"/>
      <c r="L7" s="391" t="s">
        <v>395</v>
      </c>
      <c r="M7" s="49"/>
      <c r="N7" s="49"/>
      <c r="P7" s="1156"/>
      <c r="Q7" s="1156">
        <v>1</v>
      </c>
      <c r="R7" s="408"/>
      <c r="S7" s="394" t="e">
        <f>$J7</f>
        <v>#N/A</v>
      </c>
      <c r="T7" s="409" t="s">
        <v>396</v>
      </c>
      <c r="U7" s="396"/>
      <c r="V7" s="1157"/>
      <c r="W7" s="1157"/>
      <c r="X7" s="1157"/>
      <c r="Y7" s="1157"/>
      <c r="Z7" s="1157"/>
      <c r="AA7" s="1157"/>
      <c r="AB7" s="1157"/>
      <c r="AC7" s="1157"/>
      <c r="AD7" s="1157"/>
      <c r="AE7" s="1157"/>
      <c r="AF7" s="1157"/>
      <c r="AG7" s="1157"/>
      <c r="AH7" s="1157"/>
      <c r="AI7" s="1157"/>
      <c r="AJ7" s="1157"/>
      <c r="AK7" s="1157"/>
      <c r="AL7" s="1157"/>
      <c r="AM7" s="397" t="s">
        <v>397</v>
      </c>
      <c r="AO7" s="121"/>
      <c r="AP7" s="121" t="str">
        <f t="shared" si="0"/>
        <v>Группа потребителей</v>
      </c>
      <c r="AQ7" s="121"/>
      <c r="AR7" s="121"/>
    </row>
    <row r="8" spans="1:44" ht="21" hidden="1" customHeight="1">
      <c r="A8" s="390"/>
      <c r="B8" s="390"/>
      <c r="C8" s="390"/>
      <c r="D8" s="390"/>
      <c r="E8" s="1153"/>
      <c r="F8" s="1153"/>
      <c r="G8" s="1153"/>
      <c r="H8" s="1153"/>
      <c r="I8" s="1155"/>
      <c r="J8" s="1155"/>
      <c r="K8" s="1155" t="e">
        <f>J7&amp;".1"</f>
        <v>#N/A</v>
      </c>
      <c r="L8" s="391" t="s">
        <v>398</v>
      </c>
      <c r="M8" s="49"/>
      <c r="N8" s="49"/>
      <c r="O8" s="49"/>
      <c r="P8" s="1156"/>
      <c r="Q8" s="1156"/>
      <c r="R8" s="408">
        <v>1</v>
      </c>
      <c r="S8" s="394" t="e">
        <f>$K8</f>
        <v>#N/A</v>
      </c>
      <c r="T8" s="410"/>
      <c r="U8" s="396"/>
      <c r="V8" s="411"/>
      <c r="W8" s="412"/>
      <c r="X8" s="411"/>
      <c r="Y8" s="413"/>
      <c r="Z8" s="1158"/>
      <c r="AA8" s="1105" t="s">
        <v>63</v>
      </c>
      <c r="AB8" s="1158"/>
      <c r="AC8" s="1105" t="s">
        <v>63</v>
      </c>
      <c r="AD8" s="411"/>
      <c r="AE8" s="412"/>
      <c r="AF8" s="411"/>
      <c r="AG8" s="413"/>
      <c r="AH8" s="1158"/>
      <c r="AI8" s="1105" t="s">
        <v>63</v>
      </c>
      <c r="AJ8" s="1158"/>
      <c r="AK8" s="1105" t="s">
        <v>63</v>
      </c>
      <c r="AL8" s="412"/>
      <c r="AM8" s="1159" t="s">
        <v>399</v>
      </c>
      <c r="AN8" s="53" t="e">
        <f ca="1">strcheckdate(V9:AL9)</f>
        <v>#NAME?</v>
      </c>
      <c r="AO8" s="121"/>
      <c r="AP8" s="121" t="str">
        <f t="shared" si="0"/>
        <v/>
      </c>
      <c r="AQ8" s="121"/>
      <c r="AR8" s="121"/>
    </row>
    <row r="9" spans="1:44" ht="0.75" hidden="1" customHeight="1">
      <c r="A9" s="390"/>
      <c r="B9" s="390"/>
      <c r="C9" s="390"/>
      <c r="D9" s="390"/>
      <c r="E9" s="1153"/>
      <c r="F9" s="1153"/>
      <c r="G9" s="1153"/>
      <c r="H9" s="1153"/>
      <c r="I9" s="1155"/>
      <c r="J9" s="1155"/>
      <c r="K9" s="1155"/>
      <c r="L9" s="391"/>
      <c r="M9" s="49"/>
      <c r="N9" s="49"/>
      <c r="O9" s="49"/>
      <c r="P9" s="1156"/>
      <c r="Q9" s="1156"/>
      <c r="R9" s="408"/>
      <c r="S9" s="370"/>
      <c r="T9" s="396"/>
      <c r="U9" s="396"/>
      <c r="V9" s="412"/>
      <c r="W9" s="412"/>
      <c r="X9" s="412"/>
      <c r="Y9" s="415" t="str">
        <f>Z8&amp;"-"&amp;AB8</f>
        <v>-</v>
      </c>
      <c r="Z9" s="1158"/>
      <c r="AA9" s="1105"/>
      <c r="AB9" s="1158"/>
      <c r="AC9" s="1105"/>
      <c r="AD9" s="412"/>
      <c r="AE9" s="412"/>
      <c r="AF9" s="412"/>
      <c r="AG9" s="415" t="str">
        <f>AH8&amp;"-"&amp;AJ8</f>
        <v>-</v>
      </c>
      <c r="AH9" s="1158"/>
      <c r="AI9" s="1105"/>
      <c r="AJ9" s="1158"/>
      <c r="AK9" s="1105"/>
      <c r="AL9" s="412"/>
      <c r="AM9" s="1159"/>
      <c r="AO9" s="121"/>
      <c r="AP9" s="121" t="str">
        <f t="shared" si="0"/>
        <v/>
      </c>
      <c r="AQ9" s="121"/>
      <c r="AR9" s="121"/>
    </row>
    <row r="10" spans="1:44" ht="15" hidden="1" customHeight="1">
      <c r="A10" s="390"/>
      <c r="B10" s="390"/>
      <c r="C10" s="390"/>
      <c r="D10" s="390"/>
      <c r="E10" s="1153"/>
      <c r="F10" s="1153"/>
      <c r="G10" s="1153"/>
      <c r="H10" s="1153"/>
      <c r="I10" s="1155"/>
      <c r="J10" s="1155"/>
      <c r="K10" s="390"/>
      <c r="L10" s="391"/>
      <c r="M10" s="49"/>
      <c r="N10" s="49"/>
      <c r="P10" s="1156"/>
      <c r="Q10" s="1156"/>
      <c r="R10" s="405"/>
      <c r="S10" s="416"/>
      <c r="T10" s="417" t="s">
        <v>400</v>
      </c>
      <c r="U10" s="186"/>
      <c r="V10" s="186"/>
      <c r="W10" s="186"/>
      <c r="X10" s="186"/>
      <c r="Y10" s="186"/>
      <c r="Z10" s="186"/>
      <c r="AA10" s="186"/>
      <c r="AB10" s="186"/>
      <c r="AC10" s="186"/>
      <c r="AD10" s="186"/>
      <c r="AE10" s="186"/>
      <c r="AF10" s="186"/>
      <c r="AG10" s="186"/>
      <c r="AH10" s="186"/>
      <c r="AI10" s="186"/>
      <c r="AJ10" s="186"/>
      <c r="AK10" s="186"/>
      <c r="AL10" s="418"/>
      <c r="AM10" s="1159"/>
      <c r="AO10" s="121"/>
      <c r="AP10" s="121" t="str">
        <f t="shared" si="0"/>
        <v>Добавить вид теплоносителя (параметры теплоносителя)</v>
      </c>
      <c r="AQ10" s="121"/>
      <c r="AR10" s="121"/>
    </row>
    <row r="11" spans="1:44" ht="15" hidden="1" customHeight="1">
      <c r="A11" s="390"/>
      <c r="B11" s="390"/>
      <c r="C11" s="390"/>
      <c r="D11" s="390"/>
      <c r="E11" s="1153"/>
      <c r="F11" s="1153"/>
      <c r="G11" s="1153"/>
      <c r="H11" s="1153"/>
      <c r="I11" s="1155"/>
      <c r="J11" s="390"/>
      <c r="K11" s="390"/>
      <c r="L11" s="391"/>
      <c r="M11" s="49"/>
      <c r="P11" s="1156"/>
      <c r="Q11" s="124"/>
      <c r="R11" s="405"/>
      <c r="S11" s="416"/>
      <c r="T11" s="419" t="s">
        <v>401</v>
      </c>
      <c r="U11" s="186"/>
      <c r="V11" s="186"/>
      <c r="W11" s="186"/>
      <c r="X11" s="186"/>
      <c r="Y11" s="186"/>
      <c r="Z11" s="186"/>
      <c r="AA11" s="186"/>
      <c r="AB11" s="186"/>
      <c r="AC11" s="420"/>
      <c r="AD11" s="186"/>
      <c r="AE11" s="186"/>
      <c r="AF11" s="186"/>
      <c r="AG11" s="186"/>
      <c r="AH11" s="186"/>
      <c r="AI11" s="186"/>
      <c r="AJ11" s="186"/>
      <c r="AK11" s="420"/>
      <c r="AL11" s="186"/>
      <c r="AM11" s="421"/>
      <c r="AO11" s="121"/>
      <c r="AP11" s="121" t="str">
        <f t="shared" si="0"/>
        <v>Добавить группу потребителей</v>
      </c>
      <c r="AQ11" s="121"/>
      <c r="AR11" s="121"/>
    </row>
    <row r="12" spans="1:44" ht="14.25" hidden="1" customHeight="1">
      <c r="A12" s="390"/>
      <c r="B12" s="390"/>
      <c r="C12" s="390"/>
      <c r="D12" s="390"/>
      <c r="E12" s="1153"/>
      <c r="F12" s="1153"/>
      <c r="G12" s="1153"/>
      <c r="H12" s="1153"/>
      <c r="I12" s="390"/>
      <c r="J12" s="390"/>
      <c r="K12" s="390"/>
      <c r="L12" s="391"/>
      <c r="M12" s="392"/>
      <c r="N12" s="392"/>
      <c r="O12" s="49"/>
      <c r="P12" s="134"/>
      <c r="Q12" s="422"/>
      <c r="R12" s="393"/>
      <c r="S12" s="416"/>
      <c r="T12" s="423" t="s">
        <v>402</v>
      </c>
      <c r="U12" s="186"/>
      <c r="V12" s="186"/>
      <c r="W12" s="186"/>
      <c r="X12" s="186"/>
      <c r="Y12" s="186"/>
      <c r="Z12" s="186"/>
      <c r="AA12" s="186"/>
      <c r="AB12" s="186"/>
      <c r="AC12" s="420"/>
      <c r="AD12" s="186"/>
      <c r="AE12" s="186"/>
      <c r="AF12" s="186"/>
      <c r="AG12" s="186"/>
      <c r="AH12" s="186"/>
      <c r="AI12" s="186"/>
      <c r="AJ12" s="186"/>
      <c r="AK12" s="420"/>
      <c r="AL12" s="186"/>
      <c r="AM12" s="421"/>
      <c r="AO12" s="121"/>
      <c r="AP12" s="121" t="str">
        <f t="shared" si="0"/>
        <v>Добавить схему подключения</v>
      </c>
      <c r="AQ12" s="121"/>
      <c r="AR12" s="121"/>
    </row>
    <row r="13" spans="1:44" s="53" customFormat="1" ht="0.75" hidden="1" customHeight="1">
      <c r="A13" s="125"/>
      <c r="B13" s="125"/>
      <c r="C13" s="125"/>
      <c r="D13" s="125"/>
      <c r="E13" s="1153"/>
      <c r="F13" s="1153"/>
      <c r="G13" s="1153"/>
      <c r="H13" s="125"/>
      <c r="I13" s="125"/>
      <c r="J13" s="125"/>
      <c r="K13" s="125"/>
      <c r="L13" s="184"/>
      <c r="M13" s="375"/>
      <c r="N13" s="375"/>
      <c r="P13" s="158"/>
      <c r="Q13" s="424"/>
      <c r="R13" s="158"/>
      <c r="S13" s="425"/>
      <c r="T13" s="426" t="s">
        <v>403</v>
      </c>
      <c r="U13" s="427"/>
      <c r="V13" s="427"/>
      <c r="W13" s="427"/>
      <c r="X13" s="427"/>
      <c r="Y13" s="427"/>
      <c r="Z13" s="427"/>
      <c r="AA13" s="427"/>
      <c r="AB13" s="427"/>
      <c r="AC13" s="427"/>
      <c r="AD13" s="427"/>
      <c r="AE13" s="427"/>
      <c r="AF13" s="427"/>
      <c r="AG13" s="427"/>
      <c r="AH13" s="427"/>
      <c r="AI13" s="427"/>
      <c r="AJ13" s="427"/>
      <c r="AK13" s="427"/>
      <c r="AL13" s="427"/>
      <c r="AM13" s="427"/>
      <c r="AO13" s="121"/>
      <c r="AP13" s="121" t="str">
        <f t="shared" si="0"/>
        <v>Добавить источник для дифференциации</v>
      </c>
      <c r="AQ13" s="121"/>
      <c r="AR13" s="121"/>
    </row>
    <row r="14" spans="1:44" s="53" customFormat="1" ht="0.75" hidden="1" customHeight="1">
      <c r="A14" s="125"/>
      <c r="B14" s="125"/>
      <c r="C14" s="125"/>
      <c r="D14" s="125"/>
      <c r="E14" s="1153"/>
      <c r="F14" s="1153"/>
      <c r="G14" s="125"/>
      <c r="H14" s="125"/>
      <c r="I14" s="125"/>
      <c r="J14" s="125"/>
      <c r="K14" s="125"/>
      <c r="L14" s="184"/>
      <c r="M14" s="428"/>
      <c r="N14" s="428"/>
      <c r="P14" s="158"/>
      <c r="Q14" s="424"/>
      <c r="R14" s="158"/>
      <c r="S14" s="429"/>
      <c r="T14" s="430" t="s">
        <v>253</v>
      </c>
      <c r="U14" s="431"/>
      <c r="V14" s="431"/>
      <c r="W14" s="431"/>
      <c r="X14" s="431"/>
      <c r="Y14" s="431"/>
      <c r="Z14" s="431"/>
      <c r="AA14" s="431"/>
      <c r="AB14" s="431"/>
      <c r="AC14" s="431"/>
      <c r="AD14" s="431"/>
      <c r="AE14" s="431"/>
      <c r="AF14" s="431"/>
      <c r="AG14" s="431"/>
      <c r="AH14" s="431"/>
      <c r="AI14" s="431"/>
      <c r="AJ14" s="431"/>
      <c r="AK14" s="431"/>
      <c r="AL14" s="431"/>
      <c r="AM14" s="431"/>
      <c r="AO14" s="121"/>
      <c r="AP14" s="121" t="str">
        <f t="shared" si="0"/>
        <v>Добавить централизованную систему для дифференциации</v>
      </c>
      <c r="AQ14" s="121"/>
      <c r="AR14" s="121"/>
    </row>
    <row r="15" spans="1:44" s="53" customFormat="1" ht="0.75" hidden="1" customHeight="1">
      <c r="A15" s="125"/>
      <c r="B15" s="125"/>
      <c r="C15" s="125"/>
      <c r="D15" s="125"/>
      <c r="E15" s="1153"/>
      <c r="F15" s="125"/>
      <c r="G15" s="125"/>
      <c r="H15" s="125"/>
      <c r="I15" s="125"/>
      <c r="J15" s="125"/>
      <c r="K15" s="125"/>
      <c r="L15" s="184"/>
      <c r="M15" s="428"/>
      <c r="N15" s="428"/>
      <c r="P15" s="158"/>
      <c r="Q15" s="424"/>
      <c r="R15" s="158"/>
      <c r="S15" s="429"/>
      <c r="T15" s="432" t="s">
        <v>254</v>
      </c>
      <c r="U15" s="431"/>
      <c r="V15" s="431"/>
      <c r="W15" s="431"/>
      <c r="X15" s="431"/>
      <c r="Y15" s="431"/>
      <c r="Z15" s="431"/>
      <c r="AA15" s="431"/>
      <c r="AB15" s="431"/>
      <c r="AC15" s="431"/>
      <c r="AD15" s="431"/>
      <c r="AE15" s="431"/>
      <c r="AF15" s="431"/>
      <c r="AG15" s="431"/>
      <c r="AH15" s="431"/>
      <c r="AI15" s="431"/>
      <c r="AJ15" s="431"/>
      <c r="AK15" s="431"/>
      <c r="AL15" s="431"/>
      <c r="AM15" s="431"/>
      <c r="AO15" s="121"/>
      <c r="AP15" s="121" t="str">
        <f t="shared" si="0"/>
        <v>Добавить территорию для дифференциации</v>
      </c>
      <c r="AQ15" s="121"/>
      <c r="AR15" s="121"/>
    </row>
    <row r="16" spans="1:44" ht="14.25" hidden="1" customHeight="1"/>
    <row r="17" spans="1:44" ht="14.25" hidden="1" customHeight="1">
      <c r="AD17" s="433"/>
      <c r="AE17" s="433"/>
      <c r="AF17" s="433"/>
      <c r="AG17" s="434"/>
      <c r="AH17" s="1160"/>
      <c r="AI17" s="1161" t="s">
        <v>63</v>
      </c>
      <c r="AJ17" s="1160"/>
      <c r="AK17" s="1161" t="s">
        <v>63</v>
      </c>
    </row>
    <row r="18" spans="1:44" ht="14.25" hidden="1" customHeight="1">
      <c r="AD18" s="433"/>
      <c r="AE18" s="433"/>
      <c r="AF18" s="433"/>
      <c r="AG18" s="415" t="str">
        <f>AH17&amp;"-"&amp;AJ17</f>
        <v>-</v>
      </c>
      <c r="AH18" s="1160"/>
      <c r="AI18" s="1160"/>
      <c r="AJ18" s="1160"/>
      <c r="AK18" s="1160"/>
    </row>
    <row r="19" spans="1:44" ht="14.25" hidden="1" customHeight="1"/>
    <row r="20" spans="1:44" s="49" customFormat="1" ht="22.5" hidden="1" customHeight="1">
      <c r="L20" s="107"/>
      <c r="M20" s="57"/>
      <c r="N20" s="57"/>
      <c r="O20" s="435" t="s">
        <v>404</v>
      </c>
      <c r="P20" s="57"/>
      <c r="Q20" s="436"/>
      <c r="R20" s="436"/>
      <c r="S20" s="392"/>
      <c r="Z20" s="435"/>
      <c r="AB20" s="435"/>
      <c r="AH20" s="435"/>
      <c r="AJ20" s="435"/>
      <c r="AN20" s="53"/>
      <c r="AO20" s="53"/>
      <c r="AP20" s="53"/>
      <c r="AQ20" s="53"/>
      <c r="AR20" s="53"/>
    </row>
    <row r="21" spans="1:44" s="49" customFormat="1" ht="14.25" hidden="1" customHeight="1">
      <c r="L21" s="107"/>
      <c r="M21" s="57"/>
      <c r="N21" s="57"/>
      <c r="O21" s="57"/>
      <c r="P21" s="57"/>
      <c r="Q21" s="436"/>
      <c r="R21" s="436"/>
      <c r="S21" s="392"/>
      <c r="AN21" s="53"/>
      <c r="AO21" s="53"/>
      <c r="AP21" s="53"/>
      <c r="AQ21" s="53"/>
      <c r="AR21" s="53"/>
    </row>
    <row r="22" spans="1:44" s="49" customFormat="1" ht="14.25" hidden="1" customHeight="1">
      <c r="L22" s="107"/>
      <c r="M22" s="57"/>
      <c r="N22" s="57"/>
      <c r="O22" s="391" t="s">
        <v>405</v>
      </c>
      <c r="P22" s="57"/>
      <c r="Q22" s="436"/>
      <c r="R22" s="436"/>
      <c r="S22" s="392"/>
      <c r="T22" s="49" t="s">
        <v>406</v>
      </c>
      <c r="AA22" s="142" t="s">
        <v>407</v>
      </c>
      <c r="AC22" s="142" t="s">
        <v>408</v>
      </c>
      <c r="AD22" s="49" t="s">
        <v>406</v>
      </c>
      <c r="AI22" s="142" t="s">
        <v>409</v>
      </c>
      <c r="AK22" s="142" t="s">
        <v>408</v>
      </c>
      <c r="AN22" s="53"/>
      <c r="AO22" s="53"/>
      <c r="AP22" s="53"/>
      <c r="AQ22" s="53"/>
      <c r="AR22" s="53"/>
    </row>
    <row r="23" spans="1:44" ht="14.25" hidden="1" customHeight="1">
      <c r="O23" s="391"/>
    </row>
    <row r="24" spans="1:44" ht="14.25" hidden="1" customHeight="1">
      <c r="O24" s="391"/>
    </row>
    <row r="25" spans="1:44" ht="14.25" customHeight="1">
      <c r="Q25" s="437"/>
      <c r="R25" s="437"/>
      <c r="S25" s="438"/>
      <c r="T25" s="83"/>
      <c r="U25" s="83"/>
    </row>
    <row r="26" spans="1:44" ht="14.25" customHeight="1">
      <c r="Q26" s="437"/>
      <c r="R26" s="437"/>
      <c r="S26" s="110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106"/>
      <c r="U26" s="1106"/>
      <c r="V26" s="1106"/>
      <c r="W26" s="1106"/>
      <c r="X26" s="1106"/>
      <c r="Y26" s="1106"/>
      <c r="Z26" s="1106"/>
      <c r="AA26" s="1106"/>
      <c r="AB26" s="1106"/>
      <c r="AC26" s="1106"/>
      <c r="AD26" s="1106"/>
      <c r="AE26" s="1106"/>
      <c r="AF26" s="1106"/>
      <c r="AG26" s="1106"/>
      <c r="AH26" s="1106"/>
      <c r="AI26" s="1106"/>
      <c r="AJ26" s="1106"/>
      <c r="AK26" s="201"/>
    </row>
    <row r="27" spans="1:44" ht="14.25" customHeight="1">
      <c r="Q27" s="437"/>
      <c r="R27" s="437"/>
      <c r="S27" s="1127" t="str">
        <f>IF(org=0,"Не определено",org)</f>
        <v>Филиал ПАО "ОГК-2" - Серовская ГРЭС, г. Серов</v>
      </c>
      <c r="T27" s="1127"/>
      <c r="U27" s="1127"/>
      <c r="V27" s="1127"/>
      <c r="W27" s="1127"/>
      <c r="X27" s="1127"/>
      <c r="Y27" s="1127"/>
      <c r="Z27" s="1127"/>
      <c r="AA27" s="1127"/>
      <c r="AB27" s="1127"/>
      <c r="AC27" s="1127"/>
      <c r="AD27" s="1127"/>
      <c r="AE27" s="1127"/>
      <c r="AF27" s="1127"/>
      <c r="AG27" s="1127"/>
      <c r="AH27" s="1127"/>
      <c r="AI27" s="1127"/>
      <c r="AJ27" s="1127"/>
      <c r="AK27" s="201"/>
    </row>
    <row r="28" spans="1:44" ht="14.25" customHeight="1">
      <c r="Q28" s="437"/>
      <c r="R28" s="437"/>
      <c r="S28" s="438"/>
      <c r="T28" s="83"/>
      <c r="U28" s="83"/>
      <c r="V28" s="439"/>
      <c r="W28" s="439"/>
      <c r="X28" s="439"/>
      <c r="Y28" s="439"/>
      <c r="Z28" s="439"/>
      <c r="AA28" s="439"/>
      <c r="AB28" s="439"/>
      <c r="AC28" s="439"/>
      <c r="AD28" s="439"/>
      <c r="AE28" s="439"/>
      <c r="AF28" s="439"/>
      <c r="AG28" s="439"/>
      <c r="AH28" s="439"/>
      <c r="AI28" s="439"/>
      <c r="AJ28" s="439"/>
      <c r="AK28" s="439"/>
    </row>
    <row r="29" spans="1:44" s="174" customFormat="1" ht="25.5" customHeight="1">
      <c r="A29" s="142"/>
      <c r="B29" s="142"/>
      <c r="C29" s="142"/>
      <c r="D29" s="142"/>
      <c r="E29" s="142"/>
      <c r="F29" s="142"/>
      <c r="G29" s="142"/>
      <c r="H29" s="142"/>
      <c r="I29" s="142"/>
      <c r="J29" s="142"/>
      <c r="K29" s="142"/>
      <c r="L29" s="391"/>
      <c r="M29" s="142"/>
      <c r="N29" s="142"/>
      <c r="O29" s="142"/>
      <c r="S29" s="1162" t="s">
        <v>37</v>
      </c>
      <c r="T29" s="1162"/>
      <c r="U29" s="441"/>
      <c r="V29" s="1163" t="str">
        <f>IF(TITLE_NAME_OR_PR_CHANGE="",IF(TITLE_NAME_OR_PR="","",TITLE_NAME_OR_PR),TITLE_NAME_OR_PR_CHANGE)</f>
        <v>Региональная энергетическая комиссия Свердловской области</v>
      </c>
      <c r="W29" s="1163"/>
      <c r="X29" s="1163"/>
      <c r="Y29" s="1163"/>
      <c r="Z29" s="1163"/>
      <c r="AA29" s="1163"/>
      <c r="AB29" s="1163"/>
      <c r="AC29" s="46"/>
      <c r="AD29" s="1163" t="str">
        <f>IF(TITLE_NAME_OR_PR_CHANGE="",IF(TITLE_NAME_OR_PR="","",TITLE_NAME_OR_PR),TITLE_NAME_OR_PR_CHANGE)</f>
        <v>Региональная энергетическая комиссия Свердловской области</v>
      </c>
      <c r="AE29" s="1163"/>
      <c r="AF29" s="1163"/>
      <c r="AG29" s="1163"/>
      <c r="AH29" s="1163"/>
      <c r="AI29" s="1163"/>
      <c r="AJ29" s="1163"/>
      <c r="AK29" s="46"/>
      <c r="AL29" s="46"/>
      <c r="AM29" s="442"/>
      <c r="AN29" s="121"/>
      <c r="AO29" s="121"/>
      <c r="AP29" s="121"/>
      <c r="AQ29" s="121"/>
      <c r="AR29" s="121"/>
    </row>
    <row r="30" spans="1:44" s="174" customFormat="1" ht="18.75" customHeight="1">
      <c r="A30" s="142"/>
      <c r="B30" s="142"/>
      <c r="C30" s="142"/>
      <c r="D30" s="142"/>
      <c r="E30" s="142"/>
      <c r="F30" s="142"/>
      <c r="G30" s="142"/>
      <c r="H30" s="142"/>
      <c r="I30" s="142"/>
      <c r="J30" s="142"/>
      <c r="K30" s="142"/>
      <c r="L30" s="391"/>
      <c r="M30" s="142"/>
      <c r="N30" s="142"/>
      <c r="O30" s="142"/>
      <c r="S30" s="1162" t="s">
        <v>410</v>
      </c>
      <c r="T30" s="1162"/>
      <c r="U30" s="441"/>
      <c r="V30" s="1164">
        <f>IF(TITLE_DATE_PR_CHANGE="",IF(TITLE_DATE_PR="","",TITLE_DATE_PR),TITLE_DATE_PR_CHANGE)</f>
        <v>45266.462974536997</v>
      </c>
      <c r="W30" s="1164"/>
      <c r="X30" s="1164"/>
      <c r="Y30" s="1164"/>
      <c r="Z30" s="1164"/>
      <c r="AA30" s="1164"/>
      <c r="AB30" s="1164"/>
      <c r="AC30" s="46"/>
      <c r="AD30" s="1164">
        <f>IF(TITLE_DATE_PR_CHANGE="",IF(TITLE_DATE_PR="","",TITLE_DATE_PR),TITLE_DATE_PR_CHANGE)</f>
        <v>45266.462974536997</v>
      </c>
      <c r="AE30" s="1164"/>
      <c r="AF30" s="1164"/>
      <c r="AG30" s="1164"/>
      <c r="AH30" s="1164"/>
      <c r="AI30" s="1164"/>
      <c r="AJ30" s="1164"/>
      <c r="AK30" s="46"/>
      <c r="AL30" s="46"/>
      <c r="AM30" s="442"/>
      <c r="AN30" s="121"/>
      <c r="AO30" s="121"/>
      <c r="AP30" s="121"/>
      <c r="AQ30" s="121"/>
      <c r="AR30" s="121"/>
    </row>
    <row r="31" spans="1:44" s="174" customFormat="1" ht="18.75" customHeight="1">
      <c r="A31" s="142"/>
      <c r="B31" s="142"/>
      <c r="C31" s="142"/>
      <c r="D31" s="142"/>
      <c r="E31" s="142"/>
      <c r="F31" s="142"/>
      <c r="G31" s="142"/>
      <c r="H31" s="142"/>
      <c r="I31" s="142"/>
      <c r="J31" s="142"/>
      <c r="K31" s="142"/>
      <c r="L31" s="391"/>
      <c r="M31" s="142"/>
      <c r="N31" s="142"/>
      <c r="O31" s="142"/>
      <c r="S31" s="1162" t="s">
        <v>411</v>
      </c>
      <c r="T31" s="1162"/>
      <c r="U31" s="441"/>
      <c r="V31" s="1163" t="str">
        <f>IF(TITLE_NUMBER_PR_CHANGE="",IF(TITLE_NUMBER_PR="","",TITLE_NUMBER_PR),TITLE_NUMBER_PR_CHANGE)</f>
        <v>216-ПК</v>
      </c>
      <c r="W31" s="1163"/>
      <c r="X31" s="1163"/>
      <c r="Y31" s="1163"/>
      <c r="Z31" s="1163"/>
      <c r="AA31" s="1163"/>
      <c r="AB31" s="1163"/>
      <c r="AC31" s="46"/>
      <c r="AD31" s="1163" t="str">
        <f>IF(TITLE_NUMBER_PR_CHANGE="",IF(TITLE_NUMBER_PR="","",TITLE_NUMBER_PR),TITLE_NUMBER_PR_CHANGE)</f>
        <v>216-ПК</v>
      </c>
      <c r="AE31" s="1163"/>
      <c r="AF31" s="1163"/>
      <c r="AG31" s="1163"/>
      <c r="AH31" s="1163"/>
      <c r="AI31" s="1163"/>
      <c r="AJ31" s="1163"/>
      <c r="AK31" s="46"/>
      <c r="AL31" s="46"/>
      <c r="AM31" s="442"/>
      <c r="AN31" s="121"/>
      <c r="AO31" s="121"/>
      <c r="AP31" s="121"/>
      <c r="AQ31" s="121"/>
      <c r="AR31" s="121"/>
    </row>
    <row r="32" spans="1:44" s="174" customFormat="1" ht="18.75" customHeight="1">
      <c r="A32" s="142"/>
      <c r="B32" s="142"/>
      <c r="C32" s="142"/>
      <c r="D32" s="142"/>
      <c r="E32" s="142"/>
      <c r="F32" s="142"/>
      <c r="G32" s="142"/>
      <c r="H32" s="142"/>
      <c r="I32" s="142"/>
      <c r="J32" s="142"/>
      <c r="K32" s="142"/>
      <c r="L32" s="391"/>
      <c r="M32" s="142"/>
      <c r="N32" s="142"/>
      <c r="O32" s="142"/>
      <c r="S32" s="1162" t="s">
        <v>39</v>
      </c>
      <c r="T32" s="1162"/>
      <c r="U32" s="441"/>
      <c r="V32" s="1163" t="str">
        <f>IF(TITLE_IST_PUB_CHANGE="",IF(TITLE_IST_PUB="","",TITLE_IST_PUB),TITLE_IST_PUB_CHANGE)</f>
        <v>Региональная энергетическая комиссия Свердловской области</v>
      </c>
      <c r="W32" s="1163"/>
      <c r="X32" s="1163"/>
      <c r="Y32" s="1163"/>
      <c r="Z32" s="1163"/>
      <c r="AA32" s="1163"/>
      <c r="AB32" s="1163"/>
      <c r="AC32" s="46"/>
      <c r="AD32" s="1163" t="str">
        <f>IF(TITLE_IST_PUB_CHANGE="",IF(TITLE_IST_PUB="","",TITLE_IST_PUB),TITLE_IST_PUB_CHANGE)</f>
        <v>Региональная энергетическая комиссия Свердловской области</v>
      </c>
      <c r="AE32" s="1163"/>
      <c r="AF32" s="1163"/>
      <c r="AG32" s="1163"/>
      <c r="AH32" s="1163"/>
      <c r="AI32" s="1163"/>
      <c r="AJ32" s="1163"/>
      <c r="AK32" s="46"/>
      <c r="AL32" s="46"/>
      <c r="AM32" s="442"/>
      <c r="AN32" s="121"/>
      <c r="AO32" s="121"/>
      <c r="AP32" s="121"/>
      <c r="AQ32" s="121"/>
      <c r="AR32" s="121"/>
    </row>
    <row r="33" spans="1:44" ht="14.25" hidden="1" customHeight="1">
      <c r="Q33" s="437"/>
      <c r="R33" s="437"/>
      <c r="S33" s="438"/>
      <c r="T33" s="83"/>
      <c r="U33" s="83"/>
      <c r="V33" s="439"/>
      <c r="W33" s="439"/>
      <c r="X33" s="439"/>
      <c r="Y33" s="439"/>
      <c r="Z33" s="439"/>
      <c r="AA33" s="439"/>
      <c r="AB33" s="439"/>
      <c r="AC33" s="439"/>
      <c r="AD33" s="439"/>
      <c r="AE33" s="439"/>
      <c r="AF33" s="439"/>
      <c r="AG33" s="439"/>
      <c r="AH33" s="439"/>
      <c r="AI33" s="439"/>
      <c r="AJ33" s="439"/>
      <c r="AK33" s="439"/>
    </row>
    <row r="34" spans="1:44" s="174" customFormat="1" ht="18.75" hidden="1" customHeight="1">
      <c r="A34" s="142"/>
      <c r="B34" s="142"/>
      <c r="C34" s="142"/>
      <c r="D34" s="142"/>
      <c r="E34" s="142"/>
      <c r="F34" s="142"/>
      <c r="G34" s="142"/>
      <c r="H34" s="142"/>
      <c r="I34" s="142"/>
      <c r="J34" s="142"/>
      <c r="K34" s="142"/>
      <c r="L34" s="391"/>
      <c r="M34" s="142"/>
      <c r="N34" s="142"/>
      <c r="O34" s="142"/>
      <c r="S34" s="1162" t="s">
        <v>412</v>
      </c>
      <c r="T34" s="1162"/>
      <c r="U34" s="441"/>
      <c r="V34" s="1164">
        <f>IF(TITLE_DATE_PR_CHANGE="",IF(TITLE_DATE_PR="","",TITLE_DATE_PR),TITLE_DATE_PR_CHANGE)</f>
        <v>45266.462974536997</v>
      </c>
      <c r="W34" s="1164"/>
      <c r="X34" s="1164"/>
      <c r="Y34" s="1164"/>
      <c r="Z34" s="1164"/>
      <c r="AA34" s="1164"/>
      <c r="AB34" s="1164"/>
      <c r="AC34" s="46"/>
      <c r="AD34" s="1164">
        <f>IF(TITLE_DATE_PR_CHANGE="",IF(TITLE_DATE_PR="","",TITLE_DATE_PR),TITLE_DATE_PR_CHANGE)</f>
        <v>45266.462974536997</v>
      </c>
      <c r="AE34" s="1164"/>
      <c r="AF34" s="1164"/>
      <c r="AG34" s="1164"/>
      <c r="AH34" s="1164"/>
      <c r="AI34" s="1164"/>
      <c r="AJ34" s="1164"/>
      <c r="AK34" s="46"/>
      <c r="AL34" s="46"/>
      <c r="AM34" s="442"/>
      <c r="AN34" s="121"/>
      <c r="AO34" s="121"/>
      <c r="AP34" s="121"/>
      <c r="AQ34" s="121"/>
      <c r="AR34" s="121"/>
    </row>
    <row r="35" spans="1:44" s="174" customFormat="1" ht="18.75" hidden="1" customHeight="1">
      <c r="A35" s="142"/>
      <c r="B35" s="142"/>
      <c r="C35" s="142"/>
      <c r="D35" s="142"/>
      <c r="E35" s="142"/>
      <c r="F35" s="142"/>
      <c r="G35" s="142"/>
      <c r="H35" s="142"/>
      <c r="I35" s="142"/>
      <c r="J35" s="142"/>
      <c r="K35" s="142"/>
      <c r="L35" s="391"/>
      <c r="M35" s="142"/>
      <c r="N35" s="142"/>
      <c r="O35" s="142"/>
      <c r="S35" s="1162" t="s">
        <v>413</v>
      </c>
      <c r="T35" s="1162"/>
      <c r="U35" s="441"/>
      <c r="V35" s="1163" t="str">
        <f>IF(TITLE_NUMBER_PR_CHANGE="",IF(TITLE_NUMBER_PR="","",TITLE_NUMBER_PR),TITLE_NUMBER_PR_CHANGE)</f>
        <v>216-ПК</v>
      </c>
      <c r="W35" s="1163"/>
      <c r="X35" s="1163"/>
      <c r="Y35" s="1163"/>
      <c r="Z35" s="1163"/>
      <c r="AA35" s="1163"/>
      <c r="AB35" s="1163"/>
      <c r="AC35" s="46"/>
      <c r="AD35" s="1163" t="str">
        <f>IF(TITLE_NUMBER_PR_CHANGE="",IF(TITLE_NUMBER_PR="","",TITLE_NUMBER_PR),TITLE_NUMBER_PR_CHANGE)</f>
        <v>216-ПК</v>
      </c>
      <c r="AE35" s="1163"/>
      <c r="AF35" s="1163"/>
      <c r="AG35" s="1163"/>
      <c r="AH35" s="1163"/>
      <c r="AI35" s="1163"/>
      <c r="AJ35" s="1163"/>
      <c r="AK35" s="46"/>
      <c r="AL35" s="46"/>
      <c r="AM35" s="442"/>
      <c r="AN35" s="121"/>
      <c r="AO35" s="121"/>
      <c r="AP35" s="121"/>
      <c r="AQ35" s="121"/>
      <c r="AR35" s="121"/>
    </row>
    <row r="36" spans="1:44" s="174" customFormat="1" ht="11.25">
      <c r="A36" s="142"/>
      <c r="B36" s="142"/>
      <c r="C36" s="142"/>
      <c r="D36" s="142"/>
      <c r="E36" s="142"/>
      <c r="F36" s="142"/>
      <c r="G36" s="142"/>
      <c r="H36" s="142"/>
      <c r="I36" s="142"/>
      <c r="J36" s="142"/>
      <c r="K36" s="142"/>
      <c r="L36" s="391"/>
      <c r="M36" s="142"/>
      <c r="N36" s="142"/>
      <c r="O36" s="142"/>
      <c r="S36" s="46"/>
      <c r="T36" s="46"/>
      <c r="U36" s="131"/>
      <c r="V36" s="46"/>
      <c r="W36" s="46"/>
      <c r="X36" s="46"/>
      <c r="Y36" s="46"/>
      <c r="Z36" s="46"/>
      <c r="AA36" s="46"/>
      <c r="AB36" s="46"/>
      <c r="AC36" s="53" t="s">
        <v>414</v>
      </c>
      <c r="AD36" s="46"/>
      <c r="AE36" s="46"/>
      <c r="AF36" s="46"/>
      <c r="AG36" s="46"/>
      <c r="AH36" s="46"/>
      <c r="AI36" s="46"/>
      <c r="AJ36" s="46"/>
      <c r="AK36" s="53" t="s">
        <v>414</v>
      </c>
      <c r="AN36" s="121"/>
      <c r="AO36" s="121"/>
      <c r="AP36" s="121"/>
      <c r="AQ36" s="121"/>
      <c r="AR36" s="121"/>
    </row>
    <row r="37" spans="1:44" ht="14.25" customHeight="1">
      <c r="Q37" s="437"/>
      <c r="R37" s="437"/>
      <c r="S37" s="438"/>
      <c r="T37" s="83"/>
      <c r="U37" s="443"/>
      <c r="V37" s="1165"/>
      <c r="W37" s="1165"/>
      <c r="X37" s="1165"/>
      <c r="Y37" s="1165"/>
      <c r="Z37" s="1165"/>
      <c r="AA37" s="1165"/>
      <c r="AB37" s="1165"/>
      <c r="AC37" s="1165"/>
      <c r="AD37" s="1165"/>
      <c r="AE37" s="1165"/>
      <c r="AF37" s="1165"/>
      <c r="AG37" s="1165"/>
      <c r="AH37" s="1165"/>
      <c r="AI37" s="1165"/>
      <c r="AJ37" s="1165"/>
      <c r="AK37" s="1165"/>
    </row>
    <row r="38" spans="1:44" ht="14.25" customHeight="1">
      <c r="Q38" s="437"/>
      <c r="R38" s="437"/>
      <c r="S38" s="1087" t="s">
        <v>287</v>
      </c>
      <c r="T38" s="1087"/>
      <c r="U38" s="1087"/>
      <c r="V38" s="1087"/>
      <c r="W38" s="1087"/>
      <c r="X38" s="1087"/>
      <c r="Y38" s="1087"/>
      <c r="Z38" s="1087"/>
      <c r="AA38" s="1087"/>
      <c r="AB38" s="1087"/>
      <c r="AC38" s="1087"/>
      <c r="AD38" s="1087"/>
      <c r="AE38" s="1087"/>
      <c r="AF38" s="1087"/>
      <c r="AG38" s="1087"/>
      <c r="AH38" s="1087"/>
      <c r="AI38" s="1087"/>
      <c r="AJ38" s="1087"/>
      <c r="AK38" s="1087"/>
      <c r="AL38" s="1087"/>
      <c r="AM38" s="1087" t="s">
        <v>288</v>
      </c>
    </row>
    <row r="39" spans="1:44" ht="14.25" customHeight="1">
      <c r="Q39" s="437"/>
      <c r="R39" s="437"/>
      <c r="S39" s="1166" t="s">
        <v>84</v>
      </c>
      <c r="T39" s="1167" t="s">
        <v>415</v>
      </c>
      <c r="U39" s="444"/>
      <c r="V39" s="1140" t="s">
        <v>416</v>
      </c>
      <c r="W39" s="1140"/>
      <c r="X39" s="1140"/>
      <c r="Y39" s="1140"/>
      <c r="Z39" s="1140"/>
      <c r="AA39" s="1140"/>
      <c r="AB39" s="1140"/>
      <c r="AC39" s="1167" t="s">
        <v>417</v>
      </c>
      <c r="AD39" s="1140" t="s">
        <v>416</v>
      </c>
      <c r="AE39" s="1140"/>
      <c r="AF39" s="1140"/>
      <c r="AG39" s="1140"/>
      <c r="AH39" s="1140"/>
      <c r="AI39" s="1140"/>
      <c r="AJ39" s="1140"/>
      <c r="AK39" s="1167" t="s">
        <v>418</v>
      </c>
      <c r="AL39" s="1168" t="s">
        <v>419</v>
      </c>
      <c r="AM39" s="1087"/>
    </row>
    <row r="40" spans="1:44" ht="33.75" customHeight="1">
      <c r="Q40" s="437"/>
      <c r="R40" s="437"/>
      <c r="S40" s="1166"/>
      <c r="T40" s="1167"/>
      <c r="U40" s="445"/>
      <c r="V40" s="1169" t="s">
        <v>420</v>
      </c>
      <c r="W40" s="1155" t="s">
        <v>421</v>
      </c>
      <c r="X40" s="1087" t="s">
        <v>422</v>
      </c>
      <c r="Y40" s="1087"/>
      <c r="Z40" s="1087" t="s">
        <v>423</v>
      </c>
      <c r="AA40" s="1087"/>
      <c r="AB40" s="1087"/>
      <c r="AC40" s="1167"/>
      <c r="AD40" s="1169" t="s">
        <v>420</v>
      </c>
      <c r="AE40" s="1155" t="s">
        <v>421</v>
      </c>
      <c r="AF40" s="1087" t="s">
        <v>422</v>
      </c>
      <c r="AG40" s="1087"/>
      <c r="AH40" s="1087" t="s">
        <v>423</v>
      </c>
      <c r="AI40" s="1087"/>
      <c r="AJ40" s="1087"/>
      <c r="AK40" s="1167"/>
      <c r="AL40" s="1168"/>
      <c r="AM40" s="1087"/>
    </row>
    <row r="41" spans="1:44" ht="33.75" customHeight="1">
      <c r="A41" s="142"/>
      <c r="B41" s="142" t="s">
        <v>131</v>
      </c>
      <c r="C41" s="142" t="s">
        <v>132</v>
      </c>
      <c r="D41" s="142" t="s">
        <v>133</v>
      </c>
      <c r="E41" s="391" t="s">
        <v>424</v>
      </c>
      <c r="F41" s="391" t="s">
        <v>425</v>
      </c>
      <c r="G41" s="391" t="s">
        <v>426</v>
      </c>
      <c r="H41" s="391" t="s">
        <v>427</v>
      </c>
      <c r="I41" s="391" t="s">
        <v>428</v>
      </c>
      <c r="J41" s="391" t="s">
        <v>429</v>
      </c>
      <c r="K41" s="391" t="s">
        <v>430</v>
      </c>
      <c r="L41" s="391" t="s">
        <v>405</v>
      </c>
      <c r="Q41" s="437"/>
      <c r="R41" s="437"/>
      <c r="S41" s="1166"/>
      <c r="T41" s="1167"/>
      <c r="U41" s="446"/>
      <c r="V41" s="1169"/>
      <c r="W41" s="1155"/>
      <c r="X41" s="203" t="s">
        <v>431</v>
      </c>
      <c r="Y41" s="203" t="s">
        <v>432</v>
      </c>
      <c r="Z41" s="203" t="s">
        <v>433</v>
      </c>
      <c r="AA41" s="1108" t="s">
        <v>434</v>
      </c>
      <c r="AB41" s="1108"/>
      <c r="AC41" s="1167"/>
      <c r="AD41" s="1169"/>
      <c r="AE41" s="1155"/>
      <c r="AF41" s="203" t="s">
        <v>431</v>
      </c>
      <c r="AG41" s="203" t="s">
        <v>432</v>
      </c>
      <c r="AH41" s="203" t="s">
        <v>433</v>
      </c>
      <c r="AI41" s="1108" t="s">
        <v>434</v>
      </c>
      <c r="AJ41" s="1108"/>
      <c r="AK41" s="1167"/>
      <c r="AL41" s="1168"/>
      <c r="AM41" s="1087"/>
    </row>
    <row r="42" spans="1:44" s="123" customFormat="1" ht="11.25" hidden="1" customHeight="1">
      <c r="A42" s="142"/>
      <c r="B42" s="142"/>
      <c r="C42" s="142"/>
      <c r="D42" s="142"/>
      <c r="E42" s="142"/>
      <c r="F42" s="142"/>
      <c r="G42" s="142"/>
      <c r="H42" s="142"/>
      <c r="I42" s="142"/>
      <c r="J42" s="142"/>
      <c r="K42" s="142"/>
      <c r="L42" s="391"/>
      <c r="M42" s="57"/>
      <c r="N42" s="57"/>
      <c r="O42" s="57"/>
      <c r="P42" s="447"/>
      <c r="Q42" s="448"/>
      <c r="R42" s="449">
        <v>1</v>
      </c>
      <c r="S42" s="450" t="s">
        <v>105</v>
      </c>
      <c r="T42" s="451" t="s">
        <v>106</v>
      </c>
      <c r="U42" s="452" t="str">
        <f ca="1">OFFSET(U42,0,-1)</f>
        <v>2</v>
      </c>
      <c r="V42" s="453">
        <f ca="1">OFFSET(V42,0,-1)+1</f>
        <v>3</v>
      </c>
      <c r="W42" s="453"/>
      <c r="X42" s="453">
        <f ca="1">OFFSET(X42,0,-1)+1</f>
        <v>1</v>
      </c>
      <c r="Y42" s="453">
        <f ca="1">OFFSET(Y42,0,-1)+1</f>
        <v>2</v>
      </c>
      <c r="Z42" s="453">
        <f ca="1">OFFSET(Z42,0,-1)+1</f>
        <v>3</v>
      </c>
      <c r="AA42" s="1170">
        <f ca="1">OFFSET(AA42,0,-1)+1</f>
        <v>4</v>
      </c>
      <c r="AB42" s="1170"/>
      <c r="AC42" s="453">
        <f ca="1">OFFSET(AC42,0,-2)+1</f>
        <v>5</v>
      </c>
      <c r="AD42" s="453">
        <f ca="1">OFFSET(AD42,0,-1)+1</f>
        <v>6</v>
      </c>
      <c r="AE42" s="453"/>
      <c r="AF42" s="453">
        <f ca="1">OFFSET(AF42,0,-1)+1</f>
        <v>1</v>
      </c>
      <c r="AG42" s="453">
        <f ca="1">OFFSET(AG42,0,-1)+1</f>
        <v>2</v>
      </c>
      <c r="AH42" s="453">
        <f ca="1">OFFSET(AH42,0,-1)+1</f>
        <v>3</v>
      </c>
      <c r="AI42" s="1170">
        <f ca="1">OFFSET(AI42,0,-1)+1</f>
        <v>4</v>
      </c>
      <c r="AJ42" s="1170"/>
      <c r="AK42" s="453">
        <f ca="1">OFFSET(AK42,0,-2)+1</f>
        <v>5</v>
      </c>
      <c r="AL42" s="452">
        <f ca="1">OFFSET(AL42,0,-1)</f>
        <v>5</v>
      </c>
      <c r="AM42" s="453">
        <f ca="1">OFFSET(AM42,0,-1)+1</f>
        <v>6</v>
      </c>
      <c r="AN42" s="53"/>
      <c r="AO42" s="53"/>
      <c r="AP42" s="53"/>
      <c r="AQ42" s="53"/>
      <c r="AR42" s="53"/>
    </row>
    <row r="43" spans="1:44" ht="23.25" customHeight="1">
      <c r="A43" s="390" t="s">
        <v>152</v>
      </c>
      <c r="B43" s="390"/>
      <c r="C43" s="390"/>
      <c r="D43" s="390"/>
      <c r="E43" s="1153">
        <v>1</v>
      </c>
      <c r="F43" s="390"/>
      <c r="G43" s="390"/>
      <c r="H43" s="390"/>
      <c r="I43" s="390"/>
      <c r="J43" s="390"/>
      <c r="K43" s="390"/>
      <c r="L43" s="391"/>
      <c r="M43" s="392"/>
      <c r="N43" s="392"/>
      <c r="O43" s="392"/>
      <c r="Q43" s="134"/>
      <c r="R43" s="393"/>
      <c r="S43" s="394">
        <f>INDEX(PT_DIFFERENTIATION_NUM_NTAR,MATCH(A43,PT_DIFFERENTIATION_NTAR_ID,0))</f>
        <v>0</v>
      </c>
      <c r="T43" s="395" t="s">
        <v>119</v>
      </c>
      <c r="U43" s="396"/>
      <c r="V43" s="1154"/>
      <c r="W43" s="1154"/>
      <c r="X43" s="1154"/>
      <c r="Y43" s="1154"/>
      <c r="Z43" s="1154"/>
      <c r="AA43" s="1154"/>
      <c r="AB43" s="1154"/>
      <c r="AC43" s="1154"/>
      <c r="AD43" s="1154" t="str">
        <f>INDEX(PT_DIFFERENTIATION_NTAR,MATCH(A43,PT_DIFFERENTIATION_NTAR_ID,0))</f>
        <v/>
      </c>
      <c r="AE43" s="1154"/>
      <c r="AF43" s="1154"/>
      <c r="AG43" s="1154"/>
      <c r="AH43" s="1154"/>
      <c r="AI43" s="1154"/>
      <c r="AJ43" s="1154"/>
      <c r="AK43" s="1154"/>
      <c r="AL43" s="1154"/>
      <c r="AM43" s="39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t="shared" ref="AP43:AP57" si="1">IF(T43="","",T43)</f>
        <v>Наименование тарифа</v>
      </c>
      <c r="AQ43" s="121"/>
      <c r="AR43" s="121"/>
    </row>
    <row r="44" spans="1:44" ht="23.25" customHeight="1">
      <c r="A44" s="390" t="s">
        <v>152</v>
      </c>
      <c r="B44" s="390" t="s">
        <v>153</v>
      </c>
      <c r="C44" s="390"/>
      <c r="D44" s="390"/>
      <c r="E44" s="1153"/>
      <c r="F44" s="1153">
        <v>1</v>
      </c>
      <c r="G44" s="390"/>
      <c r="H44" s="390"/>
      <c r="I44" s="390"/>
      <c r="J44" s="390"/>
      <c r="K44" s="390"/>
      <c r="L44" s="391"/>
      <c r="M44" s="392"/>
      <c r="N44" s="392"/>
      <c r="O44" s="392"/>
      <c r="P44" s="47"/>
      <c r="Q44" s="398"/>
      <c r="R44" s="399"/>
      <c r="S44" s="394" t="str">
        <f>INDEX(PT_DIFFERENTIATION_NUM_TER,MATCH(B44,PT_DIFFERENTIATION_TER_ID,0))</f>
        <v>.</v>
      </c>
      <c r="T44" s="400" t="s">
        <v>386</v>
      </c>
      <c r="U44" s="396"/>
      <c r="V44" s="1154"/>
      <c r="W44" s="1154"/>
      <c r="X44" s="1154"/>
      <c r="Y44" s="1154"/>
      <c r="Z44" s="1154"/>
      <c r="AA44" s="1154"/>
      <c r="AB44" s="1154"/>
      <c r="AC44" s="1154"/>
      <c r="AD44" s="1154" t="str">
        <f>INDEX(PT_DIFFERENTIATION_TER,MATCH(B44,PT_DIFFERENTIATION_TER_ID,0))</f>
        <v/>
      </c>
      <c r="AE44" s="1154"/>
      <c r="AF44" s="1154"/>
      <c r="AG44" s="1154"/>
      <c r="AH44" s="1154"/>
      <c r="AI44" s="1154"/>
      <c r="AJ44" s="1154"/>
      <c r="AK44" s="1154"/>
      <c r="AL44" s="1154"/>
      <c r="AM44" s="397" t="s">
        <v>387</v>
      </c>
      <c r="AO44" s="121"/>
      <c r="AP44" s="121" t="str">
        <f t="shared" si="1"/>
        <v>Территория действия тарифа</v>
      </c>
      <c r="AQ44" s="121"/>
      <c r="AR44" s="121"/>
    </row>
    <row r="45" spans="1:44" ht="23.25" customHeight="1">
      <c r="A45" s="390" t="s">
        <v>152</v>
      </c>
      <c r="B45" s="390" t="s">
        <v>153</v>
      </c>
      <c r="C45" s="390" t="s">
        <v>154</v>
      </c>
      <c r="D45" s="390"/>
      <c r="E45" s="1153"/>
      <c r="F45" s="1153"/>
      <c r="G45" s="1153">
        <v>1</v>
      </c>
      <c r="H45" s="390"/>
      <c r="I45" s="390"/>
      <c r="J45" s="390"/>
      <c r="K45" s="390"/>
      <c r="L45" s="391"/>
      <c r="M45" s="392"/>
      <c r="N45" s="392"/>
      <c r="O45" s="392"/>
      <c r="P45" s="401"/>
      <c r="Q45" s="398"/>
      <c r="R45" s="399"/>
      <c r="S45" s="394" t="str">
        <f>INDEX(PT_DIFFERENTIATION_NUM_CS,MATCH(C45,PT_DIFFERENTIATION_CS_ID,0))</f>
        <v>..</v>
      </c>
      <c r="T45" s="402" t="s">
        <v>388</v>
      </c>
      <c r="U45" s="396"/>
      <c r="V45" s="1154"/>
      <c r="W45" s="1154"/>
      <c r="X45" s="1154"/>
      <c r="Y45" s="1154"/>
      <c r="Z45" s="1154"/>
      <c r="AA45" s="1154"/>
      <c r="AB45" s="1154"/>
      <c r="AC45" s="1154"/>
      <c r="AD45" s="1154" t="str">
        <f>INDEX(PT_DIFFERENTIATION_CS,MATCH(C45,PT_DIFFERENTIATION_CS_ID,0))</f>
        <v/>
      </c>
      <c r="AE45" s="1154"/>
      <c r="AF45" s="1154"/>
      <c r="AG45" s="1154"/>
      <c r="AH45" s="1154"/>
      <c r="AI45" s="1154"/>
      <c r="AJ45" s="1154"/>
      <c r="AK45" s="1154"/>
      <c r="AL45" s="1154"/>
      <c r="AM45" s="397" t="s">
        <v>389</v>
      </c>
      <c r="AO45" s="121"/>
      <c r="AP45" s="121" t="str">
        <f t="shared" si="1"/>
        <v xml:space="preserve">Наименование системы теплоснабжения </v>
      </c>
      <c r="AQ45" s="121"/>
      <c r="AR45" s="121"/>
    </row>
    <row r="46" spans="1:44" ht="23.25" customHeight="1">
      <c r="A46" s="390" t="s">
        <v>152</v>
      </c>
      <c r="B46" s="390" t="s">
        <v>153</v>
      </c>
      <c r="C46" s="390" t="s">
        <v>154</v>
      </c>
      <c r="D46" s="390" t="s">
        <v>155</v>
      </c>
      <c r="E46" s="1153"/>
      <c r="F46" s="1153"/>
      <c r="G46" s="1153"/>
      <c r="H46" s="1153">
        <v>1</v>
      </c>
      <c r="I46" s="390"/>
      <c r="J46" s="390"/>
      <c r="K46" s="390"/>
      <c r="L46" s="391"/>
      <c r="M46" s="392"/>
      <c r="N46" s="392"/>
      <c r="O46" s="392"/>
      <c r="P46" s="401"/>
      <c r="Q46" s="398"/>
      <c r="R46" s="399"/>
      <c r="S46" s="394" t="str">
        <f>INDEX(PT_DIFFERENTIATION_NUM_IST_TE,MATCH(D46,PT_DIFFERENTIATION_IST_TE_ID,0))</f>
        <v>...</v>
      </c>
      <c r="T46" s="403" t="s">
        <v>390</v>
      </c>
      <c r="U46" s="396"/>
      <c r="V46" s="1154"/>
      <c r="W46" s="1154"/>
      <c r="X46" s="1154"/>
      <c r="Y46" s="1154"/>
      <c r="Z46" s="1154"/>
      <c r="AA46" s="1154"/>
      <c r="AB46" s="1154"/>
      <c r="AC46" s="1154"/>
      <c r="AD46" s="1154" t="str">
        <f>INDEX(PT_DIFFERENTIATION_IST_TE,MATCH(D46,PT_DIFFERENTIATION_IST_TE_ID,0))</f>
        <v/>
      </c>
      <c r="AE46" s="1154"/>
      <c r="AF46" s="1154"/>
      <c r="AG46" s="1154"/>
      <c r="AH46" s="1154"/>
      <c r="AI46" s="1154"/>
      <c r="AJ46" s="1154"/>
      <c r="AK46" s="1154"/>
      <c r="AL46" s="1154"/>
      <c r="AM46" s="397" t="s">
        <v>391</v>
      </c>
      <c r="AO46" s="121"/>
      <c r="AP46" s="121" t="str">
        <f t="shared" si="1"/>
        <v xml:space="preserve">Источник тепловой энергии  </v>
      </c>
      <c r="AQ46" s="121"/>
      <c r="AR46" s="121"/>
    </row>
    <row r="47" spans="1:44" ht="47.25" customHeight="1">
      <c r="A47" s="390" t="s">
        <v>152</v>
      </c>
      <c r="B47" s="390" t="s">
        <v>153</v>
      </c>
      <c r="C47" s="390" t="s">
        <v>154</v>
      </c>
      <c r="D47" s="390" t="s">
        <v>155</v>
      </c>
      <c r="E47" s="1153"/>
      <c r="F47" s="1153"/>
      <c r="G47" s="1153"/>
      <c r="H47" s="1153"/>
      <c r="I47" s="1155" t="str">
        <f>S46&amp;".1"</f>
        <v>....1</v>
      </c>
      <c r="J47" s="390"/>
      <c r="K47" s="390"/>
      <c r="L47" s="391" t="s">
        <v>392</v>
      </c>
      <c r="P47" s="1156">
        <v>1</v>
      </c>
      <c r="Q47" s="124"/>
      <c r="R47" s="405"/>
      <c r="S47" s="394" t="str">
        <f>$I47</f>
        <v>....1</v>
      </c>
      <c r="T47" s="406" t="s">
        <v>393</v>
      </c>
      <c r="U47" s="396"/>
      <c r="V47" s="1157"/>
      <c r="W47" s="1157"/>
      <c r="X47" s="1157"/>
      <c r="Y47" s="1157"/>
      <c r="Z47" s="1157"/>
      <c r="AA47" s="1157"/>
      <c r="AB47" s="1157"/>
      <c r="AC47" s="1157"/>
      <c r="AD47" s="1157"/>
      <c r="AE47" s="1157"/>
      <c r="AF47" s="1157"/>
      <c r="AG47" s="1157"/>
      <c r="AH47" s="1157"/>
      <c r="AI47" s="1157"/>
      <c r="AJ47" s="1157"/>
      <c r="AK47" s="1157"/>
      <c r="AL47" s="1157"/>
      <c r="AM47" s="397" t="s">
        <v>394</v>
      </c>
      <c r="AO47" s="121"/>
      <c r="AP47" s="121" t="str">
        <f t="shared" si="1"/>
        <v>Схема подключения теплопотребляющей установки к коллектору источника тепловой энергии</v>
      </c>
      <c r="AQ47" s="121"/>
      <c r="AR47" s="121"/>
    </row>
    <row r="48" spans="1:44" ht="23.25" customHeight="1">
      <c r="A48" s="390" t="s">
        <v>152</v>
      </c>
      <c r="B48" s="390" t="s">
        <v>153</v>
      </c>
      <c r="C48" s="390" t="s">
        <v>154</v>
      </c>
      <c r="D48" s="390" t="s">
        <v>155</v>
      </c>
      <c r="E48" s="1153"/>
      <c r="F48" s="1153"/>
      <c r="G48" s="1153"/>
      <c r="H48" s="1153"/>
      <c r="I48" s="1155"/>
      <c r="J48" s="1155" t="str">
        <f>I47&amp;".1"</f>
        <v>....1.1</v>
      </c>
      <c r="K48" s="390"/>
      <c r="L48" s="391" t="s">
        <v>395</v>
      </c>
      <c r="P48" s="1156"/>
      <c r="Q48" s="1156">
        <v>1</v>
      </c>
      <c r="R48" s="408"/>
      <c r="S48" s="394" t="str">
        <f>$J48</f>
        <v>....1.1</v>
      </c>
      <c r="T48" s="409" t="s">
        <v>396</v>
      </c>
      <c r="U48" s="396"/>
      <c r="V48" s="1157"/>
      <c r="W48" s="1157"/>
      <c r="X48" s="1157"/>
      <c r="Y48" s="1157"/>
      <c r="Z48" s="1157"/>
      <c r="AA48" s="1157"/>
      <c r="AB48" s="1157"/>
      <c r="AC48" s="1157"/>
      <c r="AD48" s="1157"/>
      <c r="AE48" s="1157"/>
      <c r="AF48" s="1157"/>
      <c r="AG48" s="1157"/>
      <c r="AH48" s="1157"/>
      <c r="AI48" s="1157"/>
      <c r="AJ48" s="1157"/>
      <c r="AK48" s="1157"/>
      <c r="AL48" s="1157"/>
      <c r="AM48" s="397" t="s">
        <v>397</v>
      </c>
      <c r="AO48" s="121"/>
      <c r="AP48" s="121" t="str">
        <f t="shared" si="1"/>
        <v>Группа потребителей</v>
      </c>
      <c r="AQ48" s="121"/>
      <c r="AR48" s="121"/>
    </row>
    <row r="49" spans="1:44" ht="23.25" customHeight="1">
      <c r="A49" s="390" t="s">
        <v>152</v>
      </c>
      <c r="B49" s="390" t="s">
        <v>153</v>
      </c>
      <c r="C49" s="390" t="s">
        <v>154</v>
      </c>
      <c r="D49" s="390" t="s">
        <v>155</v>
      </c>
      <c r="E49" s="1153"/>
      <c r="F49" s="1153"/>
      <c r="G49" s="1153"/>
      <c r="H49" s="1153"/>
      <c r="I49" s="1155"/>
      <c r="J49" s="1155"/>
      <c r="K49" s="1155" t="str">
        <f>J48&amp;".1"</f>
        <v>....1.1.1</v>
      </c>
      <c r="L49" s="391" t="s">
        <v>398</v>
      </c>
      <c r="P49" s="1156"/>
      <c r="Q49" s="1156"/>
      <c r="R49" s="408">
        <v>1</v>
      </c>
      <c r="S49" s="394" t="str">
        <f>$K49</f>
        <v>....1.1.1</v>
      </c>
      <c r="T49" s="410"/>
      <c r="U49" s="396"/>
      <c r="V49" s="411"/>
      <c r="W49" s="412"/>
      <c r="X49" s="411"/>
      <c r="Y49" s="413"/>
      <c r="Z49" s="1158"/>
      <c r="AA49" s="1105" t="s">
        <v>63</v>
      </c>
      <c r="AB49" s="1158"/>
      <c r="AC49" s="1105" t="s">
        <v>63</v>
      </c>
      <c r="AD49" s="411"/>
      <c r="AE49" s="412"/>
      <c r="AF49" s="411"/>
      <c r="AG49" s="413"/>
      <c r="AH49" s="1158"/>
      <c r="AI49" s="1105" t="s">
        <v>63</v>
      </c>
      <c r="AJ49" s="1158"/>
      <c r="AK49" s="1105" t="s">
        <v>63</v>
      </c>
      <c r="AL49" s="454"/>
      <c r="AM49" s="1159" t="s">
        <v>399</v>
      </c>
      <c r="AN49" s="53" t="e">
        <f ca="1">strcheckdate(V50:AL50)</f>
        <v>#NAME?</v>
      </c>
      <c r="AO49" s="121"/>
      <c r="AP49" s="121" t="str">
        <f t="shared" si="1"/>
        <v/>
      </c>
      <c r="AQ49" s="121"/>
      <c r="AR49" s="121"/>
    </row>
    <row r="50" spans="1:44" ht="0.75" customHeight="1">
      <c r="A50" s="390" t="s">
        <v>152</v>
      </c>
      <c r="B50" s="390" t="s">
        <v>153</v>
      </c>
      <c r="C50" s="390" t="s">
        <v>154</v>
      </c>
      <c r="D50" s="390" t="s">
        <v>155</v>
      </c>
      <c r="E50" s="1153"/>
      <c r="F50" s="1153"/>
      <c r="G50" s="1153"/>
      <c r="H50" s="1153"/>
      <c r="I50" s="1155"/>
      <c r="J50" s="1155"/>
      <c r="K50" s="1155"/>
      <c r="L50" s="391"/>
      <c r="P50" s="1156"/>
      <c r="Q50" s="1156"/>
      <c r="R50" s="408"/>
      <c r="S50" s="370"/>
      <c r="T50" s="396"/>
      <c r="U50" s="396"/>
      <c r="V50" s="412"/>
      <c r="W50" s="412"/>
      <c r="X50" s="412"/>
      <c r="Y50" s="415" t="str">
        <f>Z49&amp;"-"&amp;AB49</f>
        <v>-</v>
      </c>
      <c r="Z50" s="1158"/>
      <c r="AA50" s="1105"/>
      <c r="AB50" s="1158"/>
      <c r="AC50" s="1105"/>
      <c r="AD50" s="412"/>
      <c r="AE50" s="412"/>
      <c r="AF50" s="412"/>
      <c r="AG50" s="415" t="str">
        <f>AH49&amp;"-"&amp;AJ49</f>
        <v>-</v>
      </c>
      <c r="AH50" s="1158"/>
      <c r="AI50" s="1105"/>
      <c r="AJ50" s="1158"/>
      <c r="AK50" s="1105"/>
      <c r="AL50" s="455"/>
      <c r="AM50" s="1159"/>
      <c r="AO50" s="121"/>
      <c r="AP50" s="121" t="str">
        <f t="shared" si="1"/>
        <v/>
      </c>
      <c r="AQ50" s="121"/>
      <c r="AR50" s="121"/>
    </row>
    <row r="51" spans="1:44" ht="11.25" customHeight="1">
      <c r="A51" s="390" t="s">
        <v>152</v>
      </c>
      <c r="B51" s="390" t="s">
        <v>153</v>
      </c>
      <c r="C51" s="390" t="s">
        <v>154</v>
      </c>
      <c r="D51" s="390" t="s">
        <v>155</v>
      </c>
      <c r="E51" s="1153"/>
      <c r="F51" s="1153"/>
      <c r="G51" s="1153"/>
      <c r="H51" s="1153"/>
      <c r="I51" s="1155"/>
      <c r="J51" s="1155"/>
      <c r="K51" s="390"/>
      <c r="L51" s="391"/>
      <c r="P51" s="1156"/>
      <c r="Q51" s="1156"/>
      <c r="R51" s="405"/>
      <c r="S51" s="416"/>
      <c r="T51" s="417" t="s">
        <v>400</v>
      </c>
      <c r="U51" s="186"/>
      <c r="V51" s="186"/>
      <c r="W51" s="186"/>
      <c r="X51" s="186"/>
      <c r="Y51" s="186"/>
      <c r="Z51" s="186"/>
      <c r="AA51" s="186"/>
      <c r="AB51" s="186"/>
      <c r="AC51" s="186"/>
      <c r="AD51" s="186"/>
      <c r="AE51" s="186"/>
      <c r="AF51" s="186"/>
      <c r="AG51" s="186"/>
      <c r="AH51" s="186"/>
      <c r="AI51" s="186"/>
      <c r="AJ51" s="186"/>
      <c r="AK51" s="186"/>
      <c r="AL51" s="418"/>
      <c r="AM51" s="1159"/>
      <c r="AO51" s="121"/>
      <c r="AP51" s="121" t="str">
        <f t="shared" si="1"/>
        <v>Добавить вид теплоносителя (параметры теплоносителя)</v>
      </c>
      <c r="AQ51" s="121"/>
      <c r="AR51" s="121"/>
    </row>
    <row r="52" spans="1:44" ht="11.25" customHeight="1">
      <c r="A52" s="390" t="s">
        <v>152</v>
      </c>
      <c r="B52" s="390" t="s">
        <v>153</v>
      </c>
      <c r="C52" s="390" t="s">
        <v>154</v>
      </c>
      <c r="D52" s="390" t="s">
        <v>155</v>
      </c>
      <c r="E52" s="1153"/>
      <c r="F52" s="1153"/>
      <c r="G52" s="1153"/>
      <c r="H52" s="1153"/>
      <c r="I52" s="1155"/>
      <c r="J52" s="390"/>
      <c r="K52" s="390"/>
      <c r="L52" s="391"/>
      <c r="P52" s="1156"/>
      <c r="Q52" s="124"/>
      <c r="R52" s="405"/>
      <c r="S52" s="416"/>
      <c r="T52" s="419" t="s">
        <v>401</v>
      </c>
      <c r="U52" s="186"/>
      <c r="V52" s="186"/>
      <c r="W52" s="186"/>
      <c r="X52" s="186"/>
      <c r="Y52" s="186"/>
      <c r="Z52" s="186"/>
      <c r="AA52" s="186"/>
      <c r="AB52" s="186"/>
      <c r="AC52" s="420"/>
      <c r="AD52" s="186"/>
      <c r="AE52" s="186"/>
      <c r="AF52" s="186"/>
      <c r="AG52" s="186"/>
      <c r="AH52" s="186"/>
      <c r="AI52" s="186"/>
      <c r="AJ52" s="186"/>
      <c r="AK52" s="420"/>
      <c r="AL52" s="186"/>
      <c r="AM52" s="421"/>
      <c r="AO52" s="121"/>
      <c r="AP52" s="121" t="str">
        <f t="shared" si="1"/>
        <v>Добавить группу потребителей</v>
      </c>
      <c r="AQ52" s="121"/>
      <c r="AR52" s="121"/>
    </row>
    <row r="53" spans="1:44" ht="14.25" customHeight="1">
      <c r="A53" s="390" t="s">
        <v>152</v>
      </c>
      <c r="B53" s="390" t="s">
        <v>153</v>
      </c>
      <c r="C53" s="390" t="s">
        <v>154</v>
      </c>
      <c r="D53" s="390" t="s">
        <v>155</v>
      </c>
      <c r="E53" s="1153"/>
      <c r="F53" s="1153"/>
      <c r="G53" s="1153"/>
      <c r="H53" s="1153"/>
      <c r="I53" s="390"/>
      <c r="J53" s="390"/>
      <c r="K53" s="390"/>
      <c r="L53" s="391"/>
      <c r="M53" s="392"/>
      <c r="N53" s="392"/>
      <c r="O53" s="49"/>
      <c r="P53" s="134"/>
      <c r="Q53" s="422"/>
      <c r="R53" s="393"/>
      <c r="S53" s="416"/>
      <c r="T53" s="423" t="s">
        <v>402</v>
      </c>
      <c r="U53" s="186"/>
      <c r="V53" s="186"/>
      <c r="W53" s="186"/>
      <c r="X53" s="186"/>
      <c r="Y53" s="186"/>
      <c r="Z53" s="186"/>
      <c r="AA53" s="186"/>
      <c r="AB53" s="186"/>
      <c r="AC53" s="420"/>
      <c r="AD53" s="186"/>
      <c r="AE53" s="186"/>
      <c r="AF53" s="186"/>
      <c r="AG53" s="186"/>
      <c r="AH53" s="186"/>
      <c r="AI53" s="186"/>
      <c r="AJ53" s="186"/>
      <c r="AK53" s="420"/>
      <c r="AL53" s="186"/>
      <c r="AM53" s="421"/>
      <c r="AO53" s="121"/>
      <c r="AP53" s="121" t="str">
        <f t="shared" si="1"/>
        <v>Добавить схему подключения</v>
      </c>
      <c r="AQ53" s="121"/>
      <c r="AR53" s="121"/>
    </row>
    <row r="54" spans="1:44" s="53" customFormat="1" ht="0.75" customHeight="1">
      <c r="A54" s="125" t="s">
        <v>152</v>
      </c>
      <c r="B54" s="125" t="s">
        <v>153</v>
      </c>
      <c r="C54" s="125" t="s">
        <v>154</v>
      </c>
      <c r="D54" s="125"/>
      <c r="E54" s="1153"/>
      <c r="F54" s="1153"/>
      <c r="G54" s="1153"/>
      <c r="H54" s="125"/>
      <c r="I54" s="125"/>
      <c r="J54" s="125"/>
      <c r="K54" s="125"/>
      <c r="L54" s="184"/>
      <c r="M54" s="375"/>
      <c r="N54" s="375"/>
      <c r="P54" s="158"/>
      <c r="Q54" s="424"/>
      <c r="R54" s="158"/>
      <c r="S54" s="429"/>
      <c r="T54" s="432" t="s">
        <v>403</v>
      </c>
      <c r="U54" s="431"/>
      <c r="V54" s="431"/>
      <c r="W54" s="431"/>
      <c r="X54" s="431"/>
      <c r="Y54" s="431"/>
      <c r="Z54" s="431"/>
      <c r="AA54" s="431"/>
      <c r="AB54" s="431"/>
      <c r="AC54" s="431"/>
      <c r="AD54" s="431"/>
      <c r="AE54" s="431"/>
      <c r="AF54" s="431"/>
      <c r="AG54" s="431"/>
      <c r="AH54" s="431"/>
      <c r="AI54" s="431"/>
      <c r="AJ54" s="431"/>
      <c r="AK54" s="431"/>
      <c r="AL54" s="431"/>
      <c r="AM54" s="431"/>
      <c r="AO54" s="121"/>
      <c r="AP54" s="121" t="str">
        <f t="shared" si="1"/>
        <v>Добавить источник для дифференциации</v>
      </c>
      <c r="AQ54" s="121"/>
      <c r="AR54" s="121"/>
    </row>
    <row r="55" spans="1:44" s="53" customFormat="1" ht="0.75" customHeight="1">
      <c r="A55" s="125" t="s">
        <v>152</v>
      </c>
      <c r="B55" s="125" t="s">
        <v>153</v>
      </c>
      <c r="C55" s="125"/>
      <c r="D55" s="125"/>
      <c r="E55" s="1153"/>
      <c r="F55" s="1153"/>
      <c r="G55" s="125"/>
      <c r="H55" s="125"/>
      <c r="I55" s="125"/>
      <c r="J55" s="125"/>
      <c r="K55" s="125"/>
      <c r="L55" s="184"/>
      <c r="M55" s="428"/>
      <c r="N55" s="428"/>
      <c r="P55" s="158"/>
      <c r="Q55" s="424"/>
      <c r="R55" s="158"/>
      <c r="S55" s="429"/>
      <c r="T55" s="432" t="s">
        <v>253</v>
      </c>
      <c r="U55" s="431"/>
      <c r="V55" s="431"/>
      <c r="W55" s="431"/>
      <c r="X55" s="431"/>
      <c r="Y55" s="431"/>
      <c r="Z55" s="431"/>
      <c r="AA55" s="431"/>
      <c r="AB55" s="431"/>
      <c r="AC55" s="431"/>
      <c r="AD55" s="431"/>
      <c r="AE55" s="431"/>
      <c r="AF55" s="431"/>
      <c r="AG55" s="431"/>
      <c r="AH55" s="431"/>
      <c r="AI55" s="431"/>
      <c r="AJ55" s="431"/>
      <c r="AK55" s="431"/>
      <c r="AL55" s="431"/>
      <c r="AM55" s="431"/>
      <c r="AO55" s="121"/>
      <c r="AP55" s="121" t="str">
        <f t="shared" si="1"/>
        <v>Добавить централизованную систему для дифференциации</v>
      </c>
      <c r="AQ55" s="121"/>
      <c r="AR55" s="121"/>
    </row>
    <row r="56" spans="1:44" s="53" customFormat="1" ht="0.75" customHeight="1">
      <c r="A56" s="125" t="s">
        <v>152</v>
      </c>
      <c r="B56" s="125"/>
      <c r="C56" s="125"/>
      <c r="D56" s="125"/>
      <c r="E56" s="1153"/>
      <c r="F56" s="125"/>
      <c r="G56" s="125"/>
      <c r="H56" s="125"/>
      <c r="I56" s="125"/>
      <c r="J56" s="125"/>
      <c r="K56" s="125"/>
      <c r="L56" s="184"/>
      <c r="M56" s="428"/>
      <c r="N56" s="428"/>
      <c r="P56" s="158"/>
      <c r="Q56" s="424"/>
      <c r="R56" s="158"/>
      <c r="S56" s="429"/>
      <c r="T56" s="432" t="s">
        <v>254</v>
      </c>
      <c r="U56" s="431"/>
      <c r="V56" s="431"/>
      <c r="W56" s="431"/>
      <c r="X56" s="431"/>
      <c r="Y56" s="431"/>
      <c r="Z56" s="431"/>
      <c r="AA56" s="431"/>
      <c r="AB56" s="431"/>
      <c r="AC56" s="431"/>
      <c r="AD56" s="431"/>
      <c r="AE56" s="431"/>
      <c r="AF56" s="431"/>
      <c r="AG56" s="431"/>
      <c r="AH56" s="431"/>
      <c r="AI56" s="431"/>
      <c r="AJ56" s="431"/>
      <c r="AK56" s="431"/>
      <c r="AL56" s="431"/>
      <c r="AM56" s="431"/>
      <c r="AO56" s="121"/>
      <c r="AP56" s="121" t="str">
        <f t="shared" si="1"/>
        <v>Добавить территорию для дифференциации</v>
      </c>
      <c r="AQ56" s="121"/>
      <c r="AR56" s="121"/>
    </row>
    <row r="57" spans="1:44" s="53" customFormat="1" ht="0.75" customHeight="1">
      <c r="A57" s="125"/>
      <c r="B57" s="125"/>
      <c r="C57" s="125"/>
      <c r="D57" s="125"/>
      <c r="E57" s="125"/>
      <c r="F57" s="125"/>
      <c r="G57" s="125"/>
      <c r="H57" s="125"/>
      <c r="I57" s="125"/>
      <c r="J57" s="125"/>
      <c r="K57" s="125"/>
      <c r="L57" s="184"/>
      <c r="M57" s="428"/>
      <c r="N57" s="428"/>
      <c r="P57" s="158"/>
      <c r="Q57" s="424"/>
      <c r="R57" s="158"/>
      <c r="S57" s="429"/>
      <c r="T57" s="432" t="s">
        <v>255</v>
      </c>
      <c r="U57" s="431"/>
      <c r="V57" s="431"/>
      <c r="W57" s="431"/>
      <c r="X57" s="431"/>
      <c r="Y57" s="431"/>
      <c r="Z57" s="431"/>
      <c r="AA57" s="431"/>
      <c r="AB57" s="431"/>
      <c r="AC57" s="431"/>
      <c r="AD57" s="431"/>
      <c r="AE57" s="431"/>
      <c r="AF57" s="431"/>
      <c r="AG57" s="431"/>
      <c r="AH57" s="431"/>
      <c r="AI57" s="431"/>
      <c r="AJ57" s="431"/>
      <c r="AK57" s="431"/>
      <c r="AL57" s="431"/>
      <c r="AM57" s="431"/>
      <c r="AO57" s="121"/>
      <c r="AP57" s="121" t="str">
        <f t="shared" si="1"/>
        <v>Добавить наименование тарифа</v>
      </c>
      <c r="AQ57" s="121"/>
      <c r="AR57" s="121"/>
    </row>
    <row r="58" spans="1:44" ht="11.25" customHeight="1">
      <c r="M58" s="49"/>
      <c r="N58" s="49"/>
      <c r="O58" s="49"/>
      <c r="P58" s="46"/>
      <c r="Q58" s="46"/>
      <c r="R58" s="46"/>
      <c r="S58" s="46"/>
      <c r="AN58" s="46"/>
      <c r="AO58" s="46"/>
      <c r="AP58" s="46"/>
      <c r="AQ58" s="46"/>
      <c r="AR58" s="46"/>
    </row>
    <row r="59" spans="1:44" ht="27" customHeight="1">
      <c r="O59" s="49"/>
      <c r="S59" s="387"/>
      <c r="T59" s="1171"/>
      <c r="U59" s="1171"/>
      <c r="V59" s="1171"/>
      <c r="W59" s="1171"/>
      <c r="X59" s="1171"/>
      <c r="Y59" s="1171"/>
      <c r="Z59" s="1171"/>
      <c r="AA59" s="1171"/>
      <c r="AB59" s="1171"/>
      <c r="AC59" s="1171"/>
      <c r="AD59" s="1171"/>
      <c r="AE59" s="1171"/>
      <c r="AF59" s="1171"/>
      <c r="AG59" s="1171"/>
      <c r="AH59" s="1171"/>
      <c r="AI59" s="1171"/>
      <c r="AJ59" s="1171"/>
      <c r="AK59" s="1171"/>
      <c r="AL59" s="1171"/>
      <c r="AM59" s="1171"/>
    </row>
    <row r="60" spans="1:44" ht="64.5" customHeight="1">
      <c r="O60" s="49"/>
      <c r="T60" s="1171"/>
      <c r="U60" s="1171"/>
      <c r="V60" s="1171"/>
      <c r="W60" s="1171"/>
      <c r="X60" s="1171"/>
      <c r="Y60" s="1171"/>
      <c r="Z60" s="1171"/>
      <c r="AA60" s="1171"/>
      <c r="AB60" s="1171"/>
      <c r="AC60" s="1171"/>
      <c r="AD60" s="1171"/>
      <c r="AE60" s="1171"/>
      <c r="AF60" s="1171"/>
      <c r="AG60" s="1171"/>
      <c r="AH60" s="1171"/>
      <c r="AI60" s="1171"/>
      <c r="AJ60" s="1171"/>
      <c r="AK60" s="1171"/>
      <c r="AL60" s="1171"/>
      <c r="AM60" s="1171"/>
    </row>
    <row r="61" spans="1:44" ht="14.25" customHeight="1">
      <c r="O61" s="49"/>
    </row>
    <row r="62" spans="1:44" ht="18" customHeight="1">
      <c r="O62" s="49"/>
      <c r="S62" s="387"/>
      <c r="T62" s="1171"/>
      <c r="U62" s="1171"/>
      <c r="V62" s="1171"/>
      <c r="W62" s="1171"/>
      <c r="X62" s="1171"/>
      <c r="Y62" s="1171"/>
      <c r="Z62" s="1171"/>
      <c r="AA62" s="1171"/>
      <c r="AB62" s="1171"/>
      <c r="AC62" s="1171"/>
      <c r="AD62" s="1171"/>
      <c r="AE62" s="1171"/>
      <c r="AF62" s="1171"/>
      <c r="AG62" s="1171"/>
      <c r="AH62" s="1171"/>
      <c r="AI62" s="1171"/>
      <c r="AJ62" s="1171"/>
      <c r="AK62" s="1171"/>
      <c r="AL62" s="1171"/>
      <c r="AM62" s="1171"/>
    </row>
    <row r="63" spans="1:44" ht="18" customHeight="1">
      <c r="O63" s="49"/>
      <c r="T63" s="1171"/>
      <c r="U63" s="1171"/>
      <c r="V63" s="1171"/>
      <c r="W63" s="1171"/>
      <c r="X63" s="1171"/>
      <c r="Y63" s="1171"/>
      <c r="Z63" s="1171"/>
      <c r="AA63" s="1171"/>
      <c r="AB63" s="1171"/>
      <c r="AC63" s="1171"/>
      <c r="AD63" s="1171"/>
      <c r="AE63" s="1171"/>
      <c r="AF63" s="1171"/>
      <c r="AG63" s="1171"/>
      <c r="AH63" s="1171"/>
      <c r="AI63" s="1171"/>
      <c r="AJ63" s="1171"/>
      <c r="AK63" s="1171"/>
      <c r="AL63" s="1171"/>
      <c r="AM63" s="1171"/>
    </row>
    <row r="64" spans="1:44" ht="27.75" customHeight="1">
      <c r="O64" s="49"/>
      <c r="S64" s="387"/>
      <c r="T64" s="1171"/>
      <c r="U64" s="1171"/>
      <c r="V64" s="1171"/>
      <c r="W64" s="1171"/>
      <c r="X64" s="1171"/>
      <c r="Y64" s="1171"/>
      <c r="Z64" s="1171"/>
      <c r="AA64" s="1171"/>
      <c r="AB64" s="1171"/>
      <c r="AC64" s="1171"/>
      <c r="AD64" s="1171"/>
      <c r="AE64" s="1171"/>
      <c r="AF64" s="1171"/>
      <c r="AG64" s="1171"/>
      <c r="AH64" s="1171"/>
      <c r="AI64" s="1171"/>
      <c r="AJ64" s="1171"/>
      <c r="AK64" s="1171"/>
      <c r="AL64" s="1171"/>
      <c r="AM64" s="1171"/>
    </row>
  </sheetData>
  <mergeCells count="112">
    <mergeCell ref="T60:AM60"/>
    <mergeCell ref="T62:AM62"/>
    <mergeCell ref="T63:AM63"/>
    <mergeCell ref="T64:AM64"/>
    <mergeCell ref="AA49:AA50"/>
    <mergeCell ref="AB49:AB50"/>
    <mergeCell ref="AC49:AC50"/>
    <mergeCell ref="AH49:AH50"/>
    <mergeCell ref="AI49:AI50"/>
    <mergeCell ref="AJ49:AJ50"/>
    <mergeCell ref="AK49:AK50"/>
    <mergeCell ref="AM49:AM51"/>
    <mergeCell ref="T59:AM59"/>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S32:T32"/>
    <mergeCell ref="V32:AB32"/>
    <mergeCell ref="AD32:AJ32"/>
    <mergeCell ref="S34:T34"/>
    <mergeCell ref="V34:AB34"/>
    <mergeCell ref="AD34:AJ34"/>
    <mergeCell ref="S35:T35"/>
    <mergeCell ref="V35:AB35"/>
    <mergeCell ref="AD35:AJ35"/>
    <mergeCell ref="S26:AJ26"/>
    <mergeCell ref="S27:AJ27"/>
    <mergeCell ref="S29:T29"/>
    <mergeCell ref="V29:AB29"/>
    <mergeCell ref="AD29:AJ29"/>
    <mergeCell ref="S30:T30"/>
    <mergeCell ref="V30:AB30"/>
    <mergeCell ref="AD30:AJ30"/>
    <mergeCell ref="S31:T31"/>
    <mergeCell ref="V31:AB31"/>
    <mergeCell ref="AD31:AJ31"/>
    <mergeCell ref="AC8:AC9"/>
    <mergeCell ref="AH8:AH9"/>
    <mergeCell ref="AI8:AI9"/>
    <mergeCell ref="AJ8:AJ9"/>
    <mergeCell ref="AK8:AK9"/>
    <mergeCell ref="AM8:AM10"/>
    <mergeCell ref="AH17:AH18"/>
    <mergeCell ref="AI17:AI18"/>
    <mergeCell ref="AJ17:AJ18"/>
    <mergeCell ref="AK17:AK18"/>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s>
  <dataValidations count="3">
    <dataValidation allowBlank="1" showInputMessage="1" showErrorMessage="1" prompt="Для выбора выполните двойной щелчок левой клавиши мыши по соответствующей ячейке." sqref="AA8 AC8 AI8 AK8 AI17 AK17 AA49 AC49 AI49 AK49">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formula1>0</formula1>
      <formula2>0</formula2>
    </dataValidation>
    <dataValidation allowBlank="1" promptTitle="checkPeriodRange" sqref="Y9 AG9 AG18 Y50 AG50">
      <formula1>0</formula1>
      <formula2>0</formula2>
    </dataValidation>
  </dataValidations>
  <pageMargins left="0.7" right="0.7" top="0.625" bottom="0.62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R64"/>
  <sheetViews>
    <sheetView showGridLines="0" topLeftCell="P25"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2" style="49" hidden="1" customWidth="1"/>
    <col min="10" max="10" width="9.85546875" style="49" hidden="1" customWidth="1"/>
    <col min="11" max="11" width="11.42578125" style="49" hidden="1" customWidth="1"/>
    <col min="12" max="12" width="19.140625" style="107" hidden="1" customWidth="1"/>
    <col min="13" max="14" width="12.28515625" style="57" hidden="1" customWidth="1"/>
    <col min="15" max="15" width="23.42578125" style="57" hidden="1" customWidth="1"/>
    <col min="16" max="16" width="3.7109375" style="56" customWidth="1"/>
    <col min="17" max="18" width="3.7109375" style="389" customWidth="1"/>
    <col min="19" max="19" width="12.7109375" style="254" customWidth="1"/>
    <col min="20" max="20" width="32" style="46" customWidth="1"/>
    <col min="21" max="21" width="0.140625" style="46" customWidth="1"/>
    <col min="22" max="22" width="24.7109375" style="46" hidden="1" customWidth="1"/>
    <col min="23" max="23" width="0.140625" style="46" hidden="1" customWidth="1"/>
    <col min="24" max="25" width="24.7109375" style="46" hidden="1" customWidth="1"/>
    <col min="26" max="26" width="11.7109375" style="46" hidden="1" customWidth="1"/>
    <col min="27" max="27" width="3.7109375" style="46" hidden="1" customWidth="1"/>
    <col min="28" max="28" width="11.7109375" style="46" hidden="1" customWidth="1"/>
    <col min="29" max="29" width="8.5703125" style="46" hidden="1" customWidth="1"/>
    <col min="30" max="30" width="24.7109375" style="46" customWidth="1"/>
    <col min="31" max="31" width="0.140625" style="46" customWidth="1"/>
    <col min="32" max="33" width="24.7109375" style="46" customWidth="1"/>
    <col min="34" max="34" width="11.7109375" style="46" customWidth="1"/>
    <col min="35" max="35" width="3.7109375" style="46" customWidth="1"/>
    <col min="36" max="36" width="11.7109375" style="46" customWidth="1"/>
    <col min="37" max="37" width="8.5703125" style="46" hidden="1" customWidth="1"/>
    <col min="38" max="38" width="4.7109375" style="46" customWidth="1"/>
    <col min="39" max="39" width="115.7109375" style="46" customWidth="1"/>
    <col min="40" max="41" width="10.5703125" style="53"/>
    <col min="42" max="42" width="11.140625" style="53" customWidth="1"/>
    <col min="43" max="44" width="10.5703125" style="53"/>
  </cols>
  <sheetData>
    <row r="1" spans="1:44" ht="14.25" hidden="1" customHeight="1"/>
    <row r="2" spans="1:44" ht="21"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c r="AD2" s="1154" t="e">
        <f>INDEX(PT_DIFFERENTIATION_NTAR,MATCH(A2,PT_DIFFERENTIATION_NTAR_ID,0))</f>
        <v>#N/A</v>
      </c>
      <c r="AE2" s="1154"/>
      <c r="AF2" s="1154"/>
      <c r="AG2" s="1154"/>
      <c r="AH2" s="1154"/>
      <c r="AI2" s="1154"/>
      <c r="AJ2" s="1154"/>
      <c r="AK2" s="1154"/>
      <c r="AL2" s="1154"/>
      <c r="AM2" s="397" t="s">
        <v>385</v>
      </c>
      <c r="AO2" s="121"/>
      <c r="AP2" s="121" t="str">
        <f t="shared" ref="AP2:AP15" si="0">IF(T2="","",T2)</f>
        <v>Наименование тарифа</v>
      </c>
      <c r="AQ2" s="121"/>
      <c r="AR2" s="121"/>
    </row>
    <row r="3" spans="1:44" ht="21"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c r="AD3" s="1154" t="e">
        <f>INDEX(PT_DIFFERENTIATION_TER,MATCH(B3,PT_DIFFERENTIATION_TER_ID,0))</f>
        <v>#N/A</v>
      </c>
      <c r="AE3" s="1154"/>
      <c r="AF3" s="1154"/>
      <c r="AG3" s="1154"/>
      <c r="AH3" s="1154"/>
      <c r="AI3" s="1154"/>
      <c r="AJ3" s="1154"/>
      <c r="AK3" s="1154"/>
      <c r="AL3" s="1154"/>
      <c r="AM3" s="397" t="s">
        <v>387</v>
      </c>
      <c r="AO3" s="121"/>
      <c r="AP3" s="121" t="str">
        <f t="shared" si="0"/>
        <v>Территория действия тарифа</v>
      </c>
      <c r="AQ3" s="121"/>
      <c r="AR3" s="121"/>
    </row>
    <row r="4" spans="1:44"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388</v>
      </c>
      <c r="U4" s="396"/>
      <c r="V4" s="1154"/>
      <c r="W4" s="1154"/>
      <c r="X4" s="1154"/>
      <c r="Y4" s="1154"/>
      <c r="Z4" s="1154"/>
      <c r="AA4" s="1154"/>
      <c r="AB4" s="1154"/>
      <c r="AC4" s="1154"/>
      <c r="AD4" s="1154" t="e">
        <f>INDEX(PT_DIFFERENTIATION_CS,MATCH(C4,PT_DIFFERENTIATION_CS_ID,0))</f>
        <v>#N/A</v>
      </c>
      <c r="AE4" s="1154"/>
      <c r="AF4" s="1154"/>
      <c r="AG4" s="1154"/>
      <c r="AH4" s="1154"/>
      <c r="AI4" s="1154"/>
      <c r="AJ4" s="1154"/>
      <c r="AK4" s="1154"/>
      <c r="AL4" s="1154"/>
      <c r="AM4" s="397" t="s">
        <v>389</v>
      </c>
      <c r="AO4" s="121"/>
      <c r="AP4" s="121" t="str">
        <f t="shared" si="0"/>
        <v xml:space="preserve">Наименование системы теплоснабжения </v>
      </c>
      <c r="AQ4" s="121"/>
      <c r="AR4" s="121"/>
    </row>
    <row r="5" spans="1:44" ht="21" hidden="1" customHeight="1">
      <c r="A5" s="390"/>
      <c r="B5" s="390"/>
      <c r="C5" s="390"/>
      <c r="D5" s="390"/>
      <c r="E5" s="1153"/>
      <c r="F5" s="1153"/>
      <c r="G5" s="1153"/>
      <c r="H5" s="1153">
        <v>1</v>
      </c>
      <c r="I5" s="390"/>
      <c r="J5" s="390"/>
      <c r="K5" s="390"/>
      <c r="L5" s="391"/>
      <c r="M5" s="392"/>
      <c r="N5" s="392"/>
      <c r="O5" s="392"/>
      <c r="P5" s="401"/>
      <c r="Q5" s="398"/>
      <c r="R5" s="399"/>
      <c r="S5" s="394" t="e">
        <f>INDEX(PT_DIFFERENTIATION_NUM_IST_TE,MATCH(D5,PT_DIFFERENTIATION_IST_TE_ID,0))</f>
        <v>#N/A</v>
      </c>
      <c r="T5" s="403" t="s">
        <v>390</v>
      </c>
      <c r="U5" s="396"/>
      <c r="V5" s="1154"/>
      <c r="W5" s="1154"/>
      <c r="X5" s="1154"/>
      <c r="Y5" s="1154"/>
      <c r="Z5" s="1154"/>
      <c r="AA5" s="1154"/>
      <c r="AB5" s="1154"/>
      <c r="AC5" s="1154"/>
      <c r="AD5" s="1154" t="e">
        <f>INDEX(PT_DIFFERENTIATION_IST_TE,MATCH(D5,PT_DIFFERENTIATION_IST_TE_ID,0))</f>
        <v>#N/A</v>
      </c>
      <c r="AE5" s="1154"/>
      <c r="AF5" s="1154"/>
      <c r="AG5" s="1154"/>
      <c r="AH5" s="1154"/>
      <c r="AI5" s="1154"/>
      <c r="AJ5" s="1154"/>
      <c r="AK5" s="1154"/>
      <c r="AL5" s="1154"/>
      <c r="AM5" s="397" t="s">
        <v>391</v>
      </c>
      <c r="AO5" s="121"/>
      <c r="AP5" s="121" t="str">
        <f t="shared" si="0"/>
        <v xml:space="preserve">Источник тепловой энергии  </v>
      </c>
      <c r="AQ5" s="121"/>
      <c r="AR5" s="121"/>
    </row>
    <row r="6" spans="1:44" ht="47.25" hidden="1" customHeight="1">
      <c r="A6" s="390"/>
      <c r="B6" s="390"/>
      <c r="C6" s="390"/>
      <c r="D6" s="390"/>
      <c r="E6" s="1153"/>
      <c r="F6" s="1153"/>
      <c r="G6" s="1153"/>
      <c r="H6" s="1153"/>
      <c r="I6" s="1155" t="e">
        <f>S5&amp;".1"</f>
        <v>#N/A</v>
      </c>
      <c r="J6" s="390"/>
      <c r="K6" s="390"/>
      <c r="L6" s="391" t="s">
        <v>392</v>
      </c>
      <c r="M6" s="49"/>
      <c r="P6" s="1156">
        <v>1</v>
      </c>
      <c r="Q6" s="124"/>
      <c r="R6" s="405"/>
      <c r="S6" s="394" t="e">
        <f>$I6</f>
        <v>#N/A</v>
      </c>
      <c r="T6" s="406" t="s">
        <v>393</v>
      </c>
      <c r="U6" s="396"/>
      <c r="V6" s="1157"/>
      <c r="W6" s="1157"/>
      <c r="X6" s="1157"/>
      <c r="Y6" s="1157"/>
      <c r="Z6" s="1157"/>
      <c r="AA6" s="1157"/>
      <c r="AB6" s="1157"/>
      <c r="AC6" s="1157"/>
      <c r="AD6" s="1157"/>
      <c r="AE6" s="1157"/>
      <c r="AF6" s="1157"/>
      <c r="AG6" s="1157"/>
      <c r="AH6" s="1157"/>
      <c r="AI6" s="1157"/>
      <c r="AJ6" s="1157"/>
      <c r="AK6" s="1157"/>
      <c r="AL6" s="1157"/>
      <c r="AM6" s="397" t="s">
        <v>394</v>
      </c>
      <c r="AO6" s="121"/>
      <c r="AP6" s="121" t="str">
        <f t="shared" si="0"/>
        <v>Схема подключения теплопотребляющей установки к коллектору источника тепловой энергии</v>
      </c>
      <c r="AQ6" s="121"/>
      <c r="AR6" s="121"/>
    </row>
    <row r="7" spans="1:44" ht="21" hidden="1" customHeight="1">
      <c r="A7" s="390"/>
      <c r="B7" s="390"/>
      <c r="C7" s="390"/>
      <c r="D7" s="390"/>
      <c r="E7" s="1153"/>
      <c r="F7" s="1153"/>
      <c r="G7" s="1153"/>
      <c r="H7" s="1153"/>
      <c r="I7" s="1155"/>
      <c r="J7" s="1155" t="e">
        <f>I6&amp;".1"</f>
        <v>#N/A</v>
      </c>
      <c r="K7" s="390"/>
      <c r="L7" s="391" t="s">
        <v>395</v>
      </c>
      <c r="M7" s="49"/>
      <c r="N7" s="49"/>
      <c r="P7" s="1156"/>
      <c r="Q7" s="1156">
        <v>1</v>
      </c>
      <c r="R7" s="408"/>
      <c r="S7" s="394" t="e">
        <f>$J7</f>
        <v>#N/A</v>
      </c>
      <c r="T7" s="409" t="s">
        <v>396</v>
      </c>
      <c r="U7" s="396"/>
      <c r="V7" s="1157"/>
      <c r="W7" s="1157"/>
      <c r="X7" s="1157"/>
      <c r="Y7" s="1157"/>
      <c r="Z7" s="1157"/>
      <c r="AA7" s="1157"/>
      <c r="AB7" s="1157"/>
      <c r="AC7" s="1157"/>
      <c r="AD7" s="1157"/>
      <c r="AE7" s="1157"/>
      <c r="AF7" s="1157"/>
      <c r="AG7" s="1157"/>
      <c r="AH7" s="1157"/>
      <c r="AI7" s="1157"/>
      <c r="AJ7" s="1157"/>
      <c r="AK7" s="1157"/>
      <c r="AL7" s="1157"/>
      <c r="AM7" s="397" t="s">
        <v>397</v>
      </c>
      <c r="AO7" s="121"/>
      <c r="AP7" s="121" t="str">
        <f t="shared" si="0"/>
        <v>Группа потребителей</v>
      </c>
      <c r="AQ7" s="121"/>
      <c r="AR7" s="121"/>
    </row>
    <row r="8" spans="1:44" ht="21" hidden="1" customHeight="1">
      <c r="A8" s="390"/>
      <c r="B8" s="390"/>
      <c r="C8" s="390"/>
      <c r="D8" s="390"/>
      <c r="E8" s="1153"/>
      <c r="F8" s="1153"/>
      <c r="G8" s="1153"/>
      <c r="H8" s="1153"/>
      <c r="I8" s="1155"/>
      <c r="J8" s="1155"/>
      <c r="K8" s="1155" t="e">
        <f>J7&amp;".1"</f>
        <v>#N/A</v>
      </c>
      <c r="L8" s="391" t="s">
        <v>398</v>
      </c>
      <c r="M8" s="49"/>
      <c r="N8" s="49"/>
      <c r="O8" s="49"/>
      <c r="P8" s="1156"/>
      <c r="Q8" s="1156"/>
      <c r="R8" s="408">
        <v>1</v>
      </c>
      <c r="S8" s="394" t="e">
        <f>$K8</f>
        <v>#N/A</v>
      </c>
      <c r="T8" s="410"/>
      <c r="U8" s="396"/>
      <c r="V8" s="411"/>
      <c r="W8" s="412"/>
      <c r="X8" s="411"/>
      <c r="Y8" s="413"/>
      <c r="Z8" s="1158"/>
      <c r="AA8" s="1105" t="s">
        <v>63</v>
      </c>
      <c r="AB8" s="1158"/>
      <c r="AC8" s="1105" t="s">
        <v>63</v>
      </c>
      <c r="AD8" s="411"/>
      <c r="AE8" s="412"/>
      <c r="AF8" s="411"/>
      <c r="AG8" s="413"/>
      <c r="AH8" s="1158"/>
      <c r="AI8" s="1105" t="s">
        <v>63</v>
      </c>
      <c r="AJ8" s="1158"/>
      <c r="AK8" s="1105" t="s">
        <v>63</v>
      </c>
      <c r="AL8" s="412"/>
      <c r="AM8" s="1159" t="s">
        <v>399</v>
      </c>
      <c r="AN8" s="53" t="e">
        <f ca="1">strcheckdate(V9:AL9)</f>
        <v>#NAME?</v>
      </c>
      <c r="AO8" s="121"/>
      <c r="AP8" s="121" t="str">
        <f t="shared" si="0"/>
        <v/>
      </c>
      <c r="AQ8" s="121"/>
      <c r="AR8" s="121"/>
    </row>
    <row r="9" spans="1:44" ht="0.75" hidden="1" customHeight="1">
      <c r="A9" s="390"/>
      <c r="B9" s="390"/>
      <c r="C9" s="390"/>
      <c r="D9" s="390"/>
      <c r="E9" s="1153"/>
      <c r="F9" s="1153"/>
      <c r="G9" s="1153"/>
      <c r="H9" s="1153"/>
      <c r="I9" s="1155"/>
      <c r="J9" s="1155"/>
      <c r="K9" s="1155"/>
      <c r="L9" s="391"/>
      <c r="M9" s="49"/>
      <c r="N9" s="49"/>
      <c r="O9" s="49"/>
      <c r="P9" s="1156"/>
      <c r="Q9" s="1156"/>
      <c r="R9" s="408"/>
      <c r="S9" s="370"/>
      <c r="T9" s="396"/>
      <c r="U9" s="396"/>
      <c r="V9" s="412"/>
      <c r="W9" s="412"/>
      <c r="X9" s="412"/>
      <c r="Y9" s="415" t="str">
        <f>Z8&amp;"-"&amp;AB8</f>
        <v>-</v>
      </c>
      <c r="Z9" s="1158"/>
      <c r="AA9" s="1105"/>
      <c r="AB9" s="1158"/>
      <c r="AC9" s="1105"/>
      <c r="AD9" s="412"/>
      <c r="AE9" s="412"/>
      <c r="AF9" s="412"/>
      <c r="AG9" s="415" t="str">
        <f>AH8&amp;"-"&amp;AJ8</f>
        <v>-</v>
      </c>
      <c r="AH9" s="1158"/>
      <c r="AI9" s="1105"/>
      <c r="AJ9" s="1158"/>
      <c r="AK9" s="1105"/>
      <c r="AL9" s="412"/>
      <c r="AM9" s="1159"/>
      <c r="AO9" s="121"/>
      <c r="AP9" s="121" t="str">
        <f t="shared" si="0"/>
        <v/>
      </c>
      <c r="AQ9" s="121"/>
      <c r="AR9" s="121"/>
    </row>
    <row r="10" spans="1:44" ht="15" hidden="1" customHeight="1">
      <c r="A10" s="390"/>
      <c r="B10" s="390"/>
      <c r="C10" s="390"/>
      <c r="D10" s="390"/>
      <c r="E10" s="1153"/>
      <c r="F10" s="1153"/>
      <c r="G10" s="1153"/>
      <c r="H10" s="1153"/>
      <c r="I10" s="1155"/>
      <c r="J10" s="1155"/>
      <c r="K10" s="390"/>
      <c r="L10" s="391"/>
      <c r="M10" s="49"/>
      <c r="N10" s="49"/>
      <c r="P10" s="1156"/>
      <c r="Q10" s="1156"/>
      <c r="R10" s="405"/>
      <c r="S10" s="416"/>
      <c r="T10" s="417" t="s">
        <v>400</v>
      </c>
      <c r="U10" s="186"/>
      <c r="V10" s="186"/>
      <c r="W10" s="186"/>
      <c r="X10" s="186"/>
      <c r="Y10" s="186"/>
      <c r="Z10" s="186"/>
      <c r="AA10" s="186"/>
      <c r="AB10" s="186"/>
      <c r="AC10" s="186"/>
      <c r="AD10" s="186"/>
      <c r="AE10" s="186"/>
      <c r="AF10" s="186"/>
      <c r="AG10" s="186"/>
      <c r="AH10" s="186"/>
      <c r="AI10" s="186"/>
      <c r="AJ10" s="186"/>
      <c r="AK10" s="186"/>
      <c r="AL10" s="418"/>
      <c r="AM10" s="1159"/>
      <c r="AO10" s="121"/>
      <c r="AP10" s="121" t="str">
        <f t="shared" si="0"/>
        <v>Добавить вид теплоносителя (параметры теплоносителя)</v>
      </c>
      <c r="AQ10" s="121"/>
      <c r="AR10" s="121"/>
    </row>
    <row r="11" spans="1:44" ht="15" hidden="1" customHeight="1">
      <c r="A11" s="390"/>
      <c r="B11" s="390"/>
      <c r="C11" s="390"/>
      <c r="D11" s="390"/>
      <c r="E11" s="1153"/>
      <c r="F11" s="1153"/>
      <c r="G11" s="1153"/>
      <c r="H11" s="1153"/>
      <c r="I11" s="1155"/>
      <c r="J11" s="390"/>
      <c r="K11" s="390"/>
      <c r="L11" s="391"/>
      <c r="M11" s="49"/>
      <c r="P11" s="1156"/>
      <c r="Q11" s="124"/>
      <c r="R11" s="405"/>
      <c r="S11" s="416"/>
      <c r="T11" s="419" t="s">
        <v>401</v>
      </c>
      <c r="U11" s="186"/>
      <c r="V11" s="186"/>
      <c r="W11" s="186"/>
      <c r="X11" s="186"/>
      <c r="Y11" s="186"/>
      <c r="Z11" s="186"/>
      <c r="AA11" s="186"/>
      <c r="AB11" s="186"/>
      <c r="AC11" s="420"/>
      <c r="AD11" s="186"/>
      <c r="AE11" s="186"/>
      <c r="AF11" s="186"/>
      <c r="AG11" s="186"/>
      <c r="AH11" s="186"/>
      <c r="AI11" s="186"/>
      <c r="AJ11" s="186"/>
      <c r="AK11" s="420"/>
      <c r="AL11" s="186"/>
      <c r="AM11" s="421"/>
      <c r="AO11" s="121"/>
      <c r="AP11" s="121" t="str">
        <f t="shared" si="0"/>
        <v>Добавить группу потребителей</v>
      </c>
      <c r="AQ11" s="121"/>
      <c r="AR11" s="121"/>
    </row>
    <row r="12" spans="1:44" ht="14.25" hidden="1" customHeight="1">
      <c r="A12" s="390"/>
      <c r="B12" s="390"/>
      <c r="C12" s="390"/>
      <c r="D12" s="390"/>
      <c r="E12" s="1153"/>
      <c r="F12" s="1153"/>
      <c r="G12" s="1153"/>
      <c r="H12" s="1153"/>
      <c r="I12" s="390"/>
      <c r="J12" s="390"/>
      <c r="K12" s="390"/>
      <c r="L12" s="391"/>
      <c r="M12" s="392"/>
      <c r="N12" s="392"/>
      <c r="O12" s="49"/>
      <c r="P12" s="134"/>
      <c r="Q12" s="422"/>
      <c r="R12" s="393"/>
      <c r="S12" s="416"/>
      <c r="T12" s="423" t="s">
        <v>402</v>
      </c>
      <c r="U12" s="186"/>
      <c r="V12" s="186"/>
      <c r="W12" s="186"/>
      <c r="X12" s="186"/>
      <c r="Y12" s="186"/>
      <c r="Z12" s="186"/>
      <c r="AA12" s="186"/>
      <c r="AB12" s="186"/>
      <c r="AC12" s="420"/>
      <c r="AD12" s="186"/>
      <c r="AE12" s="186"/>
      <c r="AF12" s="186"/>
      <c r="AG12" s="186"/>
      <c r="AH12" s="186"/>
      <c r="AI12" s="186"/>
      <c r="AJ12" s="186"/>
      <c r="AK12" s="420"/>
      <c r="AL12" s="186"/>
      <c r="AM12" s="421"/>
      <c r="AO12" s="121"/>
      <c r="AP12" s="121" t="str">
        <f t="shared" si="0"/>
        <v>Добавить схему подключения</v>
      </c>
      <c r="AQ12" s="121"/>
      <c r="AR12" s="121"/>
    </row>
    <row r="13" spans="1:44" s="53" customFormat="1" ht="0.75" hidden="1" customHeight="1">
      <c r="A13" s="125"/>
      <c r="B13" s="125"/>
      <c r="C13" s="125"/>
      <c r="D13" s="125"/>
      <c r="E13" s="1153"/>
      <c r="F13" s="1153"/>
      <c r="G13" s="1153"/>
      <c r="H13" s="125"/>
      <c r="I13" s="125"/>
      <c r="J13" s="125"/>
      <c r="K13" s="125"/>
      <c r="L13" s="184"/>
      <c r="M13" s="375"/>
      <c r="N13" s="375"/>
      <c r="P13" s="158"/>
      <c r="Q13" s="424"/>
      <c r="R13" s="158"/>
      <c r="S13" s="425"/>
      <c r="T13" s="426" t="s">
        <v>403</v>
      </c>
      <c r="U13" s="427"/>
      <c r="V13" s="427"/>
      <c r="W13" s="427"/>
      <c r="X13" s="427"/>
      <c r="Y13" s="427"/>
      <c r="Z13" s="427"/>
      <c r="AA13" s="427"/>
      <c r="AB13" s="427"/>
      <c r="AC13" s="427"/>
      <c r="AD13" s="427"/>
      <c r="AE13" s="427"/>
      <c r="AF13" s="427"/>
      <c r="AG13" s="427"/>
      <c r="AH13" s="427"/>
      <c r="AI13" s="427"/>
      <c r="AJ13" s="427"/>
      <c r="AK13" s="427"/>
      <c r="AL13" s="427"/>
      <c r="AM13" s="427"/>
      <c r="AO13" s="121"/>
      <c r="AP13" s="121" t="str">
        <f t="shared" si="0"/>
        <v>Добавить источник для дифференциации</v>
      </c>
      <c r="AQ13" s="121"/>
      <c r="AR13" s="121"/>
    </row>
    <row r="14" spans="1:44" s="53" customFormat="1" ht="0.75" hidden="1" customHeight="1">
      <c r="A14" s="125"/>
      <c r="B14" s="125"/>
      <c r="C14" s="125"/>
      <c r="D14" s="125"/>
      <c r="E14" s="1153"/>
      <c r="F14" s="1153"/>
      <c r="G14" s="125"/>
      <c r="H14" s="125"/>
      <c r="I14" s="125"/>
      <c r="J14" s="125"/>
      <c r="K14" s="125"/>
      <c r="L14" s="184"/>
      <c r="M14" s="428"/>
      <c r="N14" s="428"/>
      <c r="P14" s="158"/>
      <c r="Q14" s="424"/>
      <c r="R14" s="158"/>
      <c r="S14" s="429"/>
      <c r="T14" s="430" t="s">
        <v>253</v>
      </c>
      <c r="U14" s="431"/>
      <c r="V14" s="431"/>
      <c r="W14" s="431"/>
      <c r="X14" s="431"/>
      <c r="Y14" s="431"/>
      <c r="Z14" s="431"/>
      <c r="AA14" s="431"/>
      <c r="AB14" s="431"/>
      <c r="AC14" s="431"/>
      <c r="AD14" s="431"/>
      <c r="AE14" s="431"/>
      <c r="AF14" s="431"/>
      <c r="AG14" s="431"/>
      <c r="AH14" s="431"/>
      <c r="AI14" s="431"/>
      <c r="AJ14" s="431"/>
      <c r="AK14" s="431"/>
      <c r="AL14" s="431"/>
      <c r="AM14" s="431"/>
      <c r="AO14" s="121"/>
      <c r="AP14" s="121" t="str">
        <f t="shared" si="0"/>
        <v>Добавить централизованную систему для дифференциации</v>
      </c>
      <c r="AQ14" s="121"/>
      <c r="AR14" s="121"/>
    </row>
    <row r="15" spans="1:44" s="53" customFormat="1" ht="0.75" hidden="1" customHeight="1">
      <c r="A15" s="125"/>
      <c r="B15" s="125"/>
      <c r="C15" s="125"/>
      <c r="D15" s="125"/>
      <c r="E15" s="1153"/>
      <c r="F15" s="125"/>
      <c r="G15" s="125"/>
      <c r="H15" s="125"/>
      <c r="I15" s="125"/>
      <c r="J15" s="125"/>
      <c r="K15" s="125"/>
      <c r="L15" s="184"/>
      <c r="M15" s="428"/>
      <c r="N15" s="428"/>
      <c r="P15" s="158"/>
      <c r="Q15" s="424"/>
      <c r="R15" s="158"/>
      <c r="S15" s="429"/>
      <c r="T15" s="432" t="s">
        <v>254</v>
      </c>
      <c r="U15" s="431"/>
      <c r="V15" s="431"/>
      <c r="W15" s="431"/>
      <c r="X15" s="431"/>
      <c r="Y15" s="431"/>
      <c r="Z15" s="431"/>
      <c r="AA15" s="431"/>
      <c r="AB15" s="431"/>
      <c r="AC15" s="431"/>
      <c r="AD15" s="431"/>
      <c r="AE15" s="431"/>
      <c r="AF15" s="431"/>
      <c r="AG15" s="431"/>
      <c r="AH15" s="431"/>
      <c r="AI15" s="431"/>
      <c r="AJ15" s="431"/>
      <c r="AK15" s="431"/>
      <c r="AL15" s="431"/>
      <c r="AM15" s="431"/>
      <c r="AO15" s="121"/>
      <c r="AP15" s="121" t="str">
        <f t="shared" si="0"/>
        <v>Добавить территорию для дифференциации</v>
      </c>
      <c r="AQ15" s="121"/>
      <c r="AR15" s="121"/>
    </row>
    <row r="16" spans="1:44" ht="14.25" hidden="1" customHeight="1"/>
    <row r="17" spans="1:44" ht="14.25" hidden="1" customHeight="1">
      <c r="AD17" s="433"/>
      <c r="AE17" s="433"/>
      <c r="AF17" s="433"/>
      <c r="AG17" s="434"/>
      <c r="AH17" s="1160"/>
      <c r="AI17" s="1161" t="s">
        <v>63</v>
      </c>
      <c r="AJ17" s="1160"/>
      <c r="AK17" s="1161" t="s">
        <v>63</v>
      </c>
    </row>
    <row r="18" spans="1:44" ht="14.25" hidden="1" customHeight="1">
      <c r="AD18" s="433"/>
      <c r="AE18" s="433"/>
      <c r="AF18" s="433"/>
      <c r="AG18" s="415" t="str">
        <f>AH17&amp;"-"&amp;AJ17</f>
        <v>-</v>
      </c>
      <c r="AH18" s="1160"/>
      <c r="AI18" s="1160"/>
      <c r="AJ18" s="1160"/>
      <c r="AK18" s="1160"/>
    </row>
    <row r="19" spans="1:44" ht="14.25" hidden="1" customHeight="1"/>
    <row r="20" spans="1:44" s="49" customFormat="1" ht="22.5" hidden="1" customHeight="1">
      <c r="L20" s="107"/>
      <c r="M20" s="57"/>
      <c r="N20" s="57"/>
      <c r="O20" s="435" t="s">
        <v>404</v>
      </c>
      <c r="P20" s="57"/>
      <c r="Q20" s="436"/>
      <c r="R20" s="436"/>
      <c r="S20" s="392"/>
      <c r="Z20" s="435"/>
      <c r="AB20" s="435"/>
      <c r="AH20" s="435"/>
      <c r="AJ20" s="435"/>
      <c r="AN20" s="53"/>
      <c r="AO20" s="53"/>
      <c r="AP20" s="53"/>
      <c r="AQ20" s="53"/>
      <c r="AR20" s="53"/>
    </row>
    <row r="21" spans="1:44" s="49" customFormat="1" ht="14.25" hidden="1" customHeight="1">
      <c r="L21" s="107"/>
      <c r="M21" s="57"/>
      <c r="N21" s="57"/>
      <c r="O21" s="57"/>
      <c r="P21" s="57"/>
      <c r="Q21" s="436"/>
      <c r="R21" s="436"/>
      <c r="S21" s="392"/>
      <c r="AN21" s="53"/>
      <c r="AO21" s="53"/>
      <c r="AP21" s="53"/>
      <c r="AQ21" s="53"/>
      <c r="AR21" s="53"/>
    </row>
    <row r="22" spans="1:44" s="49" customFormat="1" ht="14.25" hidden="1" customHeight="1">
      <c r="L22" s="107"/>
      <c r="M22" s="57"/>
      <c r="N22" s="57"/>
      <c r="O22" s="391" t="s">
        <v>405</v>
      </c>
      <c r="P22" s="57"/>
      <c r="Q22" s="436"/>
      <c r="R22" s="436"/>
      <c r="S22" s="392"/>
      <c r="T22" s="49" t="s">
        <v>406</v>
      </c>
      <c r="AA22" s="142" t="s">
        <v>407</v>
      </c>
      <c r="AC22" s="142" t="s">
        <v>408</v>
      </c>
      <c r="AD22" s="49" t="s">
        <v>406</v>
      </c>
      <c r="AI22" s="142" t="s">
        <v>409</v>
      </c>
      <c r="AK22" s="142" t="s">
        <v>408</v>
      </c>
      <c r="AN22" s="53"/>
      <c r="AO22" s="53"/>
      <c r="AP22" s="53"/>
      <c r="AQ22" s="53"/>
      <c r="AR22" s="53"/>
    </row>
    <row r="23" spans="1:44" ht="14.25" hidden="1" customHeight="1">
      <c r="O23" s="391"/>
    </row>
    <row r="24" spans="1:44" ht="14.25" hidden="1" customHeight="1">
      <c r="O24" s="391"/>
    </row>
    <row r="25" spans="1:44" ht="14.25" customHeight="1">
      <c r="Q25" s="437"/>
      <c r="R25" s="437"/>
      <c r="S25" s="438"/>
      <c r="T25" s="83"/>
      <c r="U25" s="83"/>
    </row>
    <row r="26" spans="1:44" ht="14.25" customHeight="1">
      <c r="Q26" s="437"/>
      <c r="R26" s="437"/>
      <c r="S26" s="110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106"/>
      <c r="U26" s="1106"/>
      <c r="V26" s="1106"/>
      <c r="W26" s="1106"/>
      <c r="X26" s="1106"/>
      <c r="Y26" s="1106"/>
      <c r="Z26" s="1106"/>
      <c r="AA26" s="1106"/>
      <c r="AB26" s="1106"/>
      <c r="AC26" s="1106"/>
      <c r="AD26" s="1106"/>
      <c r="AE26" s="1106"/>
      <c r="AF26" s="1106"/>
      <c r="AG26" s="1106"/>
      <c r="AH26" s="1106"/>
      <c r="AI26" s="1106"/>
      <c r="AJ26" s="1106"/>
      <c r="AK26" s="201"/>
    </row>
    <row r="27" spans="1:44" ht="14.25" customHeight="1">
      <c r="Q27" s="437"/>
      <c r="R27" s="437"/>
      <c r="S27" s="1127" t="str">
        <f>IF(org=0,"Не определено",org)</f>
        <v>Филиал ПАО "ОГК-2" - Серовская ГРЭС, г. Серов</v>
      </c>
      <c r="T27" s="1127"/>
      <c r="U27" s="1127"/>
      <c r="V27" s="1127"/>
      <c r="W27" s="1127"/>
      <c r="X27" s="1127"/>
      <c r="Y27" s="1127"/>
      <c r="Z27" s="1127"/>
      <c r="AA27" s="1127"/>
      <c r="AB27" s="1127"/>
      <c r="AC27" s="1127"/>
      <c r="AD27" s="1127"/>
      <c r="AE27" s="1127"/>
      <c r="AF27" s="1127"/>
      <c r="AG27" s="1127"/>
      <c r="AH27" s="1127"/>
      <c r="AI27" s="1127"/>
      <c r="AJ27" s="1127"/>
      <c r="AK27" s="201"/>
    </row>
    <row r="28" spans="1:44" ht="14.25" customHeight="1">
      <c r="Q28" s="437"/>
      <c r="R28" s="437"/>
      <c r="S28" s="438"/>
      <c r="T28" s="83"/>
      <c r="U28" s="83"/>
      <c r="V28" s="439"/>
      <c r="W28" s="439"/>
      <c r="X28" s="439"/>
      <c r="Y28" s="439"/>
      <c r="Z28" s="439"/>
      <c r="AA28" s="439"/>
      <c r="AB28" s="439"/>
      <c r="AC28" s="439"/>
      <c r="AD28" s="439"/>
      <c r="AE28" s="439"/>
      <c r="AF28" s="439"/>
      <c r="AG28" s="439"/>
      <c r="AH28" s="439"/>
      <c r="AI28" s="439"/>
      <c r="AJ28" s="439"/>
      <c r="AK28" s="439"/>
    </row>
    <row r="29" spans="1:44" s="174" customFormat="1" ht="25.5" customHeight="1">
      <c r="A29" s="142"/>
      <c r="B29" s="142"/>
      <c r="C29" s="142"/>
      <c r="D29" s="142"/>
      <c r="E29" s="142"/>
      <c r="F29" s="142"/>
      <c r="G29" s="142"/>
      <c r="H29" s="142"/>
      <c r="I29" s="142"/>
      <c r="J29" s="142"/>
      <c r="K29" s="142"/>
      <c r="L29" s="391"/>
      <c r="M29" s="142"/>
      <c r="N29" s="142"/>
      <c r="O29" s="142"/>
      <c r="S29" s="1162" t="s">
        <v>37</v>
      </c>
      <c r="T29" s="1162"/>
      <c r="U29" s="441"/>
      <c r="V29" s="1163" t="str">
        <f>IF(TITLE_NAME_OR_PR_CHANGE="",IF(TITLE_NAME_OR_PR="","",TITLE_NAME_OR_PR),TITLE_NAME_OR_PR_CHANGE)</f>
        <v>Региональная энергетическая комиссия Свердловской области</v>
      </c>
      <c r="W29" s="1163"/>
      <c r="X29" s="1163"/>
      <c r="Y29" s="1163"/>
      <c r="Z29" s="1163"/>
      <c r="AA29" s="1163"/>
      <c r="AB29" s="1163"/>
      <c r="AC29" s="46"/>
      <c r="AD29" s="1163" t="str">
        <f>IF(TITLE_NAME_OR_PR_CHANGE="",IF(TITLE_NAME_OR_PR="","",TITLE_NAME_OR_PR),TITLE_NAME_OR_PR_CHANGE)</f>
        <v>Региональная энергетическая комиссия Свердловской области</v>
      </c>
      <c r="AE29" s="1163"/>
      <c r="AF29" s="1163"/>
      <c r="AG29" s="1163"/>
      <c r="AH29" s="1163"/>
      <c r="AI29" s="1163"/>
      <c r="AJ29" s="1163"/>
      <c r="AK29" s="46"/>
      <c r="AL29" s="46"/>
      <c r="AM29" s="442"/>
      <c r="AN29" s="121"/>
      <c r="AO29" s="121"/>
      <c r="AP29" s="121"/>
      <c r="AQ29" s="121"/>
      <c r="AR29" s="121"/>
    </row>
    <row r="30" spans="1:44" s="174" customFormat="1" ht="18.75" customHeight="1">
      <c r="A30" s="142"/>
      <c r="B30" s="142"/>
      <c r="C30" s="142"/>
      <c r="D30" s="142"/>
      <c r="E30" s="142"/>
      <c r="F30" s="142"/>
      <c r="G30" s="142"/>
      <c r="H30" s="142"/>
      <c r="I30" s="142"/>
      <c r="J30" s="142"/>
      <c r="K30" s="142"/>
      <c r="L30" s="391"/>
      <c r="M30" s="142"/>
      <c r="N30" s="142"/>
      <c r="O30" s="142"/>
      <c r="S30" s="1162" t="s">
        <v>410</v>
      </c>
      <c r="T30" s="1162"/>
      <c r="U30" s="441"/>
      <c r="V30" s="1164">
        <f>IF(TITLE_DATE_PR_CHANGE="",IF(TITLE_DATE_PR="","",TITLE_DATE_PR),TITLE_DATE_PR_CHANGE)</f>
        <v>45266.462974536997</v>
      </c>
      <c r="W30" s="1164"/>
      <c r="X30" s="1164"/>
      <c r="Y30" s="1164"/>
      <c r="Z30" s="1164"/>
      <c r="AA30" s="1164"/>
      <c r="AB30" s="1164"/>
      <c r="AC30" s="46"/>
      <c r="AD30" s="1164">
        <f>IF(TITLE_DATE_PR_CHANGE="",IF(TITLE_DATE_PR="","",TITLE_DATE_PR),TITLE_DATE_PR_CHANGE)</f>
        <v>45266.462974536997</v>
      </c>
      <c r="AE30" s="1164"/>
      <c r="AF30" s="1164"/>
      <c r="AG30" s="1164"/>
      <c r="AH30" s="1164"/>
      <c r="AI30" s="1164"/>
      <c r="AJ30" s="1164"/>
      <c r="AK30" s="46"/>
      <c r="AL30" s="46"/>
      <c r="AM30" s="442"/>
      <c r="AN30" s="121"/>
      <c r="AO30" s="121"/>
      <c r="AP30" s="121"/>
      <c r="AQ30" s="121"/>
      <c r="AR30" s="121"/>
    </row>
    <row r="31" spans="1:44" s="174" customFormat="1" ht="18.75" customHeight="1">
      <c r="A31" s="142"/>
      <c r="B31" s="142"/>
      <c r="C31" s="142"/>
      <c r="D31" s="142"/>
      <c r="E31" s="142"/>
      <c r="F31" s="142"/>
      <c r="G31" s="142"/>
      <c r="H31" s="142"/>
      <c r="I31" s="142"/>
      <c r="J31" s="142"/>
      <c r="K31" s="142"/>
      <c r="L31" s="391"/>
      <c r="M31" s="142"/>
      <c r="N31" s="142"/>
      <c r="O31" s="142"/>
      <c r="S31" s="1162" t="s">
        <v>411</v>
      </c>
      <c r="T31" s="1162"/>
      <c r="U31" s="441"/>
      <c r="V31" s="1163" t="str">
        <f>IF(TITLE_NUMBER_PR_CHANGE="",IF(TITLE_NUMBER_PR="","",TITLE_NUMBER_PR),TITLE_NUMBER_PR_CHANGE)</f>
        <v>216-ПК</v>
      </c>
      <c r="W31" s="1163"/>
      <c r="X31" s="1163"/>
      <c r="Y31" s="1163"/>
      <c r="Z31" s="1163"/>
      <c r="AA31" s="1163"/>
      <c r="AB31" s="1163"/>
      <c r="AC31" s="46"/>
      <c r="AD31" s="1163" t="str">
        <f>IF(TITLE_NUMBER_PR_CHANGE="",IF(TITLE_NUMBER_PR="","",TITLE_NUMBER_PR),TITLE_NUMBER_PR_CHANGE)</f>
        <v>216-ПК</v>
      </c>
      <c r="AE31" s="1163"/>
      <c r="AF31" s="1163"/>
      <c r="AG31" s="1163"/>
      <c r="AH31" s="1163"/>
      <c r="AI31" s="1163"/>
      <c r="AJ31" s="1163"/>
      <c r="AK31" s="46"/>
      <c r="AL31" s="46"/>
      <c r="AM31" s="442"/>
      <c r="AN31" s="121"/>
      <c r="AO31" s="121"/>
      <c r="AP31" s="121"/>
      <c r="AQ31" s="121"/>
      <c r="AR31" s="121"/>
    </row>
    <row r="32" spans="1:44" s="174" customFormat="1" ht="18.75" customHeight="1">
      <c r="A32" s="142"/>
      <c r="B32" s="142"/>
      <c r="C32" s="142"/>
      <c r="D32" s="142"/>
      <c r="E32" s="142"/>
      <c r="F32" s="142"/>
      <c r="G32" s="142"/>
      <c r="H32" s="142"/>
      <c r="I32" s="142"/>
      <c r="J32" s="142"/>
      <c r="K32" s="142"/>
      <c r="L32" s="391"/>
      <c r="M32" s="142"/>
      <c r="N32" s="142"/>
      <c r="O32" s="142"/>
      <c r="S32" s="1162" t="s">
        <v>39</v>
      </c>
      <c r="T32" s="1162"/>
      <c r="U32" s="441"/>
      <c r="V32" s="1163" t="str">
        <f>IF(TITLE_IST_PUB_CHANGE="",IF(TITLE_IST_PUB="","",TITLE_IST_PUB),TITLE_IST_PUB_CHANGE)</f>
        <v>Региональная энергетическая комиссия Свердловской области</v>
      </c>
      <c r="W32" s="1163"/>
      <c r="X32" s="1163"/>
      <c r="Y32" s="1163"/>
      <c r="Z32" s="1163"/>
      <c r="AA32" s="1163"/>
      <c r="AB32" s="1163"/>
      <c r="AC32" s="46"/>
      <c r="AD32" s="1163" t="str">
        <f>IF(TITLE_IST_PUB_CHANGE="",IF(TITLE_IST_PUB="","",TITLE_IST_PUB),TITLE_IST_PUB_CHANGE)</f>
        <v>Региональная энергетическая комиссия Свердловской области</v>
      </c>
      <c r="AE32" s="1163"/>
      <c r="AF32" s="1163"/>
      <c r="AG32" s="1163"/>
      <c r="AH32" s="1163"/>
      <c r="AI32" s="1163"/>
      <c r="AJ32" s="1163"/>
      <c r="AK32" s="46"/>
      <c r="AL32" s="46"/>
      <c r="AM32" s="442"/>
      <c r="AN32" s="121"/>
      <c r="AO32" s="121"/>
      <c r="AP32" s="121"/>
      <c r="AQ32" s="121"/>
      <c r="AR32" s="121"/>
    </row>
    <row r="33" spans="1:44" ht="14.25" hidden="1" customHeight="1">
      <c r="Q33" s="437"/>
      <c r="R33" s="437"/>
      <c r="S33" s="438"/>
      <c r="T33" s="83"/>
      <c r="U33" s="83"/>
      <c r="V33" s="439"/>
      <c r="W33" s="439"/>
      <c r="X33" s="439"/>
      <c r="Y33" s="439"/>
      <c r="Z33" s="439"/>
      <c r="AA33" s="439"/>
      <c r="AB33" s="439"/>
      <c r="AC33" s="439"/>
      <c r="AD33" s="439"/>
      <c r="AE33" s="439"/>
      <c r="AF33" s="439"/>
      <c r="AG33" s="439"/>
      <c r="AH33" s="439"/>
      <c r="AI33" s="439"/>
      <c r="AJ33" s="439"/>
      <c r="AK33" s="439"/>
    </row>
    <row r="34" spans="1:44" s="174" customFormat="1" ht="18.75" hidden="1" customHeight="1">
      <c r="A34" s="142"/>
      <c r="B34" s="142"/>
      <c r="C34" s="142"/>
      <c r="D34" s="142"/>
      <c r="E34" s="142"/>
      <c r="F34" s="142"/>
      <c r="G34" s="142"/>
      <c r="H34" s="142"/>
      <c r="I34" s="142"/>
      <c r="J34" s="142"/>
      <c r="K34" s="142"/>
      <c r="L34" s="391"/>
      <c r="M34" s="142"/>
      <c r="N34" s="142"/>
      <c r="O34" s="142"/>
      <c r="S34" s="1162" t="s">
        <v>412</v>
      </c>
      <c r="T34" s="1162"/>
      <c r="U34" s="441"/>
      <c r="V34" s="1164">
        <f>IF(TITLE_DATE_PR_CHANGE="",IF(TITLE_DATE_PR="","",TITLE_DATE_PR),TITLE_DATE_PR_CHANGE)</f>
        <v>45266.462974536997</v>
      </c>
      <c r="W34" s="1164"/>
      <c r="X34" s="1164"/>
      <c r="Y34" s="1164"/>
      <c r="Z34" s="1164"/>
      <c r="AA34" s="1164"/>
      <c r="AB34" s="1164"/>
      <c r="AC34" s="46"/>
      <c r="AD34" s="1164">
        <f>IF(TITLE_DATE_PR_CHANGE="",IF(TITLE_DATE_PR="","",TITLE_DATE_PR),TITLE_DATE_PR_CHANGE)</f>
        <v>45266.462974536997</v>
      </c>
      <c r="AE34" s="1164"/>
      <c r="AF34" s="1164"/>
      <c r="AG34" s="1164"/>
      <c r="AH34" s="1164"/>
      <c r="AI34" s="1164"/>
      <c r="AJ34" s="1164"/>
      <c r="AK34" s="46"/>
      <c r="AL34" s="46"/>
      <c r="AM34" s="442"/>
      <c r="AN34" s="121"/>
      <c r="AO34" s="121"/>
      <c r="AP34" s="121"/>
      <c r="AQ34" s="121"/>
      <c r="AR34" s="121"/>
    </row>
    <row r="35" spans="1:44" s="174" customFormat="1" ht="18.75" hidden="1" customHeight="1">
      <c r="A35" s="142"/>
      <c r="B35" s="142"/>
      <c r="C35" s="142"/>
      <c r="D35" s="142"/>
      <c r="E35" s="142"/>
      <c r="F35" s="142"/>
      <c r="G35" s="142"/>
      <c r="H35" s="142"/>
      <c r="I35" s="142"/>
      <c r="J35" s="142"/>
      <c r="K35" s="142"/>
      <c r="L35" s="391"/>
      <c r="M35" s="142"/>
      <c r="N35" s="142"/>
      <c r="O35" s="142"/>
      <c r="S35" s="1162" t="s">
        <v>413</v>
      </c>
      <c r="T35" s="1162"/>
      <c r="U35" s="441"/>
      <c r="V35" s="1163" t="str">
        <f>IF(TITLE_NUMBER_PR_CHANGE="",IF(TITLE_NUMBER_PR="","",TITLE_NUMBER_PR),TITLE_NUMBER_PR_CHANGE)</f>
        <v>216-ПК</v>
      </c>
      <c r="W35" s="1163"/>
      <c r="X35" s="1163"/>
      <c r="Y35" s="1163"/>
      <c r="Z35" s="1163"/>
      <c r="AA35" s="1163"/>
      <c r="AB35" s="1163"/>
      <c r="AC35" s="46"/>
      <c r="AD35" s="1163" t="str">
        <f>IF(TITLE_NUMBER_PR_CHANGE="",IF(TITLE_NUMBER_PR="","",TITLE_NUMBER_PR),TITLE_NUMBER_PR_CHANGE)</f>
        <v>216-ПК</v>
      </c>
      <c r="AE35" s="1163"/>
      <c r="AF35" s="1163"/>
      <c r="AG35" s="1163"/>
      <c r="AH35" s="1163"/>
      <c r="AI35" s="1163"/>
      <c r="AJ35" s="1163"/>
      <c r="AK35" s="46"/>
      <c r="AL35" s="46"/>
      <c r="AM35" s="442"/>
      <c r="AN35" s="121"/>
      <c r="AO35" s="121"/>
      <c r="AP35" s="121"/>
      <c r="AQ35" s="121"/>
      <c r="AR35" s="121"/>
    </row>
    <row r="36" spans="1:44" s="174" customFormat="1" ht="11.25">
      <c r="A36" s="142"/>
      <c r="B36" s="142"/>
      <c r="C36" s="142"/>
      <c r="D36" s="142"/>
      <c r="E36" s="142"/>
      <c r="F36" s="142"/>
      <c r="G36" s="142"/>
      <c r="H36" s="142"/>
      <c r="I36" s="142"/>
      <c r="J36" s="142"/>
      <c r="K36" s="142"/>
      <c r="L36" s="391"/>
      <c r="M36" s="142"/>
      <c r="N36" s="142"/>
      <c r="O36" s="142"/>
      <c r="S36" s="46"/>
      <c r="T36" s="46"/>
      <c r="U36" s="131"/>
      <c r="V36" s="46"/>
      <c r="W36" s="46"/>
      <c r="X36" s="46"/>
      <c r="Y36" s="46"/>
      <c r="Z36" s="46"/>
      <c r="AA36" s="46"/>
      <c r="AB36" s="46"/>
      <c r="AC36" s="53" t="s">
        <v>414</v>
      </c>
      <c r="AD36" s="46"/>
      <c r="AE36" s="46"/>
      <c r="AF36" s="46"/>
      <c r="AG36" s="46"/>
      <c r="AH36" s="46"/>
      <c r="AI36" s="46"/>
      <c r="AJ36" s="46"/>
      <c r="AK36" s="53" t="s">
        <v>414</v>
      </c>
      <c r="AN36" s="121"/>
      <c r="AO36" s="121"/>
      <c r="AP36" s="121"/>
      <c r="AQ36" s="121"/>
      <c r="AR36" s="121"/>
    </row>
    <row r="37" spans="1:44" ht="14.25" customHeight="1">
      <c r="Q37" s="437"/>
      <c r="R37" s="437"/>
      <c r="S37" s="438"/>
      <c r="T37" s="83"/>
      <c r="U37" s="443"/>
      <c r="V37" s="1165"/>
      <c r="W37" s="1165"/>
      <c r="X37" s="1165"/>
      <c r="Y37" s="1165"/>
      <c r="Z37" s="1165"/>
      <c r="AA37" s="1165"/>
      <c r="AB37" s="1165"/>
      <c r="AC37" s="1165"/>
      <c r="AD37" s="1165"/>
      <c r="AE37" s="1165"/>
      <c r="AF37" s="1165"/>
      <c r="AG37" s="1165"/>
      <c r="AH37" s="1165"/>
      <c r="AI37" s="1165"/>
      <c r="AJ37" s="1165"/>
      <c r="AK37" s="1165"/>
    </row>
    <row r="38" spans="1:44" ht="14.25" customHeight="1">
      <c r="Q38" s="437"/>
      <c r="R38" s="437"/>
      <c r="S38" s="1087" t="s">
        <v>287</v>
      </c>
      <c r="T38" s="1087"/>
      <c r="U38" s="1087"/>
      <c r="V38" s="1087"/>
      <c r="W38" s="1087"/>
      <c r="X38" s="1087"/>
      <c r="Y38" s="1087"/>
      <c r="Z38" s="1087"/>
      <c r="AA38" s="1087"/>
      <c r="AB38" s="1087"/>
      <c r="AC38" s="1087"/>
      <c r="AD38" s="1087"/>
      <c r="AE38" s="1087"/>
      <c r="AF38" s="1087"/>
      <c r="AG38" s="1087"/>
      <c r="AH38" s="1087"/>
      <c r="AI38" s="1087"/>
      <c r="AJ38" s="1087"/>
      <c r="AK38" s="1087"/>
      <c r="AL38" s="1087"/>
      <c r="AM38" s="1087" t="s">
        <v>288</v>
      </c>
    </row>
    <row r="39" spans="1:44" ht="14.25" customHeight="1">
      <c r="Q39" s="437"/>
      <c r="R39" s="437"/>
      <c r="S39" s="1166" t="s">
        <v>84</v>
      </c>
      <c r="T39" s="1167" t="s">
        <v>415</v>
      </c>
      <c r="U39" s="444"/>
      <c r="V39" s="1140" t="s">
        <v>416</v>
      </c>
      <c r="W39" s="1140"/>
      <c r="X39" s="1140"/>
      <c r="Y39" s="1140"/>
      <c r="Z39" s="1140"/>
      <c r="AA39" s="1140"/>
      <c r="AB39" s="1140"/>
      <c r="AC39" s="1167" t="s">
        <v>417</v>
      </c>
      <c r="AD39" s="1140" t="s">
        <v>416</v>
      </c>
      <c r="AE39" s="1140"/>
      <c r="AF39" s="1140"/>
      <c r="AG39" s="1140"/>
      <c r="AH39" s="1140"/>
      <c r="AI39" s="1140"/>
      <c r="AJ39" s="1140"/>
      <c r="AK39" s="1167" t="s">
        <v>418</v>
      </c>
      <c r="AL39" s="1168" t="s">
        <v>419</v>
      </c>
      <c r="AM39" s="1087"/>
    </row>
    <row r="40" spans="1:44" ht="33.75" customHeight="1">
      <c r="Q40" s="437"/>
      <c r="R40" s="437"/>
      <c r="S40" s="1166"/>
      <c r="T40" s="1167"/>
      <c r="U40" s="445"/>
      <c r="V40" s="1169" t="s">
        <v>420</v>
      </c>
      <c r="W40" s="1155" t="s">
        <v>421</v>
      </c>
      <c r="X40" s="1087" t="s">
        <v>422</v>
      </c>
      <c r="Y40" s="1087"/>
      <c r="Z40" s="1087" t="s">
        <v>435</v>
      </c>
      <c r="AA40" s="1087"/>
      <c r="AB40" s="1087"/>
      <c r="AC40" s="1167"/>
      <c r="AD40" s="1169" t="s">
        <v>420</v>
      </c>
      <c r="AE40" s="1155" t="s">
        <v>421</v>
      </c>
      <c r="AF40" s="1087" t="s">
        <v>422</v>
      </c>
      <c r="AG40" s="1087"/>
      <c r="AH40" s="1087" t="s">
        <v>423</v>
      </c>
      <c r="AI40" s="1087"/>
      <c r="AJ40" s="1087"/>
      <c r="AK40" s="1167"/>
      <c r="AL40" s="1168"/>
      <c r="AM40" s="1087"/>
    </row>
    <row r="41" spans="1:44" ht="33.75" customHeight="1">
      <c r="A41" s="142"/>
      <c r="B41" s="142" t="s">
        <v>131</v>
      </c>
      <c r="C41" s="142" t="s">
        <v>132</v>
      </c>
      <c r="D41" s="142" t="s">
        <v>133</v>
      </c>
      <c r="E41" s="391" t="s">
        <v>424</v>
      </c>
      <c r="F41" s="391" t="s">
        <v>425</v>
      </c>
      <c r="G41" s="391" t="s">
        <v>426</v>
      </c>
      <c r="H41" s="391" t="s">
        <v>427</v>
      </c>
      <c r="I41" s="391" t="s">
        <v>428</v>
      </c>
      <c r="J41" s="391" t="s">
        <v>429</v>
      </c>
      <c r="K41" s="391" t="s">
        <v>430</v>
      </c>
      <c r="L41" s="391" t="s">
        <v>405</v>
      </c>
      <c r="Q41" s="437"/>
      <c r="R41" s="437"/>
      <c r="S41" s="1166"/>
      <c r="T41" s="1167"/>
      <c r="U41" s="446"/>
      <c r="V41" s="1169"/>
      <c r="W41" s="1155"/>
      <c r="X41" s="203" t="s">
        <v>431</v>
      </c>
      <c r="Y41" s="203" t="s">
        <v>432</v>
      </c>
      <c r="Z41" s="203" t="s">
        <v>433</v>
      </c>
      <c r="AA41" s="1108" t="s">
        <v>434</v>
      </c>
      <c r="AB41" s="1108"/>
      <c r="AC41" s="1167"/>
      <c r="AD41" s="1169"/>
      <c r="AE41" s="1155"/>
      <c r="AF41" s="203" t="s">
        <v>431</v>
      </c>
      <c r="AG41" s="203" t="s">
        <v>432</v>
      </c>
      <c r="AH41" s="203" t="s">
        <v>433</v>
      </c>
      <c r="AI41" s="1108" t="s">
        <v>434</v>
      </c>
      <c r="AJ41" s="1108"/>
      <c r="AK41" s="1167"/>
      <c r="AL41" s="1168"/>
      <c r="AM41" s="1087"/>
    </row>
    <row r="42" spans="1:44" s="123" customFormat="1" ht="11.25" hidden="1" customHeight="1">
      <c r="A42" s="142"/>
      <c r="B42" s="142"/>
      <c r="C42" s="142"/>
      <c r="D42" s="142"/>
      <c r="E42" s="142"/>
      <c r="F42" s="142"/>
      <c r="G42" s="142"/>
      <c r="H42" s="142"/>
      <c r="I42" s="142"/>
      <c r="J42" s="142"/>
      <c r="K42" s="142"/>
      <c r="L42" s="391"/>
      <c r="M42" s="57"/>
      <c r="N42" s="57"/>
      <c r="O42" s="57"/>
      <c r="P42" s="447"/>
      <c r="Q42" s="448"/>
      <c r="R42" s="449">
        <v>1</v>
      </c>
      <c r="S42" s="450" t="s">
        <v>105</v>
      </c>
      <c r="T42" s="451" t="s">
        <v>106</v>
      </c>
      <c r="U42" s="452" t="str">
        <f ca="1">OFFSET(U42,0,-1)</f>
        <v>2</v>
      </c>
      <c r="V42" s="453">
        <f ca="1">OFFSET(V42,0,-1)+1</f>
        <v>3</v>
      </c>
      <c r="W42" s="453"/>
      <c r="X42" s="453">
        <f ca="1">OFFSET(X42,0,-1)+1</f>
        <v>1</v>
      </c>
      <c r="Y42" s="453">
        <f ca="1">OFFSET(Y42,0,-1)+1</f>
        <v>2</v>
      </c>
      <c r="Z42" s="453">
        <f ca="1">OFFSET(Z42,0,-1)+1</f>
        <v>3</v>
      </c>
      <c r="AA42" s="1170">
        <f ca="1">OFFSET(AA42,0,-1)+1</f>
        <v>4</v>
      </c>
      <c r="AB42" s="1170"/>
      <c r="AC42" s="453">
        <f ca="1">OFFSET(AC42,0,-2)+1</f>
        <v>5</v>
      </c>
      <c r="AD42" s="453">
        <f ca="1">OFFSET(AD42,0,-1)+1</f>
        <v>6</v>
      </c>
      <c r="AE42" s="453"/>
      <c r="AF42" s="453">
        <f ca="1">OFFSET(AF42,0,-1)+1</f>
        <v>1</v>
      </c>
      <c r="AG42" s="453">
        <f ca="1">OFFSET(AG42,0,-1)+1</f>
        <v>2</v>
      </c>
      <c r="AH42" s="453">
        <f ca="1">OFFSET(AH42,0,-1)+1</f>
        <v>3</v>
      </c>
      <c r="AI42" s="1170">
        <f ca="1">OFFSET(AI42,0,-1)+1</f>
        <v>4</v>
      </c>
      <c r="AJ42" s="1170"/>
      <c r="AK42" s="453">
        <f ca="1">OFFSET(AK42,0,-2)+1</f>
        <v>5</v>
      </c>
      <c r="AL42" s="452">
        <f ca="1">OFFSET(AL42,0,-1)</f>
        <v>5</v>
      </c>
      <c r="AM42" s="453">
        <f ca="1">OFFSET(AM42,0,-1)+1</f>
        <v>6</v>
      </c>
      <c r="AN42" s="53"/>
      <c r="AO42" s="53"/>
      <c r="AP42" s="53"/>
      <c r="AQ42" s="53"/>
      <c r="AR42" s="53"/>
    </row>
    <row r="43" spans="1:44" ht="21" customHeight="1">
      <c r="A43" s="390" t="s">
        <v>158</v>
      </c>
      <c r="B43" s="390"/>
      <c r="C43" s="390"/>
      <c r="D43" s="390"/>
      <c r="E43" s="1153">
        <v>1</v>
      </c>
      <c r="F43" s="390"/>
      <c r="G43" s="390"/>
      <c r="H43" s="390"/>
      <c r="I43" s="390"/>
      <c r="J43" s="390"/>
      <c r="K43" s="390"/>
      <c r="L43" s="391"/>
      <c r="M43" s="392"/>
      <c r="N43" s="392"/>
      <c r="O43" s="392"/>
      <c r="Q43" s="134"/>
      <c r="R43" s="393"/>
      <c r="S43" s="394">
        <f>INDEX(PT_DIFFERENTIATION_NUM_NTAR,MATCH(A43,PT_DIFFERENTIATION_NTAR_ID,0))</f>
        <v>0</v>
      </c>
      <c r="T43" s="395" t="s">
        <v>119</v>
      </c>
      <c r="U43" s="396"/>
      <c r="V43" s="1154"/>
      <c r="W43" s="1154"/>
      <c r="X43" s="1154"/>
      <c r="Y43" s="1154"/>
      <c r="Z43" s="1154"/>
      <c r="AA43" s="1154"/>
      <c r="AB43" s="1154"/>
      <c r="AC43" s="1154"/>
      <c r="AD43" s="1154" t="str">
        <f>INDEX(PT_DIFFERENTIATION_NTAR,MATCH(A43,PT_DIFFERENTIATION_NTAR_ID,0))</f>
        <v/>
      </c>
      <c r="AE43" s="1154"/>
      <c r="AF43" s="1154"/>
      <c r="AG43" s="1154"/>
      <c r="AH43" s="1154"/>
      <c r="AI43" s="1154"/>
      <c r="AJ43" s="1154"/>
      <c r="AK43" s="1154"/>
      <c r="AL43" s="1154"/>
      <c r="AM43" s="39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t="shared" ref="AP43:AP57" si="1">IF(T43="","",T43)</f>
        <v>Наименование тарифа</v>
      </c>
      <c r="AQ43" s="121"/>
      <c r="AR43" s="121"/>
    </row>
    <row r="44" spans="1:44" ht="21" customHeight="1">
      <c r="A44" s="390" t="s">
        <v>158</v>
      </c>
      <c r="B44" s="390" t="s">
        <v>159</v>
      </c>
      <c r="C44" s="390"/>
      <c r="D44" s="390"/>
      <c r="E44" s="1153"/>
      <c r="F44" s="1153">
        <v>1</v>
      </c>
      <c r="G44" s="390"/>
      <c r="H44" s="390"/>
      <c r="I44" s="390"/>
      <c r="J44" s="390"/>
      <c r="K44" s="390"/>
      <c r="L44" s="391"/>
      <c r="M44" s="392"/>
      <c r="N44" s="392"/>
      <c r="O44" s="392"/>
      <c r="P44" s="47"/>
      <c r="Q44" s="398"/>
      <c r="R44" s="399"/>
      <c r="S44" s="394" t="str">
        <f>INDEX(PT_DIFFERENTIATION_NUM_TER,MATCH(B44,PT_DIFFERENTIATION_TER_ID,0))</f>
        <v>.</v>
      </c>
      <c r="T44" s="400" t="s">
        <v>386</v>
      </c>
      <c r="U44" s="396"/>
      <c r="V44" s="1154"/>
      <c r="W44" s="1154"/>
      <c r="X44" s="1154"/>
      <c r="Y44" s="1154"/>
      <c r="Z44" s="1154"/>
      <c r="AA44" s="1154"/>
      <c r="AB44" s="1154"/>
      <c r="AC44" s="1154"/>
      <c r="AD44" s="1154" t="str">
        <f>INDEX(PT_DIFFERENTIATION_TER,MATCH(B44,PT_DIFFERENTIATION_TER_ID,0))</f>
        <v/>
      </c>
      <c r="AE44" s="1154"/>
      <c r="AF44" s="1154"/>
      <c r="AG44" s="1154"/>
      <c r="AH44" s="1154"/>
      <c r="AI44" s="1154"/>
      <c r="AJ44" s="1154"/>
      <c r="AK44" s="1154"/>
      <c r="AL44" s="1154"/>
      <c r="AM44" s="397" t="s">
        <v>387</v>
      </c>
      <c r="AO44" s="121"/>
      <c r="AP44" s="121" t="str">
        <f t="shared" si="1"/>
        <v>Территория действия тарифа</v>
      </c>
      <c r="AQ44" s="121"/>
      <c r="AR44" s="121"/>
    </row>
    <row r="45" spans="1:44" ht="23.25" customHeight="1">
      <c r="A45" s="390" t="s">
        <v>158</v>
      </c>
      <c r="B45" s="390" t="s">
        <v>159</v>
      </c>
      <c r="C45" s="390" t="s">
        <v>160</v>
      </c>
      <c r="D45" s="390"/>
      <c r="E45" s="1153"/>
      <c r="F45" s="1153"/>
      <c r="G45" s="1153">
        <v>1</v>
      </c>
      <c r="H45" s="390"/>
      <c r="I45" s="390"/>
      <c r="J45" s="390"/>
      <c r="K45" s="390"/>
      <c r="L45" s="391"/>
      <c r="M45" s="392"/>
      <c r="N45" s="392"/>
      <c r="O45" s="392"/>
      <c r="P45" s="401"/>
      <c r="Q45" s="398"/>
      <c r="R45" s="399"/>
      <c r="S45" s="394" t="str">
        <f>INDEX(PT_DIFFERENTIATION_NUM_CS,MATCH(C45,PT_DIFFERENTIATION_CS_ID,0))</f>
        <v>..</v>
      </c>
      <c r="T45" s="402" t="s">
        <v>388</v>
      </c>
      <c r="U45" s="396"/>
      <c r="V45" s="1154"/>
      <c r="W45" s="1154"/>
      <c r="X45" s="1154"/>
      <c r="Y45" s="1154"/>
      <c r="Z45" s="1154"/>
      <c r="AA45" s="1154"/>
      <c r="AB45" s="1154"/>
      <c r="AC45" s="1154"/>
      <c r="AD45" s="1154" t="str">
        <f>INDEX(PT_DIFFERENTIATION_CS,MATCH(C45,PT_DIFFERENTIATION_CS_ID,0))</f>
        <v/>
      </c>
      <c r="AE45" s="1154"/>
      <c r="AF45" s="1154"/>
      <c r="AG45" s="1154"/>
      <c r="AH45" s="1154"/>
      <c r="AI45" s="1154"/>
      <c r="AJ45" s="1154"/>
      <c r="AK45" s="1154"/>
      <c r="AL45" s="1154"/>
      <c r="AM45" s="397" t="s">
        <v>389</v>
      </c>
      <c r="AO45" s="121"/>
      <c r="AP45" s="121" t="str">
        <f t="shared" si="1"/>
        <v xml:space="preserve">Наименование системы теплоснабжения </v>
      </c>
      <c r="AQ45" s="121"/>
      <c r="AR45" s="121"/>
    </row>
    <row r="46" spans="1:44" ht="21" customHeight="1">
      <c r="A46" s="390" t="s">
        <v>158</v>
      </c>
      <c r="B46" s="390" t="s">
        <v>159</v>
      </c>
      <c r="C46" s="390" t="s">
        <v>160</v>
      </c>
      <c r="D46" s="390" t="s">
        <v>161</v>
      </c>
      <c r="E46" s="1153"/>
      <c r="F46" s="1153"/>
      <c r="G46" s="1153"/>
      <c r="H46" s="1153">
        <v>1</v>
      </c>
      <c r="I46" s="390"/>
      <c r="J46" s="390"/>
      <c r="K46" s="390"/>
      <c r="L46" s="391"/>
      <c r="M46" s="392"/>
      <c r="N46" s="392"/>
      <c r="O46" s="392"/>
      <c r="P46" s="401"/>
      <c r="Q46" s="398"/>
      <c r="R46" s="399"/>
      <c r="S46" s="394" t="str">
        <f>INDEX(PT_DIFFERENTIATION_NUM_IST_TE,MATCH(D46,PT_DIFFERENTIATION_IST_TE_ID,0))</f>
        <v>...</v>
      </c>
      <c r="T46" s="403" t="s">
        <v>390</v>
      </c>
      <c r="U46" s="396"/>
      <c r="V46" s="1154"/>
      <c r="W46" s="1154"/>
      <c r="X46" s="1154"/>
      <c r="Y46" s="1154"/>
      <c r="Z46" s="1154"/>
      <c r="AA46" s="1154"/>
      <c r="AB46" s="1154"/>
      <c r="AC46" s="1154"/>
      <c r="AD46" s="1154" t="str">
        <f>INDEX(PT_DIFFERENTIATION_IST_TE,MATCH(D46,PT_DIFFERENTIATION_IST_TE_ID,0))</f>
        <v/>
      </c>
      <c r="AE46" s="1154"/>
      <c r="AF46" s="1154"/>
      <c r="AG46" s="1154"/>
      <c r="AH46" s="1154"/>
      <c r="AI46" s="1154"/>
      <c r="AJ46" s="1154"/>
      <c r="AK46" s="1154"/>
      <c r="AL46" s="1154"/>
      <c r="AM46" s="397" t="s">
        <v>391</v>
      </c>
      <c r="AO46" s="121"/>
      <c r="AP46" s="121" t="str">
        <f t="shared" si="1"/>
        <v xml:space="preserve">Источник тепловой энергии  </v>
      </c>
      <c r="AQ46" s="121"/>
      <c r="AR46" s="121"/>
    </row>
    <row r="47" spans="1:44" ht="47.25" customHeight="1">
      <c r="A47" s="390" t="s">
        <v>158</v>
      </c>
      <c r="B47" s="390" t="s">
        <v>159</v>
      </c>
      <c r="C47" s="390" t="s">
        <v>160</v>
      </c>
      <c r="D47" s="390" t="s">
        <v>161</v>
      </c>
      <c r="E47" s="1153"/>
      <c r="F47" s="1153"/>
      <c r="G47" s="1153"/>
      <c r="H47" s="1153"/>
      <c r="I47" s="1155" t="str">
        <f>S46&amp;".1"</f>
        <v>....1</v>
      </c>
      <c r="J47" s="390"/>
      <c r="K47" s="390"/>
      <c r="L47" s="391" t="s">
        <v>392</v>
      </c>
      <c r="P47" s="1156">
        <v>1</v>
      </c>
      <c r="Q47" s="124"/>
      <c r="R47" s="405"/>
      <c r="S47" s="394" t="str">
        <f>$I47</f>
        <v>....1</v>
      </c>
      <c r="T47" s="406" t="s">
        <v>393</v>
      </c>
      <c r="U47" s="396"/>
      <c r="V47" s="1157"/>
      <c r="W47" s="1157"/>
      <c r="X47" s="1157"/>
      <c r="Y47" s="1157"/>
      <c r="Z47" s="1157"/>
      <c r="AA47" s="1157"/>
      <c r="AB47" s="1157"/>
      <c r="AC47" s="1157"/>
      <c r="AD47" s="1157"/>
      <c r="AE47" s="1157"/>
      <c r="AF47" s="1157"/>
      <c r="AG47" s="1157"/>
      <c r="AH47" s="1157"/>
      <c r="AI47" s="1157"/>
      <c r="AJ47" s="1157"/>
      <c r="AK47" s="1157"/>
      <c r="AL47" s="1157"/>
      <c r="AM47" s="397" t="s">
        <v>394</v>
      </c>
      <c r="AO47" s="121"/>
      <c r="AP47" s="121" t="str">
        <f t="shared" si="1"/>
        <v>Схема подключения теплопотребляющей установки к коллектору источника тепловой энергии</v>
      </c>
      <c r="AQ47" s="121"/>
      <c r="AR47" s="121"/>
    </row>
    <row r="48" spans="1:44" ht="21" customHeight="1">
      <c r="A48" s="390" t="s">
        <v>158</v>
      </c>
      <c r="B48" s="390" t="s">
        <v>159</v>
      </c>
      <c r="C48" s="390" t="s">
        <v>160</v>
      </c>
      <c r="D48" s="390" t="s">
        <v>161</v>
      </c>
      <c r="E48" s="1153"/>
      <c r="F48" s="1153"/>
      <c r="G48" s="1153"/>
      <c r="H48" s="1153"/>
      <c r="I48" s="1155"/>
      <c r="J48" s="1155" t="str">
        <f>I47&amp;".1"</f>
        <v>....1.1</v>
      </c>
      <c r="K48" s="390"/>
      <c r="L48" s="391" t="s">
        <v>395</v>
      </c>
      <c r="P48" s="1156"/>
      <c r="Q48" s="1156">
        <v>1</v>
      </c>
      <c r="R48" s="408"/>
      <c r="S48" s="394" t="str">
        <f>$J48</f>
        <v>....1.1</v>
      </c>
      <c r="T48" s="409" t="s">
        <v>396</v>
      </c>
      <c r="U48" s="396"/>
      <c r="V48" s="1157"/>
      <c r="W48" s="1157"/>
      <c r="X48" s="1157"/>
      <c r="Y48" s="1157"/>
      <c r="Z48" s="1157"/>
      <c r="AA48" s="1157"/>
      <c r="AB48" s="1157"/>
      <c r="AC48" s="1157"/>
      <c r="AD48" s="1157"/>
      <c r="AE48" s="1157"/>
      <c r="AF48" s="1157"/>
      <c r="AG48" s="1157"/>
      <c r="AH48" s="1157"/>
      <c r="AI48" s="1157"/>
      <c r="AJ48" s="1157"/>
      <c r="AK48" s="1157"/>
      <c r="AL48" s="1157"/>
      <c r="AM48" s="397" t="s">
        <v>397</v>
      </c>
      <c r="AO48" s="121"/>
      <c r="AP48" s="121" t="str">
        <f t="shared" si="1"/>
        <v>Группа потребителей</v>
      </c>
      <c r="AQ48" s="121"/>
      <c r="AR48" s="121"/>
    </row>
    <row r="49" spans="1:44" ht="21" customHeight="1">
      <c r="A49" s="390" t="s">
        <v>158</v>
      </c>
      <c r="B49" s="390" t="s">
        <v>159</v>
      </c>
      <c r="C49" s="390" t="s">
        <v>160</v>
      </c>
      <c r="D49" s="390" t="s">
        <v>161</v>
      </c>
      <c r="E49" s="1153"/>
      <c r="F49" s="1153"/>
      <c r="G49" s="1153"/>
      <c r="H49" s="1153"/>
      <c r="I49" s="1155"/>
      <c r="J49" s="1155"/>
      <c r="K49" s="1155" t="str">
        <f>J48&amp;".1"</f>
        <v>....1.1.1</v>
      </c>
      <c r="L49" s="391" t="s">
        <v>398</v>
      </c>
      <c r="P49" s="1156"/>
      <c r="Q49" s="1156"/>
      <c r="R49" s="408">
        <v>1</v>
      </c>
      <c r="S49" s="394" t="str">
        <f>$K49</f>
        <v>....1.1.1</v>
      </c>
      <c r="T49" s="410"/>
      <c r="U49" s="396"/>
      <c r="V49" s="411"/>
      <c r="W49" s="412"/>
      <c r="X49" s="411"/>
      <c r="Y49" s="413"/>
      <c r="Z49" s="1158"/>
      <c r="AA49" s="1105" t="s">
        <v>63</v>
      </c>
      <c r="AB49" s="1158"/>
      <c r="AC49" s="1105" t="s">
        <v>63</v>
      </c>
      <c r="AD49" s="411"/>
      <c r="AE49" s="412"/>
      <c r="AF49" s="411"/>
      <c r="AG49" s="413"/>
      <c r="AH49" s="1158"/>
      <c r="AI49" s="1105" t="s">
        <v>63</v>
      </c>
      <c r="AJ49" s="1158"/>
      <c r="AK49" s="1105" t="s">
        <v>63</v>
      </c>
      <c r="AL49" s="454"/>
      <c r="AM49" s="1159" t="s">
        <v>399</v>
      </c>
      <c r="AN49" s="53" t="e">
        <f ca="1">strcheckdate(V50:AL50)</f>
        <v>#NAME?</v>
      </c>
      <c r="AO49" s="121"/>
      <c r="AP49" s="121" t="str">
        <f t="shared" si="1"/>
        <v/>
      </c>
      <c r="AQ49" s="121"/>
      <c r="AR49" s="121"/>
    </row>
    <row r="50" spans="1:44" ht="0.75" customHeight="1">
      <c r="A50" s="390" t="s">
        <v>158</v>
      </c>
      <c r="B50" s="390" t="s">
        <v>159</v>
      </c>
      <c r="C50" s="390" t="s">
        <v>160</v>
      </c>
      <c r="D50" s="390" t="s">
        <v>161</v>
      </c>
      <c r="E50" s="1153"/>
      <c r="F50" s="1153"/>
      <c r="G50" s="1153"/>
      <c r="H50" s="1153"/>
      <c r="I50" s="1155"/>
      <c r="J50" s="1155"/>
      <c r="K50" s="1155"/>
      <c r="L50" s="391"/>
      <c r="P50" s="1156"/>
      <c r="Q50" s="1156"/>
      <c r="R50" s="408"/>
      <c r="S50" s="370"/>
      <c r="T50" s="396"/>
      <c r="U50" s="396"/>
      <c r="V50" s="412"/>
      <c r="W50" s="412"/>
      <c r="X50" s="412"/>
      <c r="Y50" s="415" t="str">
        <f>Z49&amp;"-"&amp;AB49</f>
        <v>-</v>
      </c>
      <c r="Z50" s="1158"/>
      <c r="AA50" s="1105"/>
      <c r="AB50" s="1158"/>
      <c r="AC50" s="1105"/>
      <c r="AD50" s="412"/>
      <c r="AE50" s="412"/>
      <c r="AF50" s="412"/>
      <c r="AG50" s="415" t="str">
        <f>AH49&amp;"-"&amp;AJ49</f>
        <v>-</v>
      </c>
      <c r="AH50" s="1158"/>
      <c r="AI50" s="1105"/>
      <c r="AJ50" s="1158"/>
      <c r="AK50" s="1105"/>
      <c r="AL50" s="455"/>
      <c r="AM50" s="1159"/>
      <c r="AO50" s="121"/>
      <c r="AP50" s="121" t="str">
        <f t="shared" si="1"/>
        <v/>
      </c>
      <c r="AQ50" s="121"/>
      <c r="AR50" s="121"/>
    </row>
    <row r="51" spans="1:44" ht="11.25" customHeight="1">
      <c r="A51" s="390" t="s">
        <v>158</v>
      </c>
      <c r="B51" s="390" t="s">
        <v>159</v>
      </c>
      <c r="C51" s="390" t="s">
        <v>160</v>
      </c>
      <c r="D51" s="390" t="s">
        <v>161</v>
      </c>
      <c r="E51" s="1153"/>
      <c r="F51" s="1153"/>
      <c r="G51" s="1153"/>
      <c r="H51" s="1153"/>
      <c r="I51" s="1155"/>
      <c r="J51" s="1155"/>
      <c r="K51" s="390"/>
      <c r="L51" s="391"/>
      <c r="P51" s="1156"/>
      <c r="Q51" s="1156"/>
      <c r="R51" s="405"/>
      <c r="S51" s="416"/>
      <c r="T51" s="417" t="s">
        <v>400</v>
      </c>
      <c r="U51" s="186"/>
      <c r="V51" s="186"/>
      <c r="W51" s="186"/>
      <c r="X51" s="186"/>
      <c r="Y51" s="186"/>
      <c r="Z51" s="186"/>
      <c r="AA51" s="186"/>
      <c r="AB51" s="186"/>
      <c r="AC51" s="186"/>
      <c r="AD51" s="186"/>
      <c r="AE51" s="186"/>
      <c r="AF51" s="186"/>
      <c r="AG51" s="186"/>
      <c r="AH51" s="186"/>
      <c r="AI51" s="186"/>
      <c r="AJ51" s="186"/>
      <c r="AK51" s="186"/>
      <c r="AL51" s="418"/>
      <c r="AM51" s="1159"/>
      <c r="AO51" s="121"/>
      <c r="AP51" s="121" t="str">
        <f t="shared" si="1"/>
        <v>Добавить вид теплоносителя (параметры теплоносителя)</v>
      </c>
      <c r="AQ51" s="121"/>
      <c r="AR51" s="121"/>
    </row>
    <row r="52" spans="1:44" ht="11.25" customHeight="1">
      <c r="A52" s="390" t="s">
        <v>158</v>
      </c>
      <c r="B52" s="390" t="s">
        <v>159</v>
      </c>
      <c r="C52" s="390" t="s">
        <v>160</v>
      </c>
      <c r="D52" s="390" t="s">
        <v>161</v>
      </c>
      <c r="E52" s="1153"/>
      <c r="F52" s="1153"/>
      <c r="G52" s="1153"/>
      <c r="H52" s="1153"/>
      <c r="I52" s="1155"/>
      <c r="J52" s="390"/>
      <c r="K52" s="390"/>
      <c r="L52" s="391"/>
      <c r="P52" s="1156"/>
      <c r="Q52" s="124"/>
      <c r="R52" s="405"/>
      <c r="S52" s="416"/>
      <c r="T52" s="419" t="s">
        <v>401</v>
      </c>
      <c r="U52" s="186"/>
      <c r="V52" s="186"/>
      <c r="W52" s="186"/>
      <c r="X52" s="186"/>
      <c r="Y52" s="186"/>
      <c r="Z52" s="186"/>
      <c r="AA52" s="186"/>
      <c r="AB52" s="186"/>
      <c r="AC52" s="420"/>
      <c r="AD52" s="186"/>
      <c r="AE52" s="186"/>
      <c r="AF52" s="186"/>
      <c r="AG52" s="186"/>
      <c r="AH52" s="186"/>
      <c r="AI52" s="186"/>
      <c r="AJ52" s="186"/>
      <c r="AK52" s="420"/>
      <c r="AL52" s="186"/>
      <c r="AM52" s="421"/>
      <c r="AO52" s="121"/>
      <c r="AP52" s="121" t="str">
        <f t="shared" si="1"/>
        <v>Добавить группу потребителей</v>
      </c>
      <c r="AQ52" s="121"/>
      <c r="AR52" s="121"/>
    </row>
    <row r="53" spans="1:44" ht="14.25" customHeight="1">
      <c r="A53" s="390" t="s">
        <v>158</v>
      </c>
      <c r="B53" s="390" t="s">
        <v>159</v>
      </c>
      <c r="C53" s="390" t="s">
        <v>160</v>
      </c>
      <c r="D53" s="390" t="s">
        <v>161</v>
      </c>
      <c r="E53" s="1153"/>
      <c r="F53" s="1153"/>
      <c r="G53" s="1153"/>
      <c r="H53" s="1153"/>
      <c r="I53" s="390"/>
      <c r="J53" s="390"/>
      <c r="K53" s="390"/>
      <c r="L53" s="391"/>
      <c r="M53" s="392"/>
      <c r="N53" s="392"/>
      <c r="O53" s="49"/>
      <c r="P53" s="134"/>
      <c r="Q53" s="422"/>
      <c r="R53" s="393"/>
      <c r="S53" s="416"/>
      <c r="T53" s="423" t="s">
        <v>402</v>
      </c>
      <c r="U53" s="186"/>
      <c r="V53" s="186"/>
      <c r="W53" s="186"/>
      <c r="X53" s="186"/>
      <c r="Y53" s="186"/>
      <c r="Z53" s="186"/>
      <c r="AA53" s="186"/>
      <c r="AB53" s="186"/>
      <c r="AC53" s="420"/>
      <c r="AD53" s="186"/>
      <c r="AE53" s="186"/>
      <c r="AF53" s="186"/>
      <c r="AG53" s="186"/>
      <c r="AH53" s="186"/>
      <c r="AI53" s="186"/>
      <c r="AJ53" s="186"/>
      <c r="AK53" s="420"/>
      <c r="AL53" s="186"/>
      <c r="AM53" s="421"/>
      <c r="AO53" s="121"/>
      <c r="AP53" s="121" t="str">
        <f t="shared" si="1"/>
        <v>Добавить схему подключения</v>
      </c>
      <c r="AQ53" s="121"/>
      <c r="AR53" s="121"/>
    </row>
    <row r="54" spans="1:44" s="53" customFormat="1" ht="0.75" customHeight="1">
      <c r="A54" s="125" t="s">
        <v>158</v>
      </c>
      <c r="B54" s="125" t="s">
        <v>159</v>
      </c>
      <c r="C54" s="125" t="s">
        <v>160</v>
      </c>
      <c r="D54" s="125"/>
      <c r="E54" s="1153"/>
      <c r="F54" s="1153"/>
      <c r="G54" s="1153"/>
      <c r="H54" s="125"/>
      <c r="I54" s="125"/>
      <c r="J54" s="125"/>
      <c r="K54" s="125"/>
      <c r="L54" s="184"/>
      <c r="M54" s="375"/>
      <c r="N54" s="375"/>
      <c r="P54" s="158"/>
      <c r="Q54" s="424"/>
      <c r="R54" s="158"/>
      <c r="S54" s="429"/>
      <c r="T54" s="432" t="s">
        <v>403</v>
      </c>
      <c r="U54" s="431"/>
      <c r="V54" s="431"/>
      <c r="W54" s="431"/>
      <c r="X54" s="431"/>
      <c r="Y54" s="431"/>
      <c r="Z54" s="431"/>
      <c r="AA54" s="431"/>
      <c r="AB54" s="431"/>
      <c r="AC54" s="431"/>
      <c r="AD54" s="431"/>
      <c r="AE54" s="431"/>
      <c r="AF54" s="431"/>
      <c r="AG54" s="431"/>
      <c r="AH54" s="431"/>
      <c r="AI54" s="431"/>
      <c r="AJ54" s="431"/>
      <c r="AK54" s="431"/>
      <c r="AL54" s="431"/>
      <c r="AM54" s="431"/>
      <c r="AO54" s="121"/>
      <c r="AP54" s="121" t="str">
        <f t="shared" si="1"/>
        <v>Добавить источник для дифференциации</v>
      </c>
      <c r="AQ54" s="121"/>
      <c r="AR54" s="121"/>
    </row>
    <row r="55" spans="1:44" s="53" customFormat="1" ht="0.75" customHeight="1">
      <c r="A55" s="125" t="s">
        <v>158</v>
      </c>
      <c r="B55" s="125" t="s">
        <v>159</v>
      </c>
      <c r="C55" s="125"/>
      <c r="D55" s="125"/>
      <c r="E55" s="1153"/>
      <c r="F55" s="1153"/>
      <c r="G55" s="125"/>
      <c r="H55" s="125"/>
      <c r="I55" s="125"/>
      <c r="J55" s="125"/>
      <c r="K55" s="125"/>
      <c r="L55" s="184"/>
      <c r="M55" s="428"/>
      <c r="N55" s="428"/>
      <c r="P55" s="158"/>
      <c r="Q55" s="424"/>
      <c r="R55" s="158"/>
      <c r="S55" s="429"/>
      <c r="T55" s="432" t="s">
        <v>253</v>
      </c>
      <c r="U55" s="431"/>
      <c r="V55" s="431"/>
      <c r="W55" s="431"/>
      <c r="X55" s="431"/>
      <c r="Y55" s="431"/>
      <c r="Z55" s="431"/>
      <c r="AA55" s="431"/>
      <c r="AB55" s="431"/>
      <c r="AC55" s="431"/>
      <c r="AD55" s="431"/>
      <c r="AE55" s="431"/>
      <c r="AF55" s="431"/>
      <c r="AG55" s="431"/>
      <c r="AH55" s="431"/>
      <c r="AI55" s="431"/>
      <c r="AJ55" s="431"/>
      <c r="AK55" s="431"/>
      <c r="AL55" s="431"/>
      <c r="AM55" s="431"/>
      <c r="AO55" s="121"/>
      <c r="AP55" s="121" t="str">
        <f t="shared" si="1"/>
        <v>Добавить централизованную систему для дифференциации</v>
      </c>
      <c r="AQ55" s="121"/>
      <c r="AR55" s="121"/>
    </row>
    <row r="56" spans="1:44" s="53" customFormat="1" ht="0.75" customHeight="1">
      <c r="A56" s="125" t="s">
        <v>158</v>
      </c>
      <c r="B56" s="125"/>
      <c r="C56" s="125"/>
      <c r="D56" s="125"/>
      <c r="E56" s="1153"/>
      <c r="F56" s="125"/>
      <c r="G56" s="125"/>
      <c r="H56" s="125"/>
      <c r="I56" s="125"/>
      <c r="J56" s="125"/>
      <c r="K56" s="125"/>
      <c r="L56" s="184"/>
      <c r="M56" s="428"/>
      <c r="N56" s="428"/>
      <c r="P56" s="158"/>
      <c r="Q56" s="424"/>
      <c r="R56" s="158"/>
      <c r="S56" s="429"/>
      <c r="T56" s="432" t="s">
        <v>254</v>
      </c>
      <c r="U56" s="431"/>
      <c r="V56" s="431"/>
      <c r="W56" s="431"/>
      <c r="X56" s="431"/>
      <c r="Y56" s="431"/>
      <c r="Z56" s="431"/>
      <c r="AA56" s="431"/>
      <c r="AB56" s="431"/>
      <c r="AC56" s="431"/>
      <c r="AD56" s="431"/>
      <c r="AE56" s="431"/>
      <c r="AF56" s="431"/>
      <c r="AG56" s="431"/>
      <c r="AH56" s="431"/>
      <c r="AI56" s="431"/>
      <c r="AJ56" s="431"/>
      <c r="AK56" s="431"/>
      <c r="AL56" s="431"/>
      <c r="AM56" s="431"/>
      <c r="AO56" s="121"/>
      <c r="AP56" s="121" t="str">
        <f t="shared" si="1"/>
        <v>Добавить территорию для дифференциации</v>
      </c>
      <c r="AQ56" s="121"/>
      <c r="AR56" s="121"/>
    </row>
    <row r="57" spans="1:44" s="53" customFormat="1" ht="0.75" customHeight="1">
      <c r="A57" s="125"/>
      <c r="B57" s="125"/>
      <c r="C57" s="125"/>
      <c r="D57" s="125"/>
      <c r="E57" s="125"/>
      <c r="F57" s="125"/>
      <c r="G57" s="125"/>
      <c r="H57" s="125"/>
      <c r="I57" s="125"/>
      <c r="J57" s="125"/>
      <c r="K57" s="125"/>
      <c r="L57" s="184"/>
      <c r="M57" s="428"/>
      <c r="N57" s="428"/>
      <c r="P57" s="158"/>
      <c r="Q57" s="424"/>
      <c r="R57" s="158"/>
      <c r="S57" s="429"/>
      <c r="T57" s="432" t="s">
        <v>255</v>
      </c>
      <c r="U57" s="431"/>
      <c r="V57" s="431"/>
      <c r="W57" s="431"/>
      <c r="X57" s="431"/>
      <c r="Y57" s="431"/>
      <c r="Z57" s="431"/>
      <c r="AA57" s="431"/>
      <c r="AB57" s="431"/>
      <c r="AC57" s="431"/>
      <c r="AD57" s="431"/>
      <c r="AE57" s="431"/>
      <c r="AF57" s="431"/>
      <c r="AG57" s="431"/>
      <c r="AH57" s="431"/>
      <c r="AI57" s="431"/>
      <c r="AJ57" s="431"/>
      <c r="AK57" s="431"/>
      <c r="AL57" s="431"/>
      <c r="AM57" s="431"/>
      <c r="AO57" s="121"/>
      <c r="AP57" s="121" t="str">
        <f t="shared" si="1"/>
        <v>Добавить наименование тарифа</v>
      </c>
      <c r="AQ57" s="121"/>
      <c r="AR57" s="121"/>
    </row>
    <row r="58" spans="1:44" ht="11.25" customHeight="1">
      <c r="M58" s="49"/>
      <c r="N58" s="49"/>
      <c r="O58" s="49"/>
      <c r="P58" s="46"/>
      <c r="Q58" s="46"/>
      <c r="R58" s="46"/>
      <c r="S58" s="46"/>
      <c r="AN58" s="46"/>
      <c r="AO58" s="46"/>
      <c r="AP58" s="46"/>
      <c r="AQ58" s="46"/>
      <c r="AR58" s="46"/>
    </row>
    <row r="59" spans="1:44" ht="27" customHeight="1">
      <c r="O59" s="49"/>
      <c r="S59" s="387"/>
      <c r="T59" s="1171"/>
      <c r="U59" s="1171"/>
      <c r="V59" s="1171"/>
      <c r="W59" s="1171"/>
      <c r="X59" s="1171"/>
      <c r="Y59" s="1171"/>
      <c r="Z59" s="1171"/>
      <c r="AA59" s="1171"/>
      <c r="AB59" s="1171"/>
      <c r="AC59" s="1171"/>
      <c r="AD59" s="1171"/>
      <c r="AE59" s="1171"/>
      <c r="AF59" s="1171"/>
      <c r="AG59" s="1171"/>
      <c r="AH59" s="1171"/>
      <c r="AI59" s="1171"/>
      <c r="AJ59" s="1171"/>
      <c r="AK59" s="1171"/>
      <c r="AL59" s="1171"/>
      <c r="AM59" s="1171"/>
    </row>
    <row r="60" spans="1:44" ht="62.25" customHeight="1">
      <c r="O60" s="49"/>
      <c r="T60" s="1171"/>
      <c r="U60" s="1171"/>
      <c r="V60" s="1171"/>
      <c r="W60" s="1171"/>
      <c r="X60" s="1171"/>
      <c r="Y60" s="1171"/>
      <c r="Z60" s="1171"/>
      <c r="AA60" s="1171"/>
      <c r="AB60" s="1171"/>
      <c r="AC60" s="1171"/>
      <c r="AD60" s="1171"/>
      <c r="AE60" s="1171"/>
      <c r="AF60" s="1171"/>
      <c r="AG60" s="1171"/>
      <c r="AH60" s="1171"/>
      <c r="AI60" s="1171"/>
      <c r="AJ60" s="1171"/>
      <c r="AK60" s="1171"/>
      <c r="AL60" s="1171"/>
      <c r="AM60" s="1171"/>
    </row>
    <row r="61" spans="1:44" ht="14.25" customHeight="1">
      <c r="O61" s="49"/>
    </row>
    <row r="62" spans="1:44" ht="18" customHeight="1">
      <c r="O62" s="49"/>
      <c r="S62" s="387"/>
      <c r="T62" s="1171"/>
      <c r="U62" s="1171"/>
      <c r="V62" s="1171"/>
      <c r="W62" s="1171"/>
      <c r="X62" s="1171"/>
      <c r="Y62" s="1171"/>
      <c r="Z62" s="1171"/>
      <c r="AA62" s="1171"/>
      <c r="AB62" s="1171"/>
      <c r="AC62" s="1171"/>
      <c r="AD62" s="1171"/>
      <c r="AE62" s="1171"/>
      <c r="AF62" s="1171"/>
      <c r="AG62" s="1171"/>
      <c r="AH62" s="1171"/>
      <c r="AI62" s="1171"/>
      <c r="AJ62" s="1171"/>
      <c r="AK62" s="1171"/>
      <c r="AL62" s="1171"/>
      <c r="AM62" s="1171"/>
    </row>
    <row r="63" spans="1:44" ht="18" customHeight="1">
      <c r="O63" s="49"/>
      <c r="T63" s="1171"/>
      <c r="U63" s="1171"/>
      <c r="V63" s="1171"/>
      <c r="W63" s="1171"/>
      <c r="X63" s="1171"/>
      <c r="Y63" s="1171"/>
      <c r="Z63" s="1171"/>
      <c r="AA63" s="1171"/>
      <c r="AB63" s="1171"/>
      <c r="AC63" s="1171"/>
      <c r="AD63" s="1171"/>
      <c r="AE63" s="1171"/>
      <c r="AF63" s="1171"/>
      <c r="AG63" s="1171"/>
      <c r="AH63" s="1171"/>
      <c r="AI63" s="1171"/>
      <c r="AJ63" s="1171"/>
      <c r="AK63" s="1171"/>
      <c r="AL63" s="1171"/>
      <c r="AM63" s="1171"/>
    </row>
    <row r="64" spans="1:44" ht="27.75" customHeight="1">
      <c r="O64" s="49"/>
      <c r="S64" s="387"/>
      <c r="T64" s="1171"/>
      <c r="U64" s="1171"/>
      <c r="V64" s="1171"/>
      <c r="W64" s="1171"/>
      <c r="X64" s="1171"/>
      <c r="Y64" s="1171"/>
      <c r="Z64" s="1171"/>
      <c r="AA64" s="1171"/>
      <c r="AB64" s="1171"/>
      <c r="AC64" s="1171"/>
      <c r="AD64" s="1171"/>
      <c r="AE64" s="1171"/>
      <c r="AF64" s="1171"/>
      <c r="AG64" s="1171"/>
      <c r="AH64" s="1171"/>
      <c r="AI64" s="1171"/>
      <c r="AJ64" s="1171"/>
      <c r="AK64" s="1171"/>
      <c r="AL64" s="1171"/>
      <c r="AM64" s="1171"/>
    </row>
  </sheetData>
  <mergeCells count="112">
    <mergeCell ref="T60:AM60"/>
    <mergeCell ref="T62:AM62"/>
    <mergeCell ref="T63:AM63"/>
    <mergeCell ref="T64:AM64"/>
    <mergeCell ref="AA49:AA50"/>
    <mergeCell ref="AB49:AB50"/>
    <mergeCell ref="AC49:AC50"/>
    <mergeCell ref="AH49:AH50"/>
    <mergeCell ref="AI49:AI50"/>
    <mergeCell ref="AJ49:AJ50"/>
    <mergeCell ref="AK49:AK50"/>
    <mergeCell ref="AM49:AM51"/>
    <mergeCell ref="T59:AM59"/>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S32:T32"/>
    <mergeCell ref="V32:AB32"/>
    <mergeCell ref="AD32:AJ32"/>
    <mergeCell ref="S34:T34"/>
    <mergeCell ref="V34:AB34"/>
    <mergeCell ref="AD34:AJ34"/>
    <mergeCell ref="S35:T35"/>
    <mergeCell ref="V35:AB35"/>
    <mergeCell ref="AD35:AJ35"/>
    <mergeCell ref="S26:AJ26"/>
    <mergeCell ref="S27:AJ27"/>
    <mergeCell ref="S29:T29"/>
    <mergeCell ref="V29:AB29"/>
    <mergeCell ref="AD29:AJ29"/>
    <mergeCell ref="S30:T30"/>
    <mergeCell ref="V30:AB30"/>
    <mergeCell ref="AD30:AJ30"/>
    <mergeCell ref="S31:T31"/>
    <mergeCell ref="V31:AB31"/>
    <mergeCell ref="AD31:AJ31"/>
    <mergeCell ref="AC8:AC9"/>
    <mergeCell ref="AH8:AH9"/>
    <mergeCell ref="AI8:AI9"/>
    <mergeCell ref="AJ8:AJ9"/>
    <mergeCell ref="AK8:AK9"/>
    <mergeCell ref="AM8:AM10"/>
    <mergeCell ref="AH17:AH18"/>
    <mergeCell ref="AI17:AI18"/>
    <mergeCell ref="AJ17:AJ18"/>
    <mergeCell ref="AK17:AK18"/>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s>
  <dataValidations count="3">
    <dataValidation allowBlank="1" showInputMessage="1" showErrorMessage="1" prompt="Для выбора выполните двойной щелчок левой клавиши мыши по соответствующей ячейке." sqref="AA8 AC8 AI8 AK8 AI17 AK17 AA49 AC49 AI49 AK49">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formula1>0</formula1>
      <formula2>0</formula2>
    </dataValidation>
    <dataValidation allowBlank="1" promptTitle="checkPeriodRange" sqref="Y9 AG9 AG18 Y50 AG50">
      <formula1>0</formula1>
      <formula2>0</formula2>
    </dataValidation>
  </dataValidations>
  <pageMargins left="0.7" right="0.7" top="0.625" bottom="0.62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R64"/>
  <sheetViews>
    <sheetView showGridLines="0" topLeftCell="P25"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2" style="49" hidden="1" customWidth="1"/>
    <col min="10" max="10" width="9.85546875" style="49" hidden="1" customWidth="1"/>
    <col min="11" max="11" width="11.42578125" style="49" hidden="1" customWidth="1"/>
    <col min="12" max="12" width="19.140625" style="107" hidden="1" customWidth="1"/>
    <col min="13" max="14" width="12.28515625" style="57" hidden="1" customWidth="1"/>
    <col min="15" max="15" width="23.42578125" style="57" hidden="1" customWidth="1"/>
    <col min="16" max="16" width="3.7109375" style="56" customWidth="1"/>
    <col min="17" max="18" width="3.7109375" style="389" customWidth="1"/>
    <col min="19" max="19" width="12.7109375" style="254" customWidth="1"/>
    <col min="20" max="20" width="32" style="46" customWidth="1"/>
    <col min="21" max="21" width="0.7109375" style="46" hidden="1" customWidth="1"/>
    <col min="22" max="22" width="1.7109375" style="46" hidden="1" customWidth="1"/>
    <col min="23" max="23" width="24.7109375" style="46" hidden="1" customWidth="1"/>
    <col min="24" max="25" width="0.140625" style="46" hidden="1" customWidth="1"/>
    <col min="26" max="26" width="11.7109375" style="46" hidden="1" customWidth="1"/>
    <col min="27" max="27" width="3.7109375" style="46" hidden="1" customWidth="1"/>
    <col min="28" max="28" width="11.7109375" style="46" hidden="1" customWidth="1"/>
    <col min="29" max="29" width="8.5703125" style="46" hidden="1" customWidth="1"/>
    <col min="30" max="30" width="0.140625" style="46" customWidth="1"/>
    <col min="31" max="31" width="24.7109375" style="46" customWidth="1"/>
    <col min="32" max="33" width="0.140625" style="46" customWidth="1"/>
    <col min="34" max="34" width="11.7109375" style="46" customWidth="1"/>
    <col min="35" max="35" width="3.7109375" style="46" customWidth="1"/>
    <col min="36" max="36" width="11.7109375" style="46" customWidth="1"/>
    <col min="37" max="37" width="8.5703125" style="46" hidden="1" customWidth="1"/>
    <col min="38" max="38" width="4.7109375" style="46" customWidth="1"/>
    <col min="39" max="39" width="115.7109375" style="46" customWidth="1"/>
    <col min="40" max="41" width="10.5703125" style="53"/>
    <col min="42" max="42" width="11.140625" style="53" customWidth="1"/>
    <col min="43" max="44" width="10.5703125" style="53"/>
  </cols>
  <sheetData>
    <row r="1" spans="1:44" ht="14.25" hidden="1" customHeight="1"/>
    <row r="2" spans="1:44" ht="21"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c r="AD2" s="1154" t="e">
        <f>INDEX(PT_DIFFERENTIATION_NTAR,MATCH(A2,PT_DIFFERENTIATION_NTAR_ID,0))</f>
        <v>#N/A</v>
      </c>
      <c r="AE2" s="1154"/>
      <c r="AF2" s="1154"/>
      <c r="AG2" s="1154"/>
      <c r="AH2" s="1154"/>
      <c r="AI2" s="1154"/>
      <c r="AJ2" s="1154"/>
      <c r="AK2" s="1154"/>
      <c r="AL2" s="1154"/>
      <c r="AM2" s="397" t="s">
        <v>385</v>
      </c>
      <c r="AO2" s="121"/>
      <c r="AP2" s="121" t="str">
        <f t="shared" ref="AP2:AP15" si="0">IF(T2="","",T2)</f>
        <v>Наименование тарифа</v>
      </c>
      <c r="AQ2" s="121"/>
      <c r="AR2" s="121"/>
    </row>
    <row r="3" spans="1:44" ht="21"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c r="AD3" s="1154" t="e">
        <f>INDEX(PT_DIFFERENTIATION_TER,MATCH(B3,PT_DIFFERENTIATION_TER_ID,0))</f>
        <v>#N/A</v>
      </c>
      <c r="AE3" s="1154"/>
      <c r="AF3" s="1154"/>
      <c r="AG3" s="1154"/>
      <c r="AH3" s="1154"/>
      <c r="AI3" s="1154"/>
      <c r="AJ3" s="1154"/>
      <c r="AK3" s="1154"/>
      <c r="AL3" s="1154"/>
      <c r="AM3" s="397" t="s">
        <v>387</v>
      </c>
      <c r="AO3" s="121"/>
      <c r="AP3" s="121" t="str">
        <f t="shared" si="0"/>
        <v>Территория действия тарифа</v>
      </c>
      <c r="AQ3" s="121"/>
      <c r="AR3" s="121"/>
    </row>
    <row r="4" spans="1:44"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388</v>
      </c>
      <c r="U4" s="396"/>
      <c r="V4" s="1154"/>
      <c r="W4" s="1154"/>
      <c r="X4" s="1154"/>
      <c r="Y4" s="1154"/>
      <c r="Z4" s="1154"/>
      <c r="AA4" s="1154"/>
      <c r="AB4" s="1154"/>
      <c r="AC4" s="1154"/>
      <c r="AD4" s="1154" t="e">
        <f>INDEX(PT_DIFFERENTIATION_CS,MATCH(C4,PT_DIFFERENTIATION_CS_ID,0))</f>
        <v>#N/A</v>
      </c>
      <c r="AE4" s="1154"/>
      <c r="AF4" s="1154"/>
      <c r="AG4" s="1154"/>
      <c r="AH4" s="1154"/>
      <c r="AI4" s="1154"/>
      <c r="AJ4" s="1154"/>
      <c r="AK4" s="1154"/>
      <c r="AL4" s="1154"/>
      <c r="AM4" s="397" t="s">
        <v>389</v>
      </c>
      <c r="AO4" s="121"/>
      <c r="AP4" s="121" t="str">
        <f t="shared" si="0"/>
        <v xml:space="preserve">Наименование системы теплоснабжения </v>
      </c>
      <c r="AQ4" s="121"/>
      <c r="AR4" s="121"/>
    </row>
    <row r="5" spans="1:44" ht="21" hidden="1" customHeight="1">
      <c r="A5" s="390"/>
      <c r="B5" s="390"/>
      <c r="C5" s="390"/>
      <c r="D5" s="390"/>
      <c r="E5" s="1153"/>
      <c r="F5" s="1153"/>
      <c r="G5" s="1153"/>
      <c r="H5" s="1153">
        <v>1</v>
      </c>
      <c r="I5" s="390"/>
      <c r="J5" s="390"/>
      <c r="K5" s="390"/>
      <c r="L5" s="391"/>
      <c r="M5" s="392"/>
      <c r="N5" s="392"/>
      <c r="O5" s="392"/>
      <c r="P5" s="401"/>
      <c r="Q5" s="398"/>
      <c r="R5" s="399"/>
      <c r="S5" s="394" t="e">
        <f>INDEX(PT_DIFFERENTIATION_NUM_IST_TE,MATCH(D5,PT_DIFFERENTIATION_IST_TE_ID,0))</f>
        <v>#N/A</v>
      </c>
      <c r="T5" s="403" t="s">
        <v>390</v>
      </c>
      <c r="U5" s="396"/>
      <c r="V5" s="1154"/>
      <c r="W5" s="1154"/>
      <c r="X5" s="1154"/>
      <c r="Y5" s="1154"/>
      <c r="Z5" s="1154"/>
      <c r="AA5" s="1154"/>
      <c r="AB5" s="1154"/>
      <c r="AC5" s="1154"/>
      <c r="AD5" s="1154" t="e">
        <f>INDEX(PT_DIFFERENTIATION_IST_TE,MATCH(D5,PT_DIFFERENTIATION_IST_TE_ID,0))</f>
        <v>#N/A</v>
      </c>
      <c r="AE5" s="1154"/>
      <c r="AF5" s="1154"/>
      <c r="AG5" s="1154"/>
      <c r="AH5" s="1154"/>
      <c r="AI5" s="1154"/>
      <c r="AJ5" s="1154"/>
      <c r="AK5" s="1154"/>
      <c r="AL5" s="1154"/>
      <c r="AM5" s="397" t="s">
        <v>391</v>
      </c>
      <c r="AO5" s="121"/>
      <c r="AP5" s="121" t="str">
        <f t="shared" si="0"/>
        <v xml:space="preserve">Источник тепловой энергии  </v>
      </c>
      <c r="AQ5" s="121"/>
      <c r="AR5" s="121"/>
    </row>
    <row r="6" spans="1:44" ht="47.25" hidden="1" customHeight="1">
      <c r="A6" s="390"/>
      <c r="B6" s="390"/>
      <c r="C6" s="390"/>
      <c r="D6" s="390"/>
      <c r="E6" s="1153"/>
      <c r="F6" s="1153"/>
      <c r="G6" s="1153"/>
      <c r="H6" s="1153"/>
      <c r="I6" s="1155" t="e">
        <f>S5&amp;".1"</f>
        <v>#N/A</v>
      </c>
      <c r="J6" s="390"/>
      <c r="K6" s="390"/>
      <c r="L6" s="391" t="s">
        <v>392</v>
      </c>
      <c r="M6" s="49"/>
      <c r="P6" s="1156">
        <v>1</v>
      </c>
      <c r="Q6" s="124"/>
      <c r="R6" s="405"/>
      <c r="S6" s="394" t="e">
        <f>$I6</f>
        <v>#N/A</v>
      </c>
      <c r="T6" s="406" t="s">
        <v>393</v>
      </c>
      <c r="U6" s="396"/>
      <c r="V6" s="1157"/>
      <c r="W6" s="1157"/>
      <c r="X6" s="1157"/>
      <c r="Y6" s="1157"/>
      <c r="Z6" s="1157"/>
      <c r="AA6" s="1157"/>
      <c r="AB6" s="1157"/>
      <c r="AC6" s="1157"/>
      <c r="AD6" s="1157"/>
      <c r="AE6" s="1157"/>
      <c r="AF6" s="1157"/>
      <c r="AG6" s="1157"/>
      <c r="AH6" s="1157"/>
      <c r="AI6" s="1157"/>
      <c r="AJ6" s="1157"/>
      <c r="AK6" s="1157"/>
      <c r="AL6" s="1157"/>
      <c r="AM6" s="397" t="s">
        <v>394</v>
      </c>
      <c r="AO6" s="121"/>
      <c r="AP6" s="121" t="str">
        <f t="shared" si="0"/>
        <v>Схема подключения теплопотребляющей установки к коллектору источника тепловой энергии</v>
      </c>
      <c r="AQ6" s="121"/>
      <c r="AR6" s="121"/>
    </row>
    <row r="7" spans="1:44" ht="21" hidden="1" customHeight="1">
      <c r="A7" s="390"/>
      <c r="B7" s="390"/>
      <c r="C7" s="390"/>
      <c r="D7" s="390"/>
      <c r="E7" s="1153"/>
      <c r="F7" s="1153"/>
      <c r="G7" s="1153"/>
      <c r="H7" s="1153"/>
      <c r="I7" s="1155"/>
      <c r="J7" s="1155" t="e">
        <f>I6&amp;".1"</f>
        <v>#N/A</v>
      </c>
      <c r="K7" s="390"/>
      <c r="L7" s="391" t="s">
        <v>395</v>
      </c>
      <c r="M7" s="49"/>
      <c r="N7" s="49"/>
      <c r="P7" s="1156"/>
      <c r="Q7" s="1156">
        <v>1</v>
      </c>
      <c r="R7" s="408"/>
      <c r="S7" s="394" t="e">
        <f>$J7</f>
        <v>#N/A</v>
      </c>
      <c r="T7" s="409" t="s">
        <v>396</v>
      </c>
      <c r="U7" s="396"/>
      <c r="V7" s="1157"/>
      <c r="W7" s="1157"/>
      <c r="X7" s="1157"/>
      <c r="Y7" s="1157"/>
      <c r="Z7" s="1157"/>
      <c r="AA7" s="1157"/>
      <c r="AB7" s="1157"/>
      <c r="AC7" s="1157"/>
      <c r="AD7" s="1157"/>
      <c r="AE7" s="1157"/>
      <c r="AF7" s="1157"/>
      <c r="AG7" s="1157"/>
      <c r="AH7" s="1157"/>
      <c r="AI7" s="1157"/>
      <c r="AJ7" s="1157"/>
      <c r="AK7" s="1157"/>
      <c r="AL7" s="1157"/>
      <c r="AM7" s="397" t="s">
        <v>397</v>
      </c>
      <c r="AO7" s="121"/>
      <c r="AP7" s="121" t="str">
        <f t="shared" si="0"/>
        <v>Группа потребителей</v>
      </c>
      <c r="AQ7" s="121"/>
      <c r="AR7" s="121"/>
    </row>
    <row r="8" spans="1:44" ht="21" hidden="1" customHeight="1">
      <c r="A8" s="390"/>
      <c r="B8" s="390"/>
      <c r="C8" s="390"/>
      <c r="D8" s="390"/>
      <c r="E8" s="1153"/>
      <c r="F8" s="1153"/>
      <c r="G8" s="1153"/>
      <c r="H8" s="1153"/>
      <c r="I8" s="1155"/>
      <c r="J8" s="1155"/>
      <c r="K8" s="1155" t="e">
        <f>J7&amp;".1"</f>
        <v>#N/A</v>
      </c>
      <c r="L8" s="391" t="s">
        <v>398</v>
      </c>
      <c r="M8" s="49"/>
      <c r="N8" s="49"/>
      <c r="O8" s="49"/>
      <c r="P8" s="1156"/>
      <c r="Q8" s="1156"/>
      <c r="R8" s="408">
        <v>1</v>
      </c>
      <c r="S8" s="394" t="e">
        <f>$K8</f>
        <v>#N/A</v>
      </c>
      <c r="T8" s="410"/>
      <c r="U8" s="396"/>
      <c r="V8" s="412"/>
      <c r="W8" s="411"/>
      <c r="X8" s="412"/>
      <c r="Y8" s="457"/>
      <c r="Z8" s="1158"/>
      <c r="AA8" s="1105" t="s">
        <v>63</v>
      </c>
      <c r="AB8" s="1158"/>
      <c r="AC8" s="1105" t="s">
        <v>63</v>
      </c>
      <c r="AD8" s="412"/>
      <c r="AE8" s="411"/>
      <c r="AF8" s="412"/>
      <c r="AG8" s="457"/>
      <c r="AH8" s="1158"/>
      <c r="AI8" s="1105" t="s">
        <v>63</v>
      </c>
      <c r="AJ8" s="1158"/>
      <c r="AK8" s="1105" t="s">
        <v>63</v>
      </c>
      <c r="AL8" s="412"/>
      <c r="AM8" s="1159" t="s">
        <v>399</v>
      </c>
      <c r="AN8" s="53" t="e">
        <f ca="1">strcheckdate(V9:AL9)</f>
        <v>#NAME?</v>
      </c>
      <c r="AO8" s="121"/>
      <c r="AP8" s="121" t="str">
        <f t="shared" si="0"/>
        <v/>
      </c>
      <c r="AQ8" s="121"/>
      <c r="AR8" s="121"/>
    </row>
    <row r="9" spans="1:44" ht="0.75" hidden="1" customHeight="1">
      <c r="A9" s="390"/>
      <c r="B9" s="390"/>
      <c r="C9" s="390"/>
      <c r="D9" s="390"/>
      <c r="E9" s="1153"/>
      <c r="F9" s="1153"/>
      <c r="G9" s="1153"/>
      <c r="H9" s="1153"/>
      <c r="I9" s="1155"/>
      <c r="J9" s="1155"/>
      <c r="K9" s="1155"/>
      <c r="L9" s="391"/>
      <c r="M9" s="49"/>
      <c r="N9" s="49"/>
      <c r="O9" s="49"/>
      <c r="P9" s="1156"/>
      <c r="Q9" s="1156"/>
      <c r="R9" s="408"/>
      <c r="S9" s="370"/>
      <c r="T9" s="396"/>
      <c r="U9" s="396"/>
      <c r="V9" s="412"/>
      <c r="W9" s="412"/>
      <c r="X9" s="412"/>
      <c r="Y9" s="415" t="str">
        <f>Z8&amp;"-"&amp;AB8</f>
        <v>-</v>
      </c>
      <c r="Z9" s="1158"/>
      <c r="AA9" s="1105"/>
      <c r="AB9" s="1158"/>
      <c r="AC9" s="1105"/>
      <c r="AD9" s="412"/>
      <c r="AE9" s="412"/>
      <c r="AF9" s="412"/>
      <c r="AG9" s="415" t="str">
        <f>AH8&amp;"-"&amp;AJ8</f>
        <v>-</v>
      </c>
      <c r="AH9" s="1158"/>
      <c r="AI9" s="1105"/>
      <c r="AJ9" s="1158"/>
      <c r="AK9" s="1105"/>
      <c r="AL9" s="412"/>
      <c r="AM9" s="1159"/>
      <c r="AO9" s="121"/>
      <c r="AP9" s="121" t="str">
        <f t="shared" si="0"/>
        <v/>
      </c>
      <c r="AQ9" s="121"/>
      <c r="AR9" s="121"/>
    </row>
    <row r="10" spans="1:44" ht="15" hidden="1" customHeight="1">
      <c r="A10" s="390"/>
      <c r="B10" s="390"/>
      <c r="C10" s="390"/>
      <c r="D10" s="390"/>
      <c r="E10" s="1153"/>
      <c r="F10" s="1153"/>
      <c r="G10" s="1153"/>
      <c r="H10" s="1153"/>
      <c r="I10" s="1155"/>
      <c r="J10" s="1155"/>
      <c r="K10" s="390"/>
      <c r="L10" s="391"/>
      <c r="M10" s="49"/>
      <c r="N10" s="49"/>
      <c r="P10" s="1156"/>
      <c r="Q10" s="1156"/>
      <c r="R10" s="405"/>
      <c r="S10" s="416"/>
      <c r="T10" s="417" t="s">
        <v>400</v>
      </c>
      <c r="U10" s="186"/>
      <c r="V10" s="186"/>
      <c r="W10" s="186"/>
      <c r="X10" s="186"/>
      <c r="Y10" s="186"/>
      <c r="Z10" s="186"/>
      <c r="AA10" s="186"/>
      <c r="AB10" s="186"/>
      <c r="AC10" s="186"/>
      <c r="AD10" s="186"/>
      <c r="AE10" s="186"/>
      <c r="AF10" s="186"/>
      <c r="AG10" s="186"/>
      <c r="AH10" s="186"/>
      <c r="AI10" s="186"/>
      <c r="AJ10" s="186"/>
      <c r="AK10" s="186"/>
      <c r="AL10" s="418"/>
      <c r="AM10" s="1159"/>
      <c r="AO10" s="121"/>
      <c r="AP10" s="121" t="str">
        <f t="shared" si="0"/>
        <v>Добавить вид теплоносителя (параметры теплоносителя)</v>
      </c>
      <c r="AQ10" s="121"/>
      <c r="AR10" s="121"/>
    </row>
    <row r="11" spans="1:44" ht="15" hidden="1" customHeight="1">
      <c r="A11" s="390"/>
      <c r="B11" s="390"/>
      <c r="C11" s="390"/>
      <c r="D11" s="390"/>
      <c r="E11" s="1153"/>
      <c r="F11" s="1153"/>
      <c r="G11" s="1153"/>
      <c r="H11" s="1153"/>
      <c r="I11" s="1155"/>
      <c r="J11" s="390"/>
      <c r="K11" s="390"/>
      <c r="L11" s="391"/>
      <c r="M11" s="49"/>
      <c r="P11" s="1156"/>
      <c r="Q11" s="124"/>
      <c r="R11" s="405"/>
      <c r="S11" s="416"/>
      <c r="T11" s="419" t="s">
        <v>401</v>
      </c>
      <c r="U11" s="186"/>
      <c r="V11" s="186"/>
      <c r="W11" s="186"/>
      <c r="X11" s="186"/>
      <c r="Y11" s="186"/>
      <c r="Z11" s="186"/>
      <c r="AA11" s="186"/>
      <c r="AB11" s="186"/>
      <c r="AC11" s="420"/>
      <c r="AD11" s="186"/>
      <c r="AE11" s="186"/>
      <c r="AF11" s="186"/>
      <c r="AG11" s="186"/>
      <c r="AH11" s="186"/>
      <c r="AI11" s="186"/>
      <c r="AJ11" s="186"/>
      <c r="AK11" s="420"/>
      <c r="AL11" s="186"/>
      <c r="AM11" s="421"/>
      <c r="AO11" s="121"/>
      <c r="AP11" s="121" t="str">
        <f t="shared" si="0"/>
        <v>Добавить группу потребителей</v>
      </c>
      <c r="AQ11" s="121"/>
      <c r="AR11" s="121"/>
    </row>
    <row r="12" spans="1:44" ht="14.25" hidden="1" customHeight="1">
      <c r="A12" s="390"/>
      <c r="B12" s="390"/>
      <c r="C12" s="390"/>
      <c r="D12" s="390"/>
      <c r="E12" s="1153"/>
      <c r="F12" s="1153"/>
      <c r="G12" s="1153"/>
      <c r="H12" s="1153"/>
      <c r="I12" s="390"/>
      <c r="J12" s="390"/>
      <c r="K12" s="390"/>
      <c r="L12" s="391"/>
      <c r="M12" s="392"/>
      <c r="N12" s="392"/>
      <c r="O12" s="49"/>
      <c r="P12" s="134"/>
      <c r="Q12" s="422"/>
      <c r="R12" s="393"/>
      <c r="S12" s="416"/>
      <c r="T12" s="423" t="s">
        <v>402</v>
      </c>
      <c r="U12" s="186"/>
      <c r="V12" s="186"/>
      <c r="W12" s="186"/>
      <c r="X12" s="186"/>
      <c r="Y12" s="186"/>
      <c r="Z12" s="186"/>
      <c r="AA12" s="186"/>
      <c r="AB12" s="186"/>
      <c r="AC12" s="420"/>
      <c r="AD12" s="186"/>
      <c r="AE12" s="186"/>
      <c r="AF12" s="186"/>
      <c r="AG12" s="186"/>
      <c r="AH12" s="186"/>
      <c r="AI12" s="186"/>
      <c r="AJ12" s="186"/>
      <c r="AK12" s="420"/>
      <c r="AL12" s="186"/>
      <c r="AM12" s="421"/>
      <c r="AO12" s="121"/>
      <c r="AP12" s="121" t="str">
        <f t="shared" si="0"/>
        <v>Добавить схему подключения</v>
      </c>
      <c r="AQ12" s="121"/>
      <c r="AR12" s="121"/>
    </row>
    <row r="13" spans="1:44" s="53" customFormat="1" ht="0.75" hidden="1" customHeight="1">
      <c r="A13" s="125"/>
      <c r="B13" s="125"/>
      <c r="C13" s="125"/>
      <c r="D13" s="125"/>
      <c r="E13" s="1153"/>
      <c r="F13" s="1153"/>
      <c r="G13" s="1153"/>
      <c r="H13" s="125"/>
      <c r="I13" s="125"/>
      <c r="J13" s="125"/>
      <c r="K13" s="125"/>
      <c r="L13" s="184"/>
      <c r="M13" s="375"/>
      <c r="N13" s="375"/>
      <c r="P13" s="158"/>
      <c r="Q13" s="424"/>
      <c r="R13" s="158"/>
      <c r="S13" s="425"/>
      <c r="T13" s="426" t="s">
        <v>403</v>
      </c>
      <c r="U13" s="427"/>
      <c r="V13" s="427"/>
      <c r="W13" s="427"/>
      <c r="X13" s="427"/>
      <c r="Y13" s="427"/>
      <c r="Z13" s="427"/>
      <c r="AA13" s="427"/>
      <c r="AB13" s="427"/>
      <c r="AC13" s="427"/>
      <c r="AD13" s="427"/>
      <c r="AE13" s="427"/>
      <c r="AF13" s="427"/>
      <c r="AG13" s="427"/>
      <c r="AH13" s="427"/>
      <c r="AI13" s="427"/>
      <c r="AJ13" s="427"/>
      <c r="AK13" s="427"/>
      <c r="AL13" s="427"/>
      <c r="AM13" s="427"/>
      <c r="AO13" s="121"/>
      <c r="AP13" s="121" t="str">
        <f t="shared" si="0"/>
        <v>Добавить источник для дифференциации</v>
      </c>
      <c r="AQ13" s="121"/>
      <c r="AR13" s="121"/>
    </row>
    <row r="14" spans="1:44" s="53" customFormat="1" ht="0.75" hidden="1" customHeight="1">
      <c r="A14" s="125"/>
      <c r="B14" s="125"/>
      <c r="C14" s="125"/>
      <c r="D14" s="125"/>
      <c r="E14" s="1153"/>
      <c r="F14" s="1153"/>
      <c r="G14" s="125"/>
      <c r="H14" s="125"/>
      <c r="I14" s="125"/>
      <c r="J14" s="125"/>
      <c r="K14" s="125"/>
      <c r="L14" s="184"/>
      <c r="M14" s="428"/>
      <c r="N14" s="428"/>
      <c r="P14" s="158"/>
      <c r="Q14" s="424"/>
      <c r="R14" s="158"/>
      <c r="S14" s="429"/>
      <c r="T14" s="430" t="s">
        <v>253</v>
      </c>
      <c r="U14" s="431"/>
      <c r="V14" s="431"/>
      <c r="W14" s="431"/>
      <c r="X14" s="431"/>
      <c r="Y14" s="431"/>
      <c r="Z14" s="431"/>
      <c r="AA14" s="431"/>
      <c r="AB14" s="431"/>
      <c r="AC14" s="431"/>
      <c r="AD14" s="431"/>
      <c r="AE14" s="431"/>
      <c r="AF14" s="431"/>
      <c r="AG14" s="431"/>
      <c r="AH14" s="431"/>
      <c r="AI14" s="431"/>
      <c r="AJ14" s="431"/>
      <c r="AK14" s="431"/>
      <c r="AL14" s="431"/>
      <c r="AM14" s="431"/>
      <c r="AO14" s="121"/>
      <c r="AP14" s="121" t="str">
        <f t="shared" si="0"/>
        <v>Добавить централизованную систему для дифференциации</v>
      </c>
      <c r="AQ14" s="121"/>
      <c r="AR14" s="121"/>
    </row>
    <row r="15" spans="1:44" s="53" customFormat="1" ht="0.75" hidden="1" customHeight="1">
      <c r="A15" s="125"/>
      <c r="B15" s="125"/>
      <c r="C15" s="125"/>
      <c r="D15" s="125"/>
      <c r="E15" s="1153"/>
      <c r="F15" s="125"/>
      <c r="G15" s="125"/>
      <c r="H15" s="125"/>
      <c r="I15" s="125"/>
      <c r="J15" s="125"/>
      <c r="K15" s="125"/>
      <c r="L15" s="184"/>
      <c r="M15" s="428"/>
      <c r="N15" s="428"/>
      <c r="P15" s="158"/>
      <c r="Q15" s="424"/>
      <c r="R15" s="158"/>
      <c r="S15" s="429"/>
      <c r="T15" s="432" t="s">
        <v>254</v>
      </c>
      <c r="U15" s="431"/>
      <c r="V15" s="431"/>
      <c r="W15" s="431"/>
      <c r="X15" s="431"/>
      <c r="Y15" s="431"/>
      <c r="Z15" s="431"/>
      <c r="AA15" s="431"/>
      <c r="AB15" s="431"/>
      <c r="AC15" s="431"/>
      <c r="AD15" s="431"/>
      <c r="AE15" s="431"/>
      <c r="AF15" s="431"/>
      <c r="AG15" s="431"/>
      <c r="AH15" s="431"/>
      <c r="AI15" s="431"/>
      <c r="AJ15" s="431"/>
      <c r="AK15" s="431"/>
      <c r="AL15" s="431"/>
      <c r="AM15" s="431"/>
      <c r="AO15" s="121"/>
      <c r="AP15" s="121" t="str">
        <f t="shared" si="0"/>
        <v>Добавить территорию для дифференциации</v>
      </c>
      <c r="AQ15" s="121"/>
      <c r="AR15" s="121"/>
    </row>
    <row r="16" spans="1:44" ht="14.25" hidden="1" customHeight="1"/>
    <row r="17" spans="1:44" ht="14.25" hidden="1" customHeight="1">
      <c r="AD17" s="433"/>
      <c r="AE17" s="433"/>
      <c r="AF17" s="433"/>
      <c r="AG17" s="434"/>
      <c r="AH17" s="1160"/>
      <c r="AI17" s="1161" t="s">
        <v>63</v>
      </c>
      <c r="AJ17" s="1160"/>
      <c r="AK17" s="1161" t="s">
        <v>63</v>
      </c>
    </row>
    <row r="18" spans="1:44" ht="14.25" hidden="1" customHeight="1">
      <c r="AD18" s="433"/>
      <c r="AE18" s="433"/>
      <c r="AF18" s="433"/>
      <c r="AG18" s="415" t="str">
        <f>AH17&amp;"-"&amp;AJ17</f>
        <v>-</v>
      </c>
      <c r="AH18" s="1160"/>
      <c r="AI18" s="1160"/>
      <c r="AJ18" s="1160"/>
      <c r="AK18" s="1160"/>
    </row>
    <row r="19" spans="1:44" ht="14.25" hidden="1" customHeight="1"/>
    <row r="20" spans="1:44" s="49" customFormat="1" ht="22.5" hidden="1" customHeight="1">
      <c r="L20" s="107"/>
      <c r="M20" s="57"/>
      <c r="N20" s="57"/>
      <c r="O20" s="435" t="s">
        <v>404</v>
      </c>
      <c r="P20" s="57"/>
      <c r="Q20" s="436"/>
      <c r="R20" s="436"/>
      <c r="S20" s="392"/>
      <c r="Z20" s="435"/>
      <c r="AB20" s="435"/>
      <c r="AH20" s="435"/>
      <c r="AJ20" s="435"/>
      <c r="AN20" s="53"/>
      <c r="AO20" s="53"/>
      <c r="AP20" s="53"/>
      <c r="AQ20" s="53"/>
      <c r="AR20" s="53"/>
    </row>
    <row r="21" spans="1:44" s="49" customFormat="1" ht="14.25" hidden="1" customHeight="1">
      <c r="L21" s="107"/>
      <c r="M21" s="57"/>
      <c r="N21" s="57"/>
      <c r="O21" s="57"/>
      <c r="P21" s="57"/>
      <c r="Q21" s="436"/>
      <c r="R21" s="436"/>
      <c r="S21" s="392"/>
      <c r="AN21" s="53"/>
      <c r="AO21" s="53"/>
      <c r="AP21" s="53"/>
      <c r="AQ21" s="53"/>
      <c r="AR21" s="53"/>
    </row>
    <row r="22" spans="1:44" s="49" customFormat="1" ht="33.75" hidden="1" customHeight="1">
      <c r="L22" s="107"/>
      <c r="M22" s="57"/>
      <c r="N22" s="57"/>
      <c r="O22" s="391" t="s">
        <v>405</v>
      </c>
      <c r="P22" s="57"/>
      <c r="Q22" s="436"/>
      <c r="R22" s="436"/>
      <c r="S22" s="392"/>
      <c r="T22" s="49" t="s">
        <v>406</v>
      </c>
      <c r="AA22" s="142" t="s">
        <v>407</v>
      </c>
      <c r="AC22" s="142" t="s">
        <v>408</v>
      </c>
      <c r="AD22" s="49" t="s">
        <v>406</v>
      </c>
      <c r="AI22" s="142" t="s">
        <v>409</v>
      </c>
      <c r="AK22" s="142" t="s">
        <v>408</v>
      </c>
      <c r="AN22" s="53"/>
      <c r="AO22" s="53"/>
      <c r="AP22" s="53"/>
      <c r="AQ22" s="53"/>
      <c r="AR22" s="53"/>
    </row>
    <row r="23" spans="1:44" ht="14.25" hidden="1" customHeight="1">
      <c r="O23" s="391"/>
    </row>
    <row r="24" spans="1:44" ht="14.25" hidden="1" customHeight="1">
      <c r="O24" s="391"/>
    </row>
    <row r="25" spans="1:44" ht="14.25" customHeight="1">
      <c r="Q25" s="437"/>
      <c r="R25" s="437"/>
      <c r="S25" s="438"/>
      <c r="T25" s="83"/>
      <c r="U25" s="83"/>
    </row>
    <row r="26" spans="1:44" ht="27.75" customHeight="1">
      <c r="Q26" s="437"/>
      <c r="R26" s="437"/>
      <c r="S26" s="110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106"/>
      <c r="U26" s="1106"/>
      <c r="V26" s="1106"/>
      <c r="W26" s="1106"/>
      <c r="X26" s="1106"/>
      <c r="Y26" s="1106"/>
      <c r="Z26" s="1106"/>
      <c r="AA26" s="1106"/>
      <c r="AB26" s="1106"/>
      <c r="AC26" s="1106"/>
      <c r="AD26" s="1106"/>
      <c r="AE26" s="1106"/>
      <c r="AF26" s="1106"/>
      <c r="AG26" s="1106"/>
      <c r="AH26" s="1106"/>
      <c r="AI26" s="1106"/>
      <c r="AJ26" s="1106"/>
      <c r="AK26" s="201"/>
    </row>
    <row r="27" spans="1:44" ht="14.25" customHeight="1">
      <c r="Q27" s="437"/>
      <c r="R27" s="437"/>
      <c r="S27" s="1127" t="str">
        <f>IF(org=0,"Не определено",org)</f>
        <v>Филиал ПАО "ОГК-2" - Серовская ГРЭС, г. Серов</v>
      </c>
      <c r="T27" s="1127"/>
      <c r="U27" s="1127"/>
      <c r="V27" s="1127"/>
      <c r="W27" s="1127"/>
      <c r="X27" s="1127"/>
      <c r="Y27" s="1127"/>
      <c r="Z27" s="1127"/>
      <c r="AA27" s="1127"/>
      <c r="AB27" s="1127"/>
      <c r="AC27" s="1127"/>
      <c r="AD27" s="1127"/>
      <c r="AE27" s="1127"/>
      <c r="AF27" s="1127"/>
      <c r="AG27" s="1127"/>
      <c r="AH27" s="1127"/>
      <c r="AI27" s="1127"/>
      <c r="AJ27" s="1127"/>
      <c r="AK27" s="201"/>
    </row>
    <row r="28" spans="1:44" ht="14.25" customHeight="1">
      <c r="Q28" s="437"/>
      <c r="R28" s="437"/>
      <c r="S28" s="438"/>
      <c r="T28" s="83"/>
      <c r="U28" s="83"/>
      <c r="V28" s="439"/>
      <c r="W28" s="439"/>
      <c r="X28" s="439"/>
      <c r="Y28" s="439"/>
      <c r="Z28" s="439"/>
      <c r="AA28" s="439"/>
      <c r="AB28" s="439"/>
      <c r="AC28" s="439"/>
      <c r="AD28" s="439"/>
      <c r="AE28" s="439"/>
      <c r="AF28" s="439"/>
      <c r="AG28" s="439"/>
      <c r="AH28" s="439"/>
      <c r="AI28" s="439"/>
      <c r="AJ28" s="439"/>
      <c r="AK28" s="439"/>
    </row>
    <row r="29" spans="1:44" s="174" customFormat="1" ht="25.5" customHeight="1">
      <c r="A29" s="142"/>
      <c r="B29" s="142"/>
      <c r="C29" s="142"/>
      <c r="D29" s="142"/>
      <c r="E29" s="142"/>
      <c r="F29" s="142"/>
      <c r="G29" s="142"/>
      <c r="H29" s="142"/>
      <c r="I29" s="142"/>
      <c r="J29" s="142"/>
      <c r="K29" s="142"/>
      <c r="L29" s="391"/>
      <c r="M29" s="142"/>
      <c r="N29" s="142"/>
      <c r="O29" s="142"/>
      <c r="S29" s="1162" t="s">
        <v>37</v>
      </c>
      <c r="T29" s="1162"/>
      <c r="U29" s="441"/>
      <c r="V29" s="1163" t="str">
        <f>IF(TITLE_NAME_OR_PR_CHANGE="",IF(TITLE_NAME_OR_PR="","",TITLE_NAME_OR_PR),TITLE_NAME_OR_PR_CHANGE)</f>
        <v>Региональная энергетическая комиссия Свердловской области</v>
      </c>
      <c r="W29" s="1163"/>
      <c r="X29" s="1163"/>
      <c r="Y29" s="1163"/>
      <c r="Z29" s="1163"/>
      <c r="AA29" s="1163"/>
      <c r="AB29" s="1163"/>
      <c r="AC29" s="46"/>
      <c r="AD29" s="1163" t="str">
        <f>IF(TITLE_NAME_OR_PR_CHANGE="",IF(TITLE_NAME_OR_PR="","",TITLE_NAME_OR_PR),TITLE_NAME_OR_PR_CHANGE)</f>
        <v>Региональная энергетическая комиссия Свердловской области</v>
      </c>
      <c r="AE29" s="1163"/>
      <c r="AF29" s="1163"/>
      <c r="AG29" s="1163"/>
      <c r="AH29" s="1163"/>
      <c r="AI29" s="1163"/>
      <c r="AJ29" s="1163"/>
      <c r="AK29" s="46"/>
      <c r="AL29" s="46"/>
      <c r="AM29" s="442"/>
      <c r="AN29" s="121"/>
      <c r="AO29" s="121"/>
      <c r="AP29" s="121"/>
      <c r="AQ29" s="121"/>
      <c r="AR29" s="121"/>
    </row>
    <row r="30" spans="1:44" s="174" customFormat="1" ht="18.75" customHeight="1">
      <c r="A30" s="142"/>
      <c r="B30" s="142"/>
      <c r="C30" s="142"/>
      <c r="D30" s="142"/>
      <c r="E30" s="142"/>
      <c r="F30" s="142"/>
      <c r="G30" s="142"/>
      <c r="H30" s="142"/>
      <c r="I30" s="142"/>
      <c r="J30" s="142"/>
      <c r="K30" s="142"/>
      <c r="L30" s="391"/>
      <c r="M30" s="142"/>
      <c r="N30" s="142"/>
      <c r="O30" s="142"/>
      <c r="S30" s="1162" t="s">
        <v>410</v>
      </c>
      <c r="T30" s="1162"/>
      <c r="U30" s="441"/>
      <c r="V30" s="1164">
        <f>IF(TITLE_DATE_PR_CHANGE="",IF(TITLE_DATE_PR="","",TITLE_DATE_PR),TITLE_DATE_PR_CHANGE)</f>
        <v>45266.462974536997</v>
      </c>
      <c r="W30" s="1164"/>
      <c r="X30" s="1164"/>
      <c r="Y30" s="1164"/>
      <c r="Z30" s="1164"/>
      <c r="AA30" s="1164"/>
      <c r="AB30" s="1164"/>
      <c r="AC30" s="46"/>
      <c r="AD30" s="1164">
        <f>IF(TITLE_DATE_PR_CHANGE="",IF(TITLE_DATE_PR="","",TITLE_DATE_PR),TITLE_DATE_PR_CHANGE)</f>
        <v>45266.462974536997</v>
      </c>
      <c r="AE30" s="1164"/>
      <c r="AF30" s="1164"/>
      <c r="AG30" s="1164"/>
      <c r="AH30" s="1164"/>
      <c r="AI30" s="1164"/>
      <c r="AJ30" s="1164"/>
      <c r="AK30" s="46"/>
      <c r="AL30" s="46"/>
      <c r="AM30" s="442"/>
      <c r="AN30" s="121"/>
      <c r="AO30" s="121"/>
      <c r="AP30" s="121"/>
      <c r="AQ30" s="121"/>
      <c r="AR30" s="121"/>
    </row>
    <row r="31" spans="1:44" s="174" customFormat="1" ht="18.75" customHeight="1">
      <c r="A31" s="142"/>
      <c r="B31" s="142"/>
      <c r="C31" s="142"/>
      <c r="D31" s="142"/>
      <c r="E31" s="142"/>
      <c r="F31" s="142"/>
      <c r="G31" s="142"/>
      <c r="H31" s="142"/>
      <c r="I31" s="142"/>
      <c r="J31" s="142"/>
      <c r="K31" s="142"/>
      <c r="L31" s="391"/>
      <c r="M31" s="142"/>
      <c r="N31" s="142"/>
      <c r="O31" s="142"/>
      <c r="S31" s="1162" t="s">
        <v>411</v>
      </c>
      <c r="T31" s="1162"/>
      <c r="U31" s="441"/>
      <c r="V31" s="1163" t="str">
        <f>IF(TITLE_NUMBER_PR_CHANGE="",IF(TITLE_NUMBER_PR="","",TITLE_NUMBER_PR),TITLE_NUMBER_PR_CHANGE)</f>
        <v>216-ПК</v>
      </c>
      <c r="W31" s="1163"/>
      <c r="X31" s="1163"/>
      <c r="Y31" s="1163"/>
      <c r="Z31" s="1163"/>
      <c r="AA31" s="1163"/>
      <c r="AB31" s="1163"/>
      <c r="AC31" s="46"/>
      <c r="AD31" s="1163" t="str">
        <f>IF(TITLE_NUMBER_PR_CHANGE="",IF(TITLE_NUMBER_PR="","",TITLE_NUMBER_PR),TITLE_NUMBER_PR_CHANGE)</f>
        <v>216-ПК</v>
      </c>
      <c r="AE31" s="1163"/>
      <c r="AF31" s="1163"/>
      <c r="AG31" s="1163"/>
      <c r="AH31" s="1163"/>
      <c r="AI31" s="1163"/>
      <c r="AJ31" s="1163"/>
      <c r="AK31" s="46"/>
      <c r="AL31" s="46"/>
      <c r="AM31" s="442"/>
      <c r="AN31" s="121"/>
      <c r="AO31" s="121"/>
      <c r="AP31" s="121"/>
      <c r="AQ31" s="121"/>
      <c r="AR31" s="121"/>
    </row>
    <row r="32" spans="1:44" s="174" customFormat="1" ht="18.75" customHeight="1">
      <c r="A32" s="142"/>
      <c r="B32" s="142"/>
      <c r="C32" s="142"/>
      <c r="D32" s="142"/>
      <c r="E32" s="142"/>
      <c r="F32" s="142"/>
      <c r="G32" s="142"/>
      <c r="H32" s="142"/>
      <c r="I32" s="142"/>
      <c r="J32" s="142"/>
      <c r="K32" s="142"/>
      <c r="L32" s="391"/>
      <c r="M32" s="142"/>
      <c r="N32" s="142"/>
      <c r="O32" s="142"/>
      <c r="S32" s="1162" t="s">
        <v>39</v>
      </c>
      <c r="T32" s="1162"/>
      <c r="U32" s="441"/>
      <c r="V32" s="1163" t="str">
        <f>IF(TITLE_IST_PUB_CHANGE="",IF(TITLE_IST_PUB="","",TITLE_IST_PUB),TITLE_IST_PUB_CHANGE)</f>
        <v>Региональная энергетическая комиссия Свердловской области</v>
      </c>
      <c r="W32" s="1163"/>
      <c r="X32" s="1163"/>
      <c r="Y32" s="1163"/>
      <c r="Z32" s="1163"/>
      <c r="AA32" s="1163"/>
      <c r="AB32" s="1163"/>
      <c r="AC32" s="46"/>
      <c r="AD32" s="1163" t="str">
        <f>IF(TITLE_IST_PUB_CHANGE="",IF(TITLE_IST_PUB="","",TITLE_IST_PUB),TITLE_IST_PUB_CHANGE)</f>
        <v>Региональная энергетическая комиссия Свердловской области</v>
      </c>
      <c r="AE32" s="1163"/>
      <c r="AF32" s="1163"/>
      <c r="AG32" s="1163"/>
      <c r="AH32" s="1163"/>
      <c r="AI32" s="1163"/>
      <c r="AJ32" s="1163"/>
      <c r="AK32" s="46"/>
      <c r="AL32" s="46"/>
      <c r="AM32" s="442"/>
      <c r="AN32" s="121"/>
      <c r="AO32" s="121"/>
      <c r="AP32" s="121"/>
      <c r="AQ32" s="121"/>
      <c r="AR32" s="121"/>
    </row>
    <row r="33" spans="1:44" ht="14.25" hidden="1" customHeight="1">
      <c r="Q33" s="437"/>
      <c r="R33" s="437"/>
      <c r="S33" s="438"/>
      <c r="T33" s="83"/>
      <c r="U33" s="83"/>
      <c r="V33" s="439"/>
      <c r="W33" s="439"/>
      <c r="X33" s="439"/>
      <c r="Y33" s="439"/>
      <c r="Z33" s="439"/>
      <c r="AA33" s="439"/>
      <c r="AB33" s="439"/>
      <c r="AC33" s="439"/>
      <c r="AD33" s="439"/>
      <c r="AE33" s="439"/>
      <c r="AF33" s="439"/>
      <c r="AG33" s="439"/>
      <c r="AH33" s="439"/>
      <c r="AI33" s="439"/>
      <c r="AJ33" s="439"/>
      <c r="AK33" s="439"/>
    </row>
    <row r="34" spans="1:44" s="174" customFormat="1" ht="18.75" hidden="1" customHeight="1">
      <c r="A34" s="142"/>
      <c r="B34" s="142"/>
      <c r="C34" s="142"/>
      <c r="D34" s="142"/>
      <c r="E34" s="142"/>
      <c r="F34" s="142"/>
      <c r="G34" s="142"/>
      <c r="H34" s="142"/>
      <c r="I34" s="142"/>
      <c r="J34" s="142"/>
      <c r="K34" s="142"/>
      <c r="L34" s="391"/>
      <c r="M34" s="142"/>
      <c r="N34" s="142"/>
      <c r="O34" s="142"/>
      <c r="S34" s="1162" t="s">
        <v>412</v>
      </c>
      <c r="T34" s="1162"/>
      <c r="U34" s="441"/>
      <c r="V34" s="1164">
        <f>IF(TITLE_DATE_PR_CHANGE="",IF(TITLE_DATE_PR="","",TITLE_DATE_PR),TITLE_DATE_PR_CHANGE)</f>
        <v>45266.462974536997</v>
      </c>
      <c r="W34" s="1164"/>
      <c r="X34" s="1164"/>
      <c r="Y34" s="1164"/>
      <c r="Z34" s="1164"/>
      <c r="AA34" s="1164"/>
      <c r="AB34" s="1164"/>
      <c r="AC34" s="46"/>
      <c r="AD34" s="1164">
        <f>IF(TITLE_DATE_PR_CHANGE="",IF(TITLE_DATE_PR="","",TITLE_DATE_PR),TITLE_DATE_PR_CHANGE)</f>
        <v>45266.462974536997</v>
      </c>
      <c r="AE34" s="1164"/>
      <c r="AF34" s="1164"/>
      <c r="AG34" s="1164"/>
      <c r="AH34" s="1164"/>
      <c r="AI34" s="1164"/>
      <c r="AJ34" s="1164"/>
      <c r="AK34" s="46"/>
      <c r="AL34" s="46"/>
      <c r="AM34" s="442"/>
      <c r="AN34" s="121"/>
      <c r="AO34" s="121"/>
      <c r="AP34" s="121"/>
      <c r="AQ34" s="121"/>
      <c r="AR34" s="121"/>
    </row>
    <row r="35" spans="1:44" s="174" customFormat="1" ht="18.75" hidden="1" customHeight="1">
      <c r="A35" s="142"/>
      <c r="B35" s="142"/>
      <c r="C35" s="142"/>
      <c r="D35" s="142"/>
      <c r="E35" s="142"/>
      <c r="F35" s="142"/>
      <c r="G35" s="142"/>
      <c r="H35" s="142"/>
      <c r="I35" s="142"/>
      <c r="J35" s="142"/>
      <c r="K35" s="142"/>
      <c r="L35" s="391"/>
      <c r="M35" s="142"/>
      <c r="N35" s="142"/>
      <c r="O35" s="142"/>
      <c r="S35" s="1162" t="s">
        <v>413</v>
      </c>
      <c r="T35" s="1162"/>
      <c r="U35" s="441"/>
      <c r="V35" s="1163" t="str">
        <f>IF(TITLE_NUMBER_PR_CHANGE="",IF(TITLE_NUMBER_PR="","",TITLE_NUMBER_PR),TITLE_NUMBER_PR_CHANGE)</f>
        <v>216-ПК</v>
      </c>
      <c r="W35" s="1163"/>
      <c r="X35" s="1163"/>
      <c r="Y35" s="1163"/>
      <c r="Z35" s="1163"/>
      <c r="AA35" s="1163"/>
      <c r="AB35" s="1163"/>
      <c r="AC35" s="46"/>
      <c r="AD35" s="1163" t="str">
        <f>IF(TITLE_NUMBER_PR_CHANGE="",IF(TITLE_NUMBER_PR="","",TITLE_NUMBER_PR),TITLE_NUMBER_PR_CHANGE)</f>
        <v>216-ПК</v>
      </c>
      <c r="AE35" s="1163"/>
      <c r="AF35" s="1163"/>
      <c r="AG35" s="1163"/>
      <c r="AH35" s="1163"/>
      <c r="AI35" s="1163"/>
      <c r="AJ35" s="1163"/>
      <c r="AK35" s="46"/>
      <c r="AL35" s="46"/>
      <c r="AM35" s="442"/>
      <c r="AN35" s="121"/>
      <c r="AO35" s="121"/>
      <c r="AP35" s="121"/>
      <c r="AQ35" s="121"/>
      <c r="AR35" s="121"/>
    </row>
    <row r="36" spans="1:44" s="174" customFormat="1" ht="11.25">
      <c r="A36" s="142"/>
      <c r="B36" s="142"/>
      <c r="C36" s="142"/>
      <c r="D36" s="142"/>
      <c r="E36" s="142"/>
      <c r="F36" s="142"/>
      <c r="G36" s="142"/>
      <c r="H36" s="142"/>
      <c r="I36" s="142"/>
      <c r="J36" s="142"/>
      <c r="K36" s="142"/>
      <c r="L36" s="391"/>
      <c r="M36" s="142"/>
      <c r="N36" s="142"/>
      <c r="O36" s="142"/>
      <c r="S36" s="46"/>
      <c r="T36" s="46"/>
      <c r="U36" s="131"/>
      <c r="V36" s="46"/>
      <c r="W36" s="46"/>
      <c r="X36" s="46"/>
      <c r="Y36" s="46"/>
      <c r="Z36" s="46"/>
      <c r="AA36" s="46"/>
      <c r="AB36" s="46"/>
      <c r="AC36" s="53" t="s">
        <v>414</v>
      </c>
      <c r="AD36" s="46"/>
      <c r="AE36" s="46"/>
      <c r="AF36" s="46"/>
      <c r="AG36" s="46"/>
      <c r="AH36" s="46"/>
      <c r="AI36" s="46"/>
      <c r="AJ36" s="46"/>
      <c r="AK36" s="53" t="s">
        <v>414</v>
      </c>
      <c r="AN36" s="121"/>
      <c r="AO36" s="121"/>
      <c r="AP36" s="121"/>
      <c r="AQ36" s="121"/>
      <c r="AR36" s="121"/>
    </row>
    <row r="37" spans="1:44" ht="14.25" customHeight="1">
      <c r="Q37" s="437"/>
      <c r="R37" s="437"/>
      <c r="S37" s="438"/>
      <c r="T37" s="83"/>
      <c r="U37" s="443"/>
      <c r="V37" s="1165"/>
      <c r="W37" s="1165"/>
      <c r="X37" s="1165"/>
      <c r="Y37" s="1165"/>
      <c r="Z37" s="1165"/>
      <c r="AA37" s="1165"/>
      <c r="AB37" s="1165"/>
      <c r="AC37" s="1165"/>
      <c r="AD37" s="1165"/>
      <c r="AE37" s="1165"/>
      <c r="AF37" s="1165"/>
      <c r="AG37" s="1165"/>
      <c r="AH37" s="1165"/>
      <c r="AI37" s="1165"/>
      <c r="AJ37" s="1165"/>
      <c r="AK37" s="1165"/>
    </row>
    <row r="38" spans="1:44" ht="14.25" customHeight="1">
      <c r="Q38" s="437"/>
      <c r="R38" s="437"/>
      <c r="S38" s="1087" t="s">
        <v>287</v>
      </c>
      <c r="T38" s="1087"/>
      <c r="U38" s="1087"/>
      <c r="V38" s="1087"/>
      <c r="W38" s="1087"/>
      <c r="X38" s="1087"/>
      <c r="Y38" s="1087"/>
      <c r="Z38" s="1087"/>
      <c r="AA38" s="1087"/>
      <c r="AB38" s="1087"/>
      <c r="AC38" s="1087"/>
      <c r="AD38" s="1087"/>
      <c r="AE38" s="1087"/>
      <c r="AF38" s="1087"/>
      <c r="AG38" s="1087"/>
      <c r="AH38" s="1087"/>
      <c r="AI38" s="1087"/>
      <c r="AJ38" s="1087"/>
      <c r="AK38" s="1087"/>
      <c r="AL38" s="1087"/>
      <c r="AM38" s="1087" t="s">
        <v>288</v>
      </c>
    </row>
    <row r="39" spans="1:44" ht="14.25" customHeight="1">
      <c r="Q39" s="437"/>
      <c r="R39" s="437"/>
      <c r="S39" s="1166" t="s">
        <v>84</v>
      </c>
      <c r="T39" s="1167" t="s">
        <v>415</v>
      </c>
      <c r="U39" s="444"/>
      <c r="V39" s="1140" t="s">
        <v>416</v>
      </c>
      <c r="W39" s="1140"/>
      <c r="X39" s="1140"/>
      <c r="Y39" s="1140"/>
      <c r="Z39" s="1140"/>
      <c r="AA39" s="1140"/>
      <c r="AB39" s="1140"/>
      <c r="AC39" s="1167" t="s">
        <v>417</v>
      </c>
      <c r="AD39" s="1140" t="s">
        <v>416</v>
      </c>
      <c r="AE39" s="1140"/>
      <c r="AF39" s="1140"/>
      <c r="AG39" s="1140"/>
      <c r="AH39" s="1140"/>
      <c r="AI39" s="1140"/>
      <c r="AJ39" s="1140"/>
      <c r="AK39" s="1167" t="s">
        <v>418</v>
      </c>
      <c r="AL39" s="1168" t="s">
        <v>419</v>
      </c>
      <c r="AM39" s="1087"/>
    </row>
    <row r="40" spans="1:44" ht="23.25" customHeight="1">
      <c r="Q40" s="437"/>
      <c r="R40" s="437"/>
      <c r="S40" s="1166"/>
      <c r="T40" s="1167"/>
      <c r="U40" s="445"/>
      <c r="V40" s="1172" t="s">
        <v>420</v>
      </c>
      <c r="W40" s="1173" t="s">
        <v>421</v>
      </c>
      <c r="X40" s="279" t="s">
        <v>422</v>
      </c>
      <c r="Y40" s="279"/>
      <c r="Z40" s="1174" t="s">
        <v>423</v>
      </c>
      <c r="AA40" s="1174"/>
      <c r="AB40" s="1174"/>
      <c r="AC40" s="1167"/>
      <c r="AD40" s="1172" t="s">
        <v>420</v>
      </c>
      <c r="AE40" s="1173" t="s">
        <v>421</v>
      </c>
      <c r="AF40" s="279" t="s">
        <v>422</v>
      </c>
      <c r="AG40" s="279"/>
      <c r="AH40" s="1174" t="s">
        <v>423</v>
      </c>
      <c r="AI40" s="1174"/>
      <c r="AJ40" s="1174"/>
      <c r="AK40" s="1167"/>
      <c r="AL40" s="1168"/>
      <c r="AM40" s="1087"/>
    </row>
    <row r="41" spans="1:44" s="100" customFormat="1" ht="23.25" customHeight="1">
      <c r="A41" s="142"/>
      <c r="B41" s="142" t="s">
        <v>131</v>
      </c>
      <c r="C41" s="142" t="s">
        <v>132</v>
      </c>
      <c r="D41" s="142" t="s">
        <v>133</v>
      </c>
      <c r="E41" s="391" t="s">
        <v>424</v>
      </c>
      <c r="F41" s="391" t="s">
        <v>425</v>
      </c>
      <c r="G41" s="391" t="s">
        <v>426</v>
      </c>
      <c r="H41" s="391" t="s">
        <v>427</v>
      </c>
      <c r="I41" s="391" t="s">
        <v>428</v>
      </c>
      <c r="J41" s="391" t="s">
        <v>429</v>
      </c>
      <c r="K41" s="391" t="s">
        <v>430</v>
      </c>
      <c r="L41" s="391" t="s">
        <v>405</v>
      </c>
      <c r="M41" s="57"/>
      <c r="N41" s="57"/>
      <c r="O41" s="57"/>
      <c r="P41" s="56"/>
      <c r="Q41" s="437"/>
      <c r="R41" s="437"/>
      <c r="S41" s="1166"/>
      <c r="T41" s="1167"/>
      <c r="U41" s="446"/>
      <c r="V41" s="1172"/>
      <c r="W41" s="1173"/>
      <c r="X41" s="149" t="s">
        <v>431</v>
      </c>
      <c r="Y41" s="149" t="s">
        <v>432</v>
      </c>
      <c r="Z41" s="337" t="s">
        <v>433</v>
      </c>
      <c r="AA41" s="1108" t="s">
        <v>434</v>
      </c>
      <c r="AB41" s="1108"/>
      <c r="AC41" s="1167"/>
      <c r="AD41" s="1172"/>
      <c r="AE41" s="1173"/>
      <c r="AF41" s="149" t="s">
        <v>431</v>
      </c>
      <c r="AG41" s="149" t="s">
        <v>432</v>
      </c>
      <c r="AH41" s="337" t="s">
        <v>433</v>
      </c>
      <c r="AI41" s="1108" t="s">
        <v>434</v>
      </c>
      <c r="AJ41" s="1108"/>
      <c r="AK41" s="1167"/>
      <c r="AL41" s="1168"/>
      <c r="AM41" s="1087"/>
      <c r="AN41" s="53"/>
      <c r="AO41" s="121"/>
      <c r="AP41" s="121"/>
      <c r="AQ41" s="121"/>
      <c r="AR41" s="121"/>
    </row>
    <row r="42" spans="1:44" s="123" customFormat="1" ht="11.25" hidden="1" customHeight="1">
      <c r="A42" s="142"/>
      <c r="B42" s="142"/>
      <c r="C42" s="142"/>
      <c r="D42" s="142"/>
      <c r="E42" s="142"/>
      <c r="F42" s="142"/>
      <c r="G42" s="142"/>
      <c r="H42" s="142"/>
      <c r="I42" s="142"/>
      <c r="J42" s="142"/>
      <c r="K42" s="142"/>
      <c r="L42" s="391"/>
      <c r="M42" s="57"/>
      <c r="N42" s="57"/>
      <c r="O42" s="57"/>
      <c r="P42" s="447"/>
      <c r="Q42" s="448"/>
      <c r="R42" s="449">
        <v>1</v>
      </c>
      <c r="S42" s="450" t="s">
        <v>105</v>
      </c>
      <c r="T42" s="451" t="s">
        <v>106</v>
      </c>
      <c r="U42" s="452" t="str">
        <f ca="1">OFFSET(U42,0,-1)</f>
        <v>2</v>
      </c>
      <c r="V42" s="453">
        <f ca="1">OFFSET(V42,0,-1)+1</f>
        <v>3</v>
      </c>
      <c r="W42" s="453"/>
      <c r="X42" s="343">
        <f ca="1">OFFSET(X42,0,-1)+1</f>
        <v>1</v>
      </c>
      <c r="Y42" s="343">
        <f ca="1">OFFSET(Y42,0,-1)+1</f>
        <v>2</v>
      </c>
      <c r="Z42" s="453">
        <f ca="1">OFFSET(Z42,0,-1)+1</f>
        <v>3</v>
      </c>
      <c r="AA42" s="1170">
        <f ca="1">OFFSET(AA42,0,-1)+1</f>
        <v>4</v>
      </c>
      <c r="AB42" s="1170"/>
      <c r="AC42" s="453">
        <f ca="1">OFFSET(AC42,0,-2)+1</f>
        <v>5</v>
      </c>
      <c r="AD42" s="453">
        <f ca="1">OFFSET(AD42,0,-1)+1</f>
        <v>6</v>
      </c>
      <c r="AE42" s="453"/>
      <c r="AF42" s="343">
        <f ca="1">OFFSET(AF42,0,-1)+1</f>
        <v>1</v>
      </c>
      <c r="AG42" s="343">
        <f ca="1">OFFSET(AG42,0,-1)+1</f>
        <v>2</v>
      </c>
      <c r="AH42" s="453">
        <f ca="1">OFFSET(AH42,0,-1)+1</f>
        <v>3</v>
      </c>
      <c r="AI42" s="1170">
        <f ca="1">OFFSET(AI42,0,-1)+1</f>
        <v>4</v>
      </c>
      <c r="AJ42" s="1170"/>
      <c r="AK42" s="453">
        <f ca="1">OFFSET(AK42,0,-2)+1</f>
        <v>5</v>
      </c>
      <c r="AL42" s="452">
        <f ca="1">OFFSET(AL42,0,-1)</f>
        <v>5</v>
      </c>
      <c r="AM42" s="453">
        <f ca="1">OFFSET(AM42,0,-1)+1</f>
        <v>6</v>
      </c>
      <c r="AN42" s="53"/>
      <c r="AO42" s="53"/>
      <c r="AP42" s="53"/>
      <c r="AQ42" s="53"/>
      <c r="AR42" s="53"/>
    </row>
    <row r="43" spans="1:44" ht="21" customHeight="1">
      <c r="A43" s="390" t="s">
        <v>188</v>
      </c>
      <c r="B43" s="390"/>
      <c r="C43" s="390"/>
      <c r="D43" s="390"/>
      <c r="E43" s="1153">
        <v>1</v>
      </c>
      <c r="F43" s="390"/>
      <c r="G43" s="390"/>
      <c r="H43" s="390"/>
      <c r="I43" s="390"/>
      <c r="J43" s="390"/>
      <c r="K43" s="390"/>
      <c r="L43" s="391"/>
      <c r="M43" s="392"/>
      <c r="N43" s="392"/>
      <c r="O43" s="392"/>
      <c r="Q43" s="134"/>
      <c r="R43" s="393"/>
      <c r="S43" s="394">
        <f>INDEX(PT_DIFFERENTIATION_NUM_NTAR,MATCH(A43,PT_DIFFERENTIATION_NTAR_ID,0))</f>
        <v>0</v>
      </c>
      <c r="T43" s="395" t="s">
        <v>119</v>
      </c>
      <c r="U43" s="396"/>
      <c r="V43" s="1154"/>
      <c r="W43" s="1154"/>
      <c r="X43" s="1154"/>
      <c r="Y43" s="1154"/>
      <c r="Z43" s="1154"/>
      <c r="AA43" s="1154"/>
      <c r="AB43" s="1154"/>
      <c r="AC43" s="1154"/>
      <c r="AD43" s="1154" t="str">
        <f>INDEX(PT_DIFFERENTIATION_NTAR,MATCH(A43,PT_DIFFERENTIATION_NTAR_ID,0))</f>
        <v/>
      </c>
      <c r="AE43" s="1154"/>
      <c r="AF43" s="1154"/>
      <c r="AG43" s="1154"/>
      <c r="AH43" s="1154"/>
      <c r="AI43" s="1154"/>
      <c r="AJ43" s="1154"/>
      <c r="AK43" s="1154"/>
      <c r="AL43" s="1154"/>
      <c r="AM43" s="39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t="shared" ref="AP43:AP57" si="1">IF(T43="","",T43)</f>
        <v>Наименование тарифа</v>
      </c>
      <c r="AQ43" s="121"/>
      <c r="AR43" s="121"/>
    </row>
    <row r="44" spans="1:44" ht="21" customHeight="1">
      <c r="A44" s="390" t="s">
        <v>188</v>
      </c>
      <c r="B44" s="390" t="s">
        <v>189</v>
      </c>
      <c r="C44" s="390"/>
      <c r="D44" s="390"/>
      <c r="E44" s="1153"/>
      <c r="F44" s="1153">
        <v>1</v>
      </c>
      <c r="G44" s="390"/>
      <c r="H44" s="390"/>
      <c r="I44" s="390"/>
      <c r="J44" s="390"/>
      <c r="K44" s="390"/>
      <c r="L44" s="391"/>
      <c r="M44" s="392"/>
      <c r="N44" s="392"/>
      <c r="O44" s="392"/>
      <c r="P44" s="47"/>
      <c r="Q44" s="398"/>
      <c r="R44" s="399"/>
      <c r="S44" s="394" t="str">
        <f>INDEX(PT_DIFFERENTIATION_NUM_TER,MATCH(B44,PT_DIFFERENTIATION_TER_ID,0))</f>
        <v>.</v>
      </c>
      <c r="T44" s="400" t="s">
        <v>386</v>
      </c>
      <c r="U44" s="396"/>
      <c r="V44" s="1154"/>
      <c r="W44" s="1154"/>
      <c r="X44" s="1154"/>
      <c r="Y44" s="1154"/>
      <c r="Z44" s="1154"/>
      <c r="AA44" s="1154"/>
      <c r="AB44" s="1154"/>
      <c r="AC44" s="1154"/>
      <c r="AD44" s="1154" t="str">
        <f>INDEX(PT_DIFFERENTIATION_TER,MATCH(B44,PT_DIFFERENTIATION_TER_ID,0))</f>
        <v/>
      </c>
      <c r="AE44" s="1154"/>
      <c r="AF44" s="1154"/>
      <c r="AG44" s="1154"/>
      <c r="AH44" s="1154"/>
      <c r="AI44" s="1154"/>
      <c r="AJ44" s="1154"/>
      <c r="AK44" s="1154"/>
      <c r="AL44" s="1154"/>
      <c r="AM44" s="397" t="s">
        <v>387</v>
      </c>
      <c r="AO44" s="121"/>
      <c r="AP44" s="121" t="str">
        <f t="shared" si="1"/>
        <v>Территория действия тарифа</v>
      </c>
      <c r="AQ44" s="121"/>
      <c r="AR44" s="121"/>
    </row>
    <row r="45" spans="1:44" ht="23.25" customHeight="1">
      <c r="A45" s="390" t="s">
        <v>188</v>
      </c>
      <c r="B45" s="390" t="s">
        <v>189</v>
      </c>
      <c r="C45" s="390" t="s">
        <v>190</v>
      </c>
      <c r="D45" s="390"/>
      <c r="E45" s="1153"/>
      <c r="F45" s="1153"/>
      <c r="G45" s="1153">
        <v>1</v>
      </c>
      <c r="H45" s="390"/>
      <c r="I45" s="390"/>
      <c r="J45" s="390"/>
      <c r="K45" s="390"/>
      <c r="L45" s="391"/>
      <c r="M45" s="392"/>
      <c r="N45" s="392"/>
      <c r="O45" s="392"/>
      <c r="P45" s="401"/>
      <c r="Q45" s="398"/>
      <c r="R45" s="399"/>
      <c r="S45" s="394" t="str">
        <f>INDEX(PT_DIFFERENTIATION_NUM_CS,MATCH(C45,PT_DIFFERENTIATION_CS_ID,0))</f>
        <v>..</v>
      </c>
      <c r="T45" s="402" t="s">
        <v>388</v>
      </c>
      <c r="U45" s="396"/>
      <c r="V45" s="1154"/>
      <c r="W45" s="1154"/>
      <c r="X45" s="1154"/>
      <c r="Y45" s="1154"/>
      <c r="Z45" s="1154"/>
      <c r="AA45" s="1154"/>
      <c r="AB45" s="1154"/>
      <c r="AC45" s="1154"/>
      <c r="AD45" s="1154" t="str">
        <f>INDEX(PT_DIFFERENTIATION_CS,MATCH(C45,PT_DIFFERENTIATION_CS_ID,0))</f>
        <v/>
      </c>
      <c r="AE45" s="1154"/>
      <c r="AF45" s="1154"/>
      <c r="AG45" s="1154"/>
      <c r="AH45" s="1154"/>
      <c r="AI45" s="1154"/>
      <c r="AJ45" s="1154"/>
      <c r="AK45" s="1154"/>
      <c r="AL45" s="1154"/>
      <c r="AM45" s="397" t="s">
        <v>389</v>
      </c>
      <c r="AO45" s="121"/>
      <c r="AP45" s="121" t="str">
        <f t="shared" si="1"/>
        <v xml:space="preserve">Наименование системы теплоснабжения </v>
      </c>
      <c r="AQ45" s="121"/>
      <c r="AR45" s="121"/>
    </row>
    <row r="46" spans="1:44" ht="21" customHeight="1">
      <c r="A46" s="390" t="s">
        <v>188</v>
      </c>
      <c r="B46" s="390" t="s">
        <v>189</v>
      </c>
      <c r="C46" s="390" t="s">
        <v>190</v>
      </c>
      <c r="D46" s="390" t="s">
        <v>191</v>
      </c>
      <c r="E46" s="1153"/>
      <c r="F46" s="1153"/>
      <c r="G46" s="1153"/>
      <c r="H46" s="1153">
        <v>1</v>
      </c>
      <c r="I46" s="390"/>
      <c r="J46" s="390"/>
      <c r="K46" s="390"/>
      <c r="L46" s="391"/>
      <c r="M46" s="392"/>
      <c r="N46" s="392"/>
      <c r="O46" s="392"/>
      <c r="P46" s="401"/>
      <c r="Q46" s="398"/>
      <c r="R46" s="399"/>
      <c r="S46" s="394" t="str">
        <f>INDEX(PT_DIFFERENTIATION_NUM_IST_TE,MATCH(D46,PT_DIFFERENTIATION_IST_TE_ID,0))</f>
        <v>...</v>
      </c>
      <c r="T46" s="403" t="s">
        <v>390</v>
      </c>
      <c r="U46" s="396"/>
      <c r="V46" s="1154"/>
      <c r="W46" s="1154"/>
      <c r="X46" s="1154"/>
      <c r="Y46" s="1154"/>
      <c r="Z46" s="1154"/>
      <c r="AA46" s="1154"/>
      <c r="AB46" s="1154"/>
      <c r="AC46" s="1154"/>
      <c r="AD46" s="1154" t="str">
        <f>INDEX(PT_DIFFERENTIATION_IST_TE,MATCH(D46,PT_DIFFERENTIATION_IST_TE_ID,0))</f>
        <v/>
      </c>
      <c r="AE46" s="1154"/>
      <c r="AF46" s="1154"/>
      <c r="AG46" s="1154"/>
      <c r="AH46" s="1154"/>
      <c r="AI46" s="1154"/>
      <c r="AJ46" s="1154"/>
      <c r="AK46" s="1154"/>
      <c r="AL46" s="1154"/>
      <c r="AM46" s="397" t="s">
        <v>391</v>
      </c>
      <c r="AO46" s="121"/>
      <c r="AP46" s="121" t="str">
        <f t="shared" si="1"/>
        <v xml:space="preserve">Источник тепловой энергии  </v>
      </c>
      <c r="AQ46" s="121"/>
      <c r="AR46" s="121"/>
    </row>
    <row r="47" spans="1:44" ht="47.25" customHeight="1">
      <c r="A47" s="390" t="s">
        <v>188</v>
      </c>
      <c r="B47" s="390" t="s">
        <v>189</v>
      </c>
      <c r="C47" s="390" t="s">
        <v>190</v>
      </c>
      <c r="D47" s="390" t="s">
        <v>191</v>
      </c>
      <c r="E47" s="1153"/>
      <c r="F47" s="1153"/>
      <c r="G47" s="1153"/>
      <c r="H47" s="1153"/>
      <c r="I47" s="1155" t="str">
        <f>S46&amp;".1"</f>
        <v>....1</v>
      </c>
      <c r="J47" s="390"/>
      <c r="K47" s="390"/>
      <c r="L47" s="391" t="s">
        <v>392</v>
      </c>
      <c r="P47" s="1156">
        <v>1</v>
      </c>
      <c r="Q47" s="124"/>
      <c r="R47" s="405"/>
      <c r="S47" s="394" t="str">
        <f>$I47</f>
        <v>....1</v>
      </c>
      <c r="T47" s="406" t="s">
        <v>393</v>
      </c>
      <c r="U47" s="396"/>
      <c r="V47" s="1157"/>
      <c r="W47" s="1157"/>
      <c r="X47" s="1157"/>
      <c r="Y47" s="1157"/>
      <c r="Z47" s="1157"/>
      <c r="AA47" s="1157"/>
      <c r="AB47" s="1157"/>
      <c r="AC47" s="1157"/>
      <c r="AD47" s="1157"/>
      <c r="AE47" s="1157"/>
      <c r="AF47" s="1157"/>
      <c r="AG47" s="1157"/>
      <c r="AH47" s="1157"/>
      <c r="AI47" s="1157"/>
      <c r="AJ47" s="1157"/>
      <c r="AK47" s="1157"/>
      <c r="AL47" s="1157"/>
      <c r="AM47" s="397" t="s">
        <v>394</v>
      </c>
      <c r="AO47" s="121"/>
      <c r="AP47" s="121" t="str">
        <f t="shared" si="1"/>
        <v>Схема подключения теплопотребляющей установки к коллектору источника тепловой энергии</v>
      </c>
      <c r="AQ47" s="121"/>
      <c r="AR47" s="121"/>
    </row>
    <row r="48" spans="1:44" ht="21" customHeight="1">
      <c r="A48" s="390" t="s">
        <v>188</v>
      </c>
      <c r="B48" s="390" t="s">
        <v>189</v>
      </c>
      <c r="C48" s="390" t="s">
        <v>190</v>
      </c>
      <c r="D48" s="390" t="s">
        <v>191</v>
      </c>
      <c r="E48" s="1153"/>
      <c r="F48" s="1153"/>
      <c r="G48" s="1153"/>
      <c r="H48" s="1153"/>
      <c r="I48" s="1155"/>
      <c r="J48" s="1155" t="str">
        <f>I47&amp;".1"</f>
        <v>....1.1</v>
      </c>
      <c r="K48" s="390"/>
      <c r="L48" s="391" t="s">
        <v>395</v>
      </c>
      <c r="P48" s="1156"/>
      <c r="Q48" s="1156">
        <v>1</v>
      </c>
      <c r="R48" s="408"/>
      <c r="S48" s="394" t="str">
        <f>$J48</f>
        <v>....1.1</v>
      </c>
      <c r="T48" s="409" t="s">
        <v>396</v>
      </c>
      <c r="U48" s="396"/>
      <c r="V48" s="1157"/>
      <c r="W48" s="1157"/>
      <c r="X48" s="1157"/>
      <c r="Y48" s="1157"/>
      <c r="Z48" s="1157"/>
      <c r="AA48" s="1157"/>
      <c r="AB48" s="1157"/>
      <c r="AC48" s="1157"/>
      <c r="AD48" s="1157"/>
      <c r="AE48" s="1157"/>
      <c r="AF48" s="1157"/>
      <c r="AG48" s="1157"/>
      <c r="AH48" s="1157"/>
      <c r="AI48" s="1157"/>
      <c r="AJ48" s="1157"/>
      <c r="AK48" s="1157"/>
      <c r="AL48" s="1157"/>
      <c r="AM48" s="397" t="s">
        <v>397</v>
      </c>
      <c r="AO48" s="121"/>
      <c r="AP48" s="121" t="str">
        <f t="shared" si="1"/>
        <v>Группа потребителей</v>
      </c>
      <c r="AQ48" s="121"/>
      <c r="AR48" s="121"/>
    </row>
    <row r="49" spans="1:44" ht="21" customHeight="1">
      <c r="A49" s="390" t="s">
        <v>188</v>
      </c>
      <c r="B49" s="390" t="s">
        <v>189</v>
      </c>
      <c r="C49" s="390" t="s">
        <v>190</v>
      </c>
      <c r="D49" s="390" t="s">
        <v>191</v>
      </c>
      <c r="E49" s="1153"/>
      <c r="F49" s="1153"/>
      <c r="G49" s="1153"/>
      <c r="H49" s="1153"/>
      <c r="I49" s="1155"/>
      <c r="J49" s="1155"/>
      <c r="K49" s="1155" t="str">
        <f>J48&amp;".1"</f>
        <v>....1.1.1</v>
      </c>
      <c r="L49" s="391" t="s">
        <v>398</v>
      </c>
      <c r="P49" s="1156"/>
      <c r="Q49" s="1156"/>
      <c r="R49" s="408">
        <v>1</v>
      </c>
      <c r="S49" s="394" t="str">
        <f>$K49</f>
        <v>....1.1.1</v>
      </c>
      <c r="T49" s="410"/>
      <c r="U49" s="396"/>
      <c r="V49" s="412"/>
      <c r="W49" s="411"/>
      <c r="X49" s="412"/>
      <c r="Y49" s="457"/>
      <c r="Z49" s="1158"/>
      <c r="AA49" s="1105" t="s">
        <v>63</v>
      </c>
      <c r="AB49" s="1158"/>
      <c r="AC49" s="1105" t="s">
        <v>63</v>
      </c>
      <c r="AD49" s="412"/>
      <c r="AE49" s="411"/>
      <c r="AF49" s="412"/>
      <c r="AG49" s="457"/>
      <c r="AH49" s="1158"/>
      <c r="AI49" s="1105" t="s">
        <v>63</v>
      </c>
      <c r="AJ49" s="1158"/>
      <c r="AK49" s="1105" t="s">
        <v>63</v>
      </c>
      <c r="AL49" s="454"/>
      <c r="AM49" s="1159" t="s">
        <v>399</v>
      </c>
      <c r="AN49" s="53" t="e">
        <f ca="1">strcheckdate(V50:AL50)</f>
        <v>#NAME?</v>
      </c>
      <c r="AO49" s="121"/>
      <c r="AP49" s="121" t="str">
        <f t="shared" si="1"/>
        <v/>
      </c>
      <c r="AQ49" s="121"/>
      <c r="AR49" s="121"/>
    </row>
    <row r="50" spans="1:44" ht="0.75" customHeight="1">
      <c r="A50" s="390" t="s">
        <v>188</v>
      </c>
      <c r="B50" s="390" t="s">
        <v>189</v>
      </c>
      <c r="C50" s="390" t="s">
        <v>190</v>
      </c>
      <c r="D50" s="390" t="s">
        <v>191</v>
      </c>
      <c r="E50" s="1153"/>
      <c r="F50" s="1153"/>
      <c r="G50" s="1153"/>
      <c r="H50" s="1153"/>
      <c r="I50" s="1155"/>
      <c r="J50" s="1155"/>
      <c r="K50" s="1155"/>
      <c r="L50" s="391"/>
      <c r="P50" s="1156"/>
      <c r="Q50" s="1156"/>
      <c r="R50" s="408"/>
      <c r="S50" s="370"/>
      <c r="T50" s="396"/>
      <c r="U50" s="396"/>
      <c r="V50" s="412"/>
      <c r="W50" s="412"/>
      <c r="X50" s="412"/>
      <c r="Y50" s="415" t="str">
        <f>Z49&amp;"-"&amp;AB49</f>
        <v>-</v>
      </c>
      <c r="Z50" s="1158"/>
      <c r="AA50" s="1105"/>
      <c r="AB50" s="1158"/>
      <c r="AC50" s="1105"/>
      <c r="AD50" s="412"/>
      <c r="AE50" s="412"/>
      <c r="AF50" s="412"/>
      <c r="AG50" s="415" t="str">
        <f>AH49&amp;"-"&amp;AJ49</f>
        <v>-</v>
      </c>
      <c r="AH50" s="1158"/>
      <c r="AI50" s="1105"/>
      <c r="AJ50" s="1158"/>
      <c r="AK50" s="1105"/>
      <c r="AL50" s="455"/>
      <c r="AM50" s="1159"/>
      <c r="AO50" s="121"/>
      <c r="AP50" s="121" t="str">
        <f t="shared" si="1"/>
        <v/>
      </c>
      <c r="AQ50" s="121"/>
      <c r="AR50" s="121"/>
    </row>
    <row r="51" spans="1:44" ht="11.25" customHeight="1">
      <c r="A51" s="390" t="s">
        <v>188</v>
      </c>
      <c r="B51" s="390" t="s">
        <v>189</v>
      </c>
      <c r="C51" s="390" t="s">
        <v>190</v>
      </c>
      <c r="D51" s="390" t="s">
        <v>191</v>
      </c>
      <c r="E51" s="1153"/>
      <c r="F51" s="1153"/>
      <c r="G51" s="1153"/>
      <c r="H51" s="1153"/>
      <c r="I51" s="1155"/>
      <c r="J51" s="1155"/>
      <c r="K51" s="390"/>
      <c r="L51" s="391"/>
      <c r="P51" s="1156"/>
      <c r="Q51" s="1156"/>
      <c r="R51" s="405"/>
      <c r="S51" s="416"/>
      <c r="T51" s="417" t="s">
        <v>400</v>
      </c>
      <c r="U51" s="186"/>
      <c r="V51" s="186"/>
      <c r="W51" s="186"/>
      <c r="X51" s="186"/>
      <c r="Y51" s="186"/>
      <c r="Z51" s="186"/>
      <c r="AA51" s="186"/>
      <c r="AB51" s="186"/>
      <c r="AC51" s="186"/>
      <c r="AD51" s="186"/>
      <c r="AE51" s="186"/>
      <c r="AF51" s="186"/>
      <c r="AG51" s="186"/>
      <c r="AH51" s="186"/>
      <c r="AI51" s="186"/>
      <c r="AJ51" s="186"/>
      <c r="AK51" s="186"/>
      <c r="AL51" s="418"/>
      <c r="AM51" s="1159"/>
      <c r="AO51" s="121"/>
      <c r="AP51" s="121" t="str">
        <f t="shared" si="1"/>
        <v>Добавить вид теплоносителя (параметры теплоносителя)</v>
      </c>
      <c r="AQ51" s="121"/>
      <c r="AR51" s="121"/>
    </row>
    <row r="52" spans="1:44" ht="11.25" customHeight="1">
      <c r="A52" s="390" t="s">
        <v>188</v>
      </c>
      <c r="B52" s="390" t="s">
        <v>189</v>
      </c>
      <c r="C52" s="390" t="s">
        <v>190</v>
      </c>
      <c r="D52" s="390" t="s">
        <v>191</v>
      </c>
      <c r="E52" s="1153"/>
      <c r="F52" s="1153"/>
      <c r="G52" s="1153"/>
      <c r="H52" s="1153"/>
      <c r="I52" s="1155"/>
      <c r="J52" s="390"/>
      <c r="K52" s="390"/>
      <c r="L52" s="391"/>
      <c r="P52" s="1156"/>
      <c r="Q52" s="124"/>
      <c r="R52" s="405"/>
      <c r="S52" s="416"/>
      <c r="T52" s="419" t="s">
        <v>401</v>
      </c>
      <c r="U52" s="186"/>
      <c r="V52" s="186"/>
      <c r="W52" s="186"/>
      <c r="X52" s="186"/>
      <c r="Y52" s="186"/>
      <c r="Z52" s="186"/>
      <c r="AA52" s="186"/>
      <c r="AB52" s="186"/>
      <c r="AC52" s="420"/>
      <c r="AD52" s="186"/>
      <c r="AE52" s="186"/>
      <c r="AF52" s="186"/>
      <c r="AG52" s="186"/>
      <c r="AH52" s="186"/>
      <c r="AI52" s="186"/>
      <c r="AJ52" s="186"/>
      <c r="AK52" s="420"/>
      <c r="AL52" s="186"/>
      <c r="AM52" s="421"/>
      <c r="AO52" s="121"/>
      <c r="AP52" s="121" t="str">
        <f t="shared" si="1"/>
        <v>Добавить группу потребителей</v>
      </c>
      <c r="AQ52" s="121"/>
      <c r="AR52" s="121"/>
    </row>
    <row r="53" spans="1:44" ht="14.25" customHeight="1">
      <c r="A53" s="390" t="s">
        <v>188</v>
      </c>
      <c r="B53" s="390" t="s">
        <v>189</v>
      </c>
      <c r="C53" s="390" t="s">
        <v>190</v>
      </c>
      <c r="D53" s="390" t="s">
        <v>191</v>
      </c>
      <c r="E53" s="1153"/>
      <c r="F53" s="1153"/>
      <c r="G53" s="1153"/>
      <c r="H53" s="1153"/>
      <c r="I53" s="390"/>
      <c r="J53" s="390"/>
      <c r="K53" s="390"/>
      <c r="L53" s="391"/>
      <c r="M53" s="392"/>
      <c r="N53" s="392"/>
      <c r="O53" s="49"/>
      <c r="P53" s="134"/>
      <c r="Q53" s="422"/>
      <c r="R53" s="393"/>
      <c r="S53" s="416"/>
      <c r="T53" s="423" t="s">
        <v>402</v>
      </c>
      <c r="U53" s="186"/>
      <c r="V53" s="186"/>
      <c r="W53" s="186"/>
      <c r="X53" s="186"/>
      <c r="Y53" s="186"/>
      <c r="Z53" s="186"/>
      <c r="AA53" s="186"/>
      <c r="AB53" s="186"/>
      <c r="AC53" s="420"/>
      <c r="AD53" s="186"/>
      <c r="AE53" s="186"/>
      <c r="AF53" s="186"/>
      <c r="AG53" s="186"/>
      <c r="AH53" s="186"/>
      <c r="AI53" s="186"/>
      <c r="AJ53" s="186"/>
      <c r="AK53" s="420"/>
      <c r="AL53" s="186"/>
      <c r="AM53" s="421"/>
      <c r="AO53" s="121"/>
      <c r="AP53" s="121" t="str">
        <f t="shared" si="1"/>
        <v>Добавить схему подключения</v>
      </c>
      <c r="AQ53" s="121"/>
      <c r="AR53" s="121"/>
    </row>
    <row r="54" spans="1:44" s="53" customFormat="1" ht="0.75" customHeight="1">
      <c r="A54" s="125" t="s">
        <v>188</v>
      </c>
      <c r="B54" s="125" t="s">
        <v>189</v>
      </c>
      <c r="C54" s="125" t="s">
        <v>190</v>
      </c>
      <c r="D54" s="125"/>
      <c r="E54" s="1153"/>
      <c r="F54" s="1153"/>
      <c r="G54" s="1153"/>
      <c r="H54" s="125"/>
      <c r="I54" s="125"/>
      <c r="J54" s="125"/>
      <c r="K54" s="125"/>
      <c r="L54" s="184"/>
      <c r="M54" s="375"/>
      <c r="N54" s="375"/>
      <c r="P54" s="158"/>
      <c r="Q54" s="424"/>
      <c r="R54" s="158"/>
      <c r="S54" s="429"/>
      <c r="T54" s="432" t="s">
        <v>403</v>
      </c>
      <c r="U54" s="431"/>
      <c r="V54" s="431"/>
      <c r="W54" s="431"/>
      <c r="X54" s="431"/>
      <c r="Y54" s="431"/>
      <c r="Z54" s="431"/>
      <c r="AA54" s="431"/>
      <c r="AB54" s="431"/>
      <c r="AC54" s="431"/>
      <c r="AD54" s="431"/>
      <c r="AE54" s="431"/>
      <c r="AF54" s="431"/>
      <c r="AG54" s="431"/>
      <c r="AH54" s="431"/>
      <c r="AI54" s="431"/>
      <c r="AJ54" s="431"/>
      <c r="AK54" s="431"/>
      <c r="AL54" s="431"/>
      <c r="AM54" s="431"/>
      <c r="AO54" s="121"/>
      <c r="AP54" s="121" t="str">
        <f t="shared" si="1"/>
        <v>Добавить источник для дифференциации</v>
      </c>
      <c r="AQ54" s="121"/>
      <c r="AR54" s="121"/>
    </row>
    <row r="55" spans="1:44" s="53" customFormat="1" ht="0.75" customHeight="1">
      <c r="A55" s="125" t="s">
        <v>188</v>
      </c>
      <c r="B55" s="125" t="s">
        <v>189</v>
      </c>
      <c r="C55" s="125"/>
      <c r="D55" s="125"/>
      <c r="E55" s="1153"/>
      <c r="F55" s="1153"/>
      <c r="G55" s="125"/>
      <c r="H55" s="125"/>
      <c r="I55" s="125"/>
      <c r="J55" s="125"/>
      <c r="K55" s="125"/>
      <c r="L55" s="184"/>
      <c r="M55" s="428"/>
      <c r="N55" s="428"/>
      <c r="P55" s="158"/>
      <c r="Q55" s="424"/>
      <c r="R55" s="158"/>
      <c r="S55" s="429"/>
      <c r="T55" s="432" t="s">
        <v>253</v>
      </c>
      <c r="U55" s="431"/>
      <c r="V55" s="431"/>
      <c r="W55" s="431"/>
      <c r="X55" s="431"/>
      <c r="Y55" s="431"/>
      <c r="Z55" s="431"/>
      <c r="AA55" s="431"/>
      <c r="AB55" s="431"/>
      <c r="AC55" s="431"/>
      <c r="AD55" s="431"/>
      <c r="AE55" s="431"/>
      <c r="AF55" s="431"/>
      <c r="AG55" s="431"/>
      <c r="AH55" s="431"/>
      <c r="AI55" s="431"/>
      <c r="AJ55" s="431"/>
      <c r="AK55" s="431"/>
      <c r="AL55" s="431"/>
      <c r="AM55" s="431"/>
      <c r="AO55" s="121"/>
      <c r="AP55" s="121" t="str">
        <f t="shared" si="1"/>
        <v>Добавить централизованную систему для дифференциации</v>
      </c>
      <c r="AQ55" s="121"/>
      <c r="AR55" s="121"/>
    </row>
    <row r="56" spans="1:44" s="53" customFormat="1" ht="0.75" customHeight="1">
      <c r="A56" s="125" t="s">
        <v>188</v>
      </c>
      <c r="B56" s="125"/>
      <c r="C56" s="125"/>
      <c r="D56" s="125"/>
      <c r="E56" s="1153"/>
      <c r="F56" s="125"/>
      <c r="G56" s="125"/>
      <c r="H56" s="125"/>
      <c r="I56" s="125"/>
      <c r="J56" s="125"/>
      <c r="K56" s="125"/>
      <c r="L56" s="184"/>
      <c r="M56" s="428"/>
      <c r="N56" s="428"/>
      <c r="P56" s="158"/>
      <c r="Q56" s="424"/>
      <c r="R56" s="158"/>
      <c r="S56" s="429"/>
      <c r="T56" s="432" t="s">
        <v>254</v>
      </c>
      <c r="U56" s="431"/>
      <c r="V56" s="431"/>
      <c r="W56" s="431"/>
      <c r="X56" s="431"/>
      <c r="Y56" s="431"/>
      <c r="Z56" s="431"/>
      <c r="AA56" s="431"/>
      <c r="AB56" s="431"/>
      <c r="AC56" s="431"/>
      <c r="AD56" s="431"/>
      <c r="AE56" s="431"/>
      <c r="AF56" s="431"/>
      <c r="AG56" s="431"/>
      <c r="AH56" s="431"/>
      <c r="AI56" s="431"/>
      <c r="AJ56" s="431"/>
      <c r="AK56" s="431"/>
      <c r="AL56" s="431"/>
      <c r="AM56" s="431"/>
      <c r="AO56" s="121"/>
      <c r="AP56" s="121" t="str">
        <f t="shared" si="1"/>
        <v>Добавить территорию для дифференциации</v>
      </c>
      <c r="AQ56" s="121"/>
      <c r="AR56" s="121"/>
    </row>
    <row r="57" spans="1:44" s="53" customFormat="1" ht="0.75" customHeight="1">
      <c r="A57" s="125"/>
      <c r="B57" s="125"/>
      <c r="C57" s="125"/>
      <c r="D57" s="125"/>
      <c r="E57" s="125"/>
      <c r="F57" s="125"/>
      <c r="G57" s="125"/>
      <c r="H57" s="125"/>
      <c r="I57" s="125"/>
      <c r="J57" s="125"/>
      <c r="K57" s="125"/>
      <c r="L57" s="184"/>
      <c r="M57" s="428"/>
      <c r="N57" s="428"/>
      <c r="P57" s="158"/>
      <c r="Q57" s="424"/>
      <c r="R57" s="158"/>
      <c r="S57" s="429"/>
      <c r="T57" s="432" t="s">
        <v>255</v>
      </c>
      <c r="U57" s="431"/>
      <c r="V57" s="431"/>
      <c r="W57" s="431"/>
      <c r="X57" s="431"/>
      <c r="Y57" s="431"/>
      <c r="Z57" s="431"/>
      <c r="AA57" s="431"/>
      <c r="AB57" s="431"/>
      <c r="AC57" s="431"/>
      <c r="AD57" s="431"/>
      <c r="AE57" s="431"/>
      <c r="AF57" s="431"/>
      <c r="AG57" s="431"/>
      <c r="AH57" s="431"/>
      <c r="AI57" s="431"/>
      <c r="AJ57" s="431"/>
      <c r="AK57" s="431"/>
      <c r="AL57" s="431"/>
      <c r="AM57" s="431"/>
      <c r="AO57" s="121"/>
      <c r="AP57" s="121" t="str">
        <f t="shared" si="1"/>
        <v>Добавить наименование тарифа</v>
      </c>
      <c r="AQ57" s="121"/>
      <c r="AR57" s="121"/>
    </row>
    <row r="58" spans="1:44" ht="11.25" customHeight="1">
      <c r="M58" s="49"/>
      <c r="N58" s="49"/>
      <c r="O58" s="49"/>
      <c r="P58" s="46"/>
      <c r="Q58" s="46"/>
      <c r="R58" s="46"/>
      <c r="S58" s="46"/>
      <c r="AN58" s="46"/>
      <c r="AO58" s="46"/>
      <c r="AP58" s="46"/>
      <c r="AQ58" s="46"/>
      <c r="AR58" s="46"/>
    </row>
    <row r="59" spans="1:44" ht="27" customHeight="1">
      <c r="O59" s="49"/>
      <c r="S59" s="387"/>
      <c r="T59" s="1171"/>
      <c r="U59" s="1171"/>
      <c r="V59" s="1171"/>
      <c r="W59" s="1171"/>
      <c r="X59" s="1171"/>
      <c r="Y59" s="1171"/>
      <c r="Z59" s="1171"/>
      <c r="AA59" s="1171"/>
      <c r="AB59" s="1171"/>
      <c r="AC59" s="1171"/>
      <c r="AD59" s="1171"/>
      <c r="AE59" s="1171"/>
      <c r="AF59" s="1171"/>
      <c r="AG59" s="1171"/>
      <c r="AH59" s="1171"/>
      <c r="AI59" s="1171"/>
      <c r="AJ59" s="1171"/>
      <c r="AK59" s="1171"/>
      <c r="AL59" s="1171"/>
      <c r="AM59" s="1171"/>
    </row>
    <row r="60" spans="1:44" ht="75" customHeight="1">
      <c r="O60" s="49"/>
      <c r="T60" s="1171"/>
      <c r="U60" s="1171"/>
      <c r="V60" s="1171"/>
      <c r="W60" s="1171"/>
      <c r="X60" s="1171"/>
      <c r="Y60" s="1171"/>
      <c r="Z60" s="1171"/>
      <c r="AA60" s="1171"/>
      <c r="AB60" s="1171"/>
      <c r="AC60" s="1171"/>
      <c r="AD60" s="1171"/>
      <c r="AE60" s="1171"/>
      <c r="AF60" s="1171"/>
      <c r="AG60" s="1171"/>
      <c r="AH60" s="1171"/>
      <c r="AI60" s="1171"/>
      <c r="AJ60" s="1171"/>
      <c r="AK60" s="1171"/>
      <c r="AL60" s="1171"/>
      <c r="AM60" s="1171"/>
    </row>
    <row r="61" spans="1:44" ht="14.25" customHeight="1">
      <c r="O61" s="49"/>
    </row>
    <row r="62" spans="1:44" ht="18" customHeight="1">
      <c r="O62" s="49"/>
      <c r="S62" s="387"/>
      <c r="T62" s="1171"/>
      <c r="U62" s="1171"/>
      <c r="V62" s="1171"/>
      <c r="W62" s="1171"/>
      <c r="X62" s="1171"/>
      <c r="Y62" s="1171"/>
      <c r="Z62" s="1171"/>
      <c r="AA62" s="1171"/>
      <c r="AB62" s="1171"/>
      <c r="AC62" s="1171"/>
      <c r="AD62" s="1171"/>
      <c r="AE62" s="1171"/>
      <c r="AF62" s="1171"/>
      <c r="AG62" s="1171"/>
      <c r="AH62" s="1171"/>
      <c r="AI62" s="1171"/>
      <c r="AJ62" s="1171"/>
      <c r="AK62" s="1171"/>
      <c r="AL62" s="1171"/>
      <c r="AM62" s="1171"/>
    </row>
    <row r="63" spans="1:44" ht="18" customHeight="1">
      <c r="O63" s="49"/>
      <c r="T63" s="1171"/>
      <c r="U63" s="1171"/>
      <c r="V63" s="1171"/>
      <c r="W63" s="1171"/>
      <c r="X63" s="1171"/>
      <c r="Y63" s="1171"/>
      <c r="Z63" s="1171"/>
      <c r="AA63" s="1171"/>
      <c r="AB63" s="1171"/>
      <c r="AC63" s="1171"/>
      <c r="AD63" s="1171"/>
      <c r="AE63" s="1171"/>
      <c r="AF63" s="1171"/>
      <c r="AG63" s="1171"/>
      <c r="AH63" s="1171"/>
      <c r="AI63" s="1171"/>
      <c r="AJ63" s="1171"/>
      <c r="AK63" s="1171"/>
      <c r="AL63" s="1171"/>
      <c r="AM63" s="1171"/>
    </row>
    <row r="64" spans="1:44" ht="38.25" customHeight="1">
      <c r="O64" s="49"/>
      <c r="S64" s="387"/>
      <c r="T64" s="1171"/>
      <c r="U64" s="1171"/>
      <c r="V64" s="1171"/>
      <c r="W64" s="1171"/>
      <c r="X64" s="1171"/>
      <c r="Y64" s="1171"/>
      <c r="Z64" s="1171"/>
      <c r="AA64" s="1171"/>
      <c r="AB64" s="1171"/>
      <c r="AC64" s="1171"/>
      <c r="AD64" s="1171"/>
      <c r="AE64" s="1171"/>
      <c r="AF64" s="1171"/>
      <c r="AG64" s="1171"/>
      <c r="AH64" s="1171"/>
      <c r="AI64" s="1171"/>
      <c r="AJ64" s="1171"/>
      <c r="AK64" s="1171"/>
      <c r="AL64" s="1171"/>
      <c r="AM64" s="1171"/>
    </row>
  </sheetData>
  <mergeCells count="110">
    <mergeCell ref="T60:AM60"/>
    <mergeCell ref="T62:AM62"/>
    <mergeCell ref="T63:AM63"/>
    <mergeCell ref="T64:AM64"/>
    <mergeCell ref="AA49:AA50"/>
    <mergeCell ref="AB49:AB50"/>
    <mergeCell ref="AC49:AC50"/>
    <mergeCell ref="AH49:AH50"/>
    <mergeCell ref="AI49:AI50"/>
    <mergeCell ref="AJ49:AJ50"/>
    <mergeCell ref="AK49:AK50"/>
    <mergeCell ref="AM49:AM51"/>
    <mergeCell ref="T59:AM59"/>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S32:T32"/>
    <mergeCell ref="V32:AB32"/>
    <mergeCell ref="AD32:AJ32"/>
    <mergeCell ref="S34:T34"/>
    <mergeCell ref="V34:AB34"/>
    <mergeCell ref="AD34:AJ34"/>
    <mergeCell ref="S35:T35"/>
    <mergeCell ref="V35:AB35"/>
    <mergeCell ref="AD35:AJ35"/>
    <mergeCell ref="S26:AJ26"/>
    <mergeCell ref="S27:AJ27"/>
    <mergeCell ref="S29:T29"/>
    <mergeCell ref="V29:AB29"/>
    <mergeCell ref="AD29:AJ29"/>
    <mergeCell ref="S30:T30"/>
    <mergeCell ref="V30:AB30"/>
    <mergeCell ref="AD30:AJ30"/>
    <mergeCell ref="S31:T31"/>
    <mergeCell ref="V31:AB31"/>
    <mergeCell ref="AD31:AJ31"/>
    <mergeCell ref="AC8:AC9"/>
    <mergeCell ref="AH8:AH9"/>
    <mergeCell ref="AI8:AI9"/>
    <mergeCell ref="AJ8:AJ9"/>
    <mergeCell ref="AK8:AK9"/>
    <mergeCell ref="AM8:AM10"/>
    <mergeCell ref="AH17:AH18"/>
    <mergeCell ref="AI17:AI18"/>
    <mergeCell ref="AJ17:AJ18"/>
    <mergeCell ref="AK17:AK18"/>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s>
  <dataValidations count="3">
    <dataValidation allowBlank="1" showInputMessage="1" showErrorMessage="1" prompt="Для выбора выполните двойной щелчок левой клавиши мыши по соответствующей ячейке." sqref="AA8 AC8 AI8 AK8 AI17 AK17 AA49 AC49 AI49 AK49">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formula1>0</formula1>
      <formula2>0</formula2>
    </dataValidation>
    <dataValidation allowBlank="1" promptTitle="checkPeriodRange" sqref="Y9 AG9 AG18 Y50 AG50">
      <formula1>0</formula1>
      <formula2>0</formula2>
    </dataValidation>
  </dataValidations>
  <pageMargins left="0.7" right="0.7" top="0.625" bottom="0.625" header="0.3" footer="0.3"/>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R65"/>
  <sheetViews>
    <sheetView showGridLines="0" topLeftCell="Q25"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2" style="49" hidden="1" customWidth="1"/>
    <col min="10" max="10" width="9.85546875" style="49" hidden="1" customWidth="1"/>
    <col min="11" max="11" width="11.42578125" style="49" hidden="1" customWidth="1"/>
    <col min="12" max="12" width="19.140625" style="107" hidden="1" customWidth="1"/>
    <col min="13" max="14" width="12.28515625" style="57" hidden="1" customWidth="1"/>
    <col min="15" max="15" width="23.42578125" style="57" hidden="1" customWidth="1"/>
    <col min="16" max="16" width="3.7109375" style="56" hidden="1" customWidth="1"/>
    <col min="17" max="18" width="3.7109375" style="389" customWidth="1"/>
    <col min="19" max="19" width="12.7109375" style="254" customWidth="1"/>
    <col min="20" max="20" width="32" style="46" customWidth="1"/>
    <col min="21" max="21" width="0.140625" style="46" customWidth="1"/>
    <col min="22" max="22" width="24.7109375" style="46" hidden="1" customWidth="1"/>
    <col min="23" max="23" width="0.140625" style="46" hidden="1" customWidth="1"/>
    <col min="24" max="25" width="24.7109375" style="46" hidden="1" customWidth="1"/>
    <col min="26" max="26" width="11.7109375" style="46" hidden="1" customWidth="1"/>
    <col min="27" max="27" width="3.7109375" style="46" hidden="1" customWidth="1"/>
    <col min="28" max="28" width="11.7109375" style="46" hidden="1" customWidth="1"/>
    <col min="29" max="29" width="8.5703125" style="46" hidden="1" customWidth="1"/>
    <col min="30" max="30" width="24.7109375" style="46" customWidth="1"/>
    <col min="31" max="31" width="0.140625" style="46" customWidth="1"/>
    <col min="32" max="33" width="24.7109375" style="46" customWidth="1"/>
    <col min="34" max="34" width="11.7109375" style="46" customWidth="1"/>
    <col min="35" max="35" width="3.7109375" style="46" customWidth="1"/>
    <col min="36" max="36" width="11.7109375" style="46" customWidth="1"/>
    <col min="37" max="37" width="8.5703125" style="46" hidden="1" customWidth="1"/>
    <col min="38" max="38" width="4.7109375" style="46" customWidth="1"/>
    <col min="39" max="39" width="115.7109375" style="46" customWidth="1"/>
    <col min="40" max="41" width="10.5703125" style="53"/>
    <col min="42" max="42" width="11.140625" style="53" customWidth="1"/>
    <col min="43" max="44" width="10.5703125" style="53"/>
  </cols>
  <sheetData>
    <row r="1" spans="1:44" ht="14.25" hidden="1" customHeight="1"/>
    <row r="2" spans="1:44" ht="21"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c r="AD2" s="1154" t="e">
        <f>INDEX(PT_DIFFERENTIATION_NTAR,MATCH(A2,PT_DIFFERENTIATION_NTAR_ID,0))</f>
        <v>#N/A</v>
      </c>
      <c r="AE2" s="1154"/>
      <c r="AF2" s="1154"/>
      <c r="AG2" s="1154"/>
      <c r="AH2" s="1154"/>
      <c r="AI2" s="1154"/>
      <c r="AJ2" s="1154"/>
      <c r="AK2" s="1154"/>
      <c r="AL2" s="1154"/>
      <c r="AM2" s="397" t="s">
        <v>385</v>
      </c>
      <c r="AO2" s="121"/>
      <c r="AP2" s="121" t="str">
        <f t="shared" ref="AP2:AP15" si="0">IF(T2="","",T2)</f>
        <v>Наименование тарифа</v>
      </c>
      <c r="AQ2" s="121"/>
      <c r="AR2" s="121"/>
    </row>
    <row r="3" spans="1:44" ht="21"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c r="AD3" s="1154" t="e">
        <f>INDEX(PT_DIFFERENTIATION_TER,MATCH(B3,PT_DIFFERENTIATION_TER_ID,0))</f>
        <v>#N/A</v>
      </c>
      <c r="AE3" s="1154"/>
      <c r="AF3" s="1154"/>
      <c r="AG3" s="1154"/>
      <c r="AH3" s="1154"/>
      <c r="AI3" s="1154"/>
      <c r="AJ3" s="1154"/>
      <c r="AK3" s="1154"/>
      <c r="AL3" s="1154"/>
      <c r="AM3" s="397" t="s">
        <v>387</v>
      </c>
      <c r="AO3" s="121"/>
      <c r="AP3" s="121" t="str">
        <f t="shared" si="0"/>
        <v>Территория действия тарифа</v>
      </c>
      <c r="AQ3" s="121"/>
      <c r="AR3" s="121"/>
    </row>
    <row r="4" spans="1:44"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388</v>
      </c>
      <c r="U4" s="396"/>
      <c r="V4" s="1154"/>
      <c r="W4" s="1154"/>
      <c r="X4" s="1154"/>
      <c r="Y4" s="1154"/>
      <c r="Z4" s="1154"/>
      <c r="AA4" s="1154"/>
      <c r="AB4" s="1154"/>
      <c r="AC4" s="1154"/>
      <c r="AD4" s="1154" t="e">
        <f>INDEX(PT_DIFFERENTIATION_CS,MATCH(C4,PT_DIFFERENTIATION_CS_ID,0))</f>
        <v>#N/A</v>
      </c>
      <c r="AE4" s="1154"/>
      <c r="AF4" s="1154"/>
      <c r="AG4" s="1154"/>
      <c r="AH4" s="1154"/>
      <c r="AI4" s="1154"/>
      <c r="AJ4" s="1154"/>
      <c r="AK4" s="1154"/>
      <c r="AL4" s="1154"/>
      <c r="AM4" s="397" t="s">
        <v>389</v>
      </c>
      <c r="AO4" s="121"/>
      <c r="AP4" s="121" t="str">
        <f t="shared" si="0"/>
        <v xml:space="preserve">Наименование системы теплоснабжения </v>
      </c>
      <c r="AQ4" s="121"/>
      <c r="AR4" s="121"/>
    </row>
    <row r="5" spans="1:44" ht="21" hidden="1" customHeight="1">
      <c r="A5" s="390"/>
      <c r="B5" s="390"/>
      <c r="C5" s="390"/>
      <c r="D5" s="390"/>
      <c r="E5" s="1153"/>
      <c r="F5" s="1153"/>
      <c r="G5" s="1153"/>
      <c r="H5" s="1153">
        <v>1</v>
      </c>
      <c r="I5" s="390"/>
      <c r="J5" s="390"/>
      <c r="K5" s="390"/>
      <c r="L5" s="391"/>
      <c r="M5" s="392"/>
      <c r="N5" s="392"/>
      <c r="O5" s="392"/>
      <c r="P5" s="401"/>
      <c r="Q5" s="398"/>
      <c r="R5" s="399"/>
      <c r="S5" s="394" t="e">
        <f>INDEX(PT_DIFFERENTIATION_NUM_IST_TE,MATCH(D5,PT_DIFFERENTIATION_IST_TE_ID,0))</f>
        <v>#N/A</v>
      </c>
      <c r="T5" s="403" t="s">
        <v>390</v>
      </c>
      <c r="U5" s="396"/>
      <c r="V5" s="1154"/>
      <c r="W5" s="1154"/>
      <c r="X5" s="1154"/>
      <c r="Y5" s="1154"/>
      <c r="Z5" s="1154"/>
      <c r="AA5" s="1154"/>
      <c r="AB5" s="1154"/>
      <c r="AC5" s="1154"/>
      <c r="AD5" s="1154" t="e">
        <f>INDEX(PT_DIFFERENTIATION_IST_TE,MATCH(D5,PT_DIFFERENTIATION_IST_TE_ID,0))</f>
        <v>#N/A</v>
      </c>
      <c r="AE5" s="1154"/>
      <c r="AF5" s="1154"/>
      <c r="AG5" s="1154"/>
      <c r="AH5" s="1154"/>
      <c r="AI5" s="1154"/>
      <c r="AJ5" s="1154"/>
      <c r="AK5" s="1154"/>
      <c r="AL5" s="1154"/>
      <c r="AM5" s="397" t="s">
        <v>391</v>
      </c>
      <c r="AO5" s="121"/>
      <c r="AP5" s="121" t="str">
        <f t="shared" si="0"/>
        <v xml:space="preserve">Источник тепловой энергии  </v>
      </c>
      <c r="AQ5" s="121"/>
      <c r="AR5" s="121"/>
    </row>
    <row r="6" spans="1:44" ht="14.25" hidden="1" customHeight="1">
      <c r="A6" s="390"/>
      <c r="B6" s="390"/>
      <c r="C6" s="390"/>
      <c r="D6" s="390"/>
      <c r="E6" s="1153"/>
      <c r="F6" s="1153"/>
      <c r="G6" s="1153"/>
      <c r="H6" s="1153"/>
      <c r="I6" s="1155" t="e">
        <f>S5&amp;".1"</f>
        <v>#N/A</v>
      </c>
      <c r="J6" s="390"/>
      <c r="K6" s="390"/>
      <c r="L6" s="391" t="s">
        <v>392</v>
      </c>
      <c r="M6" s="49"/>
      <c r="P6" s="1156">
        <v>1</v>
      </c>
      <c r="Q6" s="124"/>
      <c r="R6" s="405"/>
      <c r="S6" s="280"/>
      <c r="T6" s="459"/>
      <c r="U6" s="460"/>
      <c r="V6" s="1175"/>
      <c r="W6" s="1175"/>
      <c r="X6" s="1175"/>
      <c r="Y6" s="1175"/>
      <c r="Z6" s="1175"/>
      <c r="AA6" s="1175"/>
      <c r="AB6" s="1175"/>
      <c r="AC6" s="1175"/>
      <c r="AD6" s="1175"/>
      <c r="AE6" s="1175"/>
      <c r="AF6" s="1175"/>
      <c r="AG6" s="1175"/>
      <c r="AH6" s="1175"/>
      <c r="AI6" s="1175"/>
      <c r="AJ6" s="1175"/>
      <c r="AK6" s="1175"/>
      <c r="AL6" s="1175"/>
      <c r="AM6" s="461"/>
      <c r="AO6" s="121"/>
      <c r="AP6" s="121" t="str">
        <f t="shared" si="0"/>
        <v/>
      </c>
      <c r="AQ6" s="121"/>
      <c r="AR6" s="121"/>
    </row>
    <row r="7" spans="1:44" ht="21" hidden="1" customHeight="1">
      <c r="A7" s="390"/>
      <c r="B7" s="390"/>
      <c r="C7" s="390"/>
      <c r="D7" s="390"/>
      <c r="E7" s="1153"/>
      <c r="F7" s="1153"/>
      <c r="G7" s="1153"/>
      <c r="H7" s="1153"/>
      <c r="I7" s="1155"/>
      <c r="J7" s="1155" t="e">
        <f>I6&amp;".1"</f>
        <v>#N/A</v>
      </c>
      <c r="K7" s="390"/>
      <c r="L7" s="391" t="s">
        <v>395</v>
      </c>
      <c r="M7" s="49"/>
      <c r="N7" s="49"/>
      <c r="P7" s="1156"/>
      <c r="Q7" s="1156">
        <v>1</v>
      </c>
      <c r="R7" s="408"/>
      <c r="S7" s="394" t="e">
        <f>$J7</f>
        <v>#N/A</v>
      </c>
      <c r="T7" s="409" t="s">
        <v>396</v>
      </c>
      <c r="U7" s="396"/>
      <c r="V7" s="1157"/>
      <c r="W7" s="1157"/>
      <c r="X7" s="1157"/>
      <c r="Y7" s="1157"/>
      <c r="Z7" s="1157"/>
      <c r="AA7" s="1157"/>
      <c r="AB7" s="1157"/>
      <c r="AC7" s="1157"/>
      <c r="AD7" s="1157"/>
      <c r="AE7" s="1157"/>
      <c r="AF7" s="1157"/>
      <c r="AG7" s="1157"/>
      <c r="AH7" s="1157"/>
      <c r="AI7" s="1157"/>
      <c r="AJ7" s="1157"/>
      <c r="AK7" s="1157"/>
      <c r="AL7" s="1157"/>
      <c r="AM7" s="397" t="s">
        <v>397</v>
      </c>
      <c r="AO7" s="121"/>
      <c r="AP7" s="121" t="str">
        <f t="shared" si="0"/>
        <v>Группа потребителей</v>
      </c>
      <c r="AQ7" s="121"/>
      <c r="AR7" s="121"/>
    </row>
    <row r="8" spans="1:44" ht="21" hidden="1" customHeight="1">
      <c r="A8" s="390"/>
      <c r="B8" s="390"/>
      <c r="C8" s="390"/>
      <c r="D8" s="390"/>
      <c r="E8" s="1153"/>
      <c r="F8" s="1153"/>
      <c r="G8" s="1153"/>
      <c r="H8" s="1153"/>
      <c r="I8" s="1155"/>
      <c r="J8" s="1155"/>
      <c r="K8" s="1155" t="e">
        <f>J7&amp;".1"</f>
        <v>#N/A</v>
      </c>
      <c r="L8" s="391" t="s">
        <v>398</v>
      </c>
      <c r="M8" s="49"/>
      <c r="N8" s="49"/>
      <c r="O8" s="49"/>
      <c r="P8" s="1156"/>
      <c r="Q8" s="1156"/>
      <c r="R8" s="408">
        <v>1</v>
      </c>
      <c r="S8" s="394" t="e">
        <f>$K8</f>
        <v>#N/A</v>
      </c>
      <c r="T8" s="410"/>
      <c r="U8" s="396"/>
      <c r="V8" s="411"/>
      <c r="W8" s="412"/>
      <c r="X8" s="411"/>
      <c r="Y8" s="413"/>
      <c r="Z8" s="1158"/>
      <c r="AA8" s="1105" t="s">
        <v>63</v>
      </c>
      <c r="AB8" s="1158"/>
      <c r="AC8" s="1105" t="s">
        <v>63</v>
      </c>
      <c r="AD8" s="411"/>
      <c r="AE8" s="412"/>
      <c r="AF8" s="411"/>
      <c r="AG8" s="413"/>
      <c r="AH8" s="1158"/>
      <c r="AI8" s="1105" t="s">
        <v>63</v>
      </c>
      <c r="AJ8" s="1158"/>
      <c r="AK8" s="1105" t="s">
        <v>63</v>
      </c>
      <c r="AL8" s="412"/>
      <c r="AM8" s="1159" t="s">
        <v>399</v>
      </c>
      <c r="AN8" s="53" t="e">
        <f ca="1">strcheckdate(V9:AL9)</f>
        <v>#NAME?</v>
      </c>
      <c r="AO8" s="121"/>
      <c r="AP8" s="121" t="str">
        <f t="shared" si="0"/>
        <v/>
      </c>
      <c r="AQ8" s="121"/>
      <c r="AR8" s="121"/>
    </row>
    <row r="9" spans="1:44" ht="0.75" hidden="1" customHeight="1">
      <c r="A9" s="390"/>
      <c r="B9" s="390"/>
      <c r="C9" s="390"/>
      <c r="D9" s="390"/>
      <c r="E9" s="1153"/>
      <c r="F9" s="1153"/>
      <c r="G9" s="1153"/>
      <c r="H9" s="1153"/>
      <c r="I9" s="1155"/>
      <c r="J9" s="1155"/>
      <c r="K9" s="1155"/>
      <c r="L9" s="391"/>
      <c r="M9" s="49"/>
      <c r="N9" s="49"/>
      <c r="O9" s="49"/>
      <c r="P9" s="1156"/>
      <c r="Q9" s="1156"/>
      <c r="R9" s="408"/>
      <c r="S9" s="370"/>
      <c r="T9" s="396"/>
      <c r="U9" s="396"/>
      <c r="V9" s="412"/>
      <c r="W9" s="412"/>
      <c r="X9" s="412"/>
      <c r="Y9" s="415" t="str">
        <f>Z8&amp;"-"&amp;AB8</f>
        <v>-</v>
      </c>
      <c r="Z9" s="1158"/>
      <c r="AA9" s="1105"/>
      <c r="AB9" s="1158"/>
      <c r="AC9" s="1105"/>
      <c r="AD9" s="412"/>
      <c r="AE9" s="412"/>
      <c r="AF9" s="412"/>
      <c r="AG9" s="415" t="str">
        <f>AH8&amp;"-"&amp;AJ8</f>
        <v>-</v>
      </c>
      <c r="AH9" s="1158"/>
      <c r="AI9" s="1105"/>
      <c r="AJ9" s="1158"/>
      <c r="AK9" s="1105"/>
      <c r="AL9" s="412"/>
      <c r="AM9" s="1159"/>
      <c r="AO9" s="121"/>
      <c r="AP9" s="121" t="str">
        <f t="shared" si="0"/>
        <v/>
      </c>
      <c r="AQ9" s="121"/>
      <c r="AR9" s="121"/>
    </row>
    <row r="10" spans="1:44" ht="15" hidden="1" customHeight="1">
      <c r="A10" s="390"/>
      <c r="B10" s="390"/>
      <c r="C10" s="390"/>
      <c r="D10" s="390"/>
      <c r="E10" s="1153"/>
      <c r="F10" s="1153"/>
      <c r="G10" s="1153"/>
      <c r="H10" s="1153"/>
      <c r="I10" s="1155"/>
      <c r="J10" s="1155"/>
      <c r="K10" s="390"/>
      <c r="L10" s="391"/>
      <c r="M10" s="49"/>
      <c r="N10" s="49"/>
      <c r="P10" s="1156"/>
      <c r="Q10" s="1156"/>
      <c r="R10" s="405"/>
      <c r="S10" s="416"/>
      <c r="T10" s="419" t="s">
        <v>400</v>
      </c>
      <c r="U10" s="186"/>
      <c r="V10" s="186"/>
      <c r="W10" s="186"/>
      <c r="X10" s="186"/>
      <c r="Y10" s="186"/>
      <c r="Z10" s="186"/>
      <c r="AA10" s="186"/>
      <c r="AB10" s="186"/>
      <c r="AC10" s="186"/>
      <c r="AD10" s="186"/>
      <c r="AE10" s="186"/>
      <c r="AF10" s="186"/>
      <c r="AG10" s="186"/>
      <c r="AH10" s="186"/>
      <c r="AI10" s="186"/>
      <c r="AJ10" s="186"/>
      <c r="AK10" s="186"/>
      <c r="AL10" s="418"/>
      <c r="AM10" s="1159"/>
      <c r="AO10" s="121"/>
      <c r="AP10" s="121" t="str">
        <f t="shared" si="0"/>
        <v>Добавить вид теплоносителя (параметры теплоносителя)</v>
      </c>
      <c r="AQ10" s="121"/>
      <c r="AR10" s="121"/>
    </row>
    <row r="11" spans="1:44" ht="15" hidden="1" customHeight="1">
      <c r="A11" s="390"/>
      <c r="B11" s="390"/>
      <c r="C11" s="390"/>
      <c r="D11" s="390"/>
      <c r="E11" s="1153"/>
      <c r="F11" s="1153"/>
      <c r="G11" s="1153"/>
      <c r="H11" s="1153"/>
      <c r="I11" s="1155"/>
      <c r="J11" s="390"/>
      <c r="K11" s="390"/>
      <c r="L11" s="391"/>
      <c r="M11" s="49"/>
      <c r="P11" s="1156"/>
      <c r="Q11" s="124"/>
      <c r="R11" s="405"/>
      <c r="S11" s="416"/>
      <c r="T11" s="423" t="s">
        <v>401</v>
      </c>
      <c r="U11" s="186"/>
      <c r="V11" s="186"/>
      <c r="W11" s="186"/>
      <c r="X11" s="186"/>
      <c r="Y11" s="186"/>
      <c r="Z11" s="186"/>
      <c r="AA11" s="186"/>
      <c r="AB11" s="186"/>
      <c r="AC11" s="420"/>
      <c r="AD11" s="186"/>
      <c r="AE11" s="186"/>
      <c r="AF11" s="186"/>
      <c r="AG11" s="186"/>
      <c r="AH11" s="186"/>
      <c r="AI11" s="186"/>
      <c r="AJ11" s="186"/>
      <c r="AK11" s="420"/>
      <c r="AL11" s="186"/>
      <c r="AM11" s="421"/>
      <c r="AO11" s="121"/>
      <c r="AP11" s="121" t="str">
        <f t="shared" si="0"/>
        <v>Добавить группу потребителей</v>
      </c>
      <c r="AQ11" s="121"/>
      <c r="AR11" s="121"/>
    </row>
    <row r="12" spans="1:44" ht="14.25" hidden="1" customHeight="1">
      <c r="A12" s="390"/>
      <c r="B12" s="390"/>
      <c r="C12" s="390"/>
      <c r="D12" s="390"/>
      <c r="E12" s="1153"/>
      <c r="F12" s="1153"/>
      <c r="G12" s="1153"/>
      <c r="H12" s="1153"/>
      <c r="I12" s="390"/>
      <c r="J12" s="390"/>
      <c r="K12" s="390"/>
      <c r="L12" s="391"/>
      <c r="M12" s="392"/>
      <c r="N12" s="392"/>
      <c r="O12" s="49"/>
      <c r="P12" s="134"/>
      <c r="Q12" s="422"/>
      <c r="R12" s="393"/>
      <c r="S12" s="462"/>
      <c r="T12" s="463"/>
      <c r="U12" s="464"/>
      <c r="V12" s="464"/>
      <c r="W12" s="464"/>
      <c r="X12" s="464"/>
      <c r="Y12" s="464"/>
      <c r="Z12" s="464"/>
      <c r="AA12" s="464"/>
      <c r="AB12" s="464"/>
      <c r="AC12" s="464"/>
      <c r="AD12" s="464"/>
      <c r="AE12" s="464"/>
      <c r="AF12" s="464"/>
      <c r="AG12" s="464"/>
      <c r="AH12" s="464"/>
      <c r="AI12" s="464"/>
      <c r="AJ12" s="464"/>
      <c r="AK12" s="464"/>
      <c r="AL12" s="464"/>
      <c r="AM12" s="465"/>
      <c r="AO12" s="121"/>
      <c r="AP12" s="121" t="str">
        <f t="shared" si="0"/>
        <v/>
      </c>
      <c r="AQ12" s="121"/>
      <c r="AR12" s="121"/>
    </row>
    <row r="13" spans="1:44" s="53" customFormat="1" ht="0.75" hidden="1" customHeight="1">
      <c r="A13" s="125"/>
      <c r="B13" s="125"/>
      <c r="C13" s="125"/>
      <c r="D13" s="125"/>
      <c r="E13" s="1153"/>
      <c r="F13" s="1153"/>
      <c r="G13" s="1153"/>
      <c r="H13" s="125"/>
      <c r="I13" s="125"/>
      <c r="J13" s="125"/>
      <c r="K13" s="125"/>
      <c r="L13" s="184"/>
      <c r="M13" s="375"/>
      <c r="N13" s="375"/>
      <c r="P13" s="158"/>
      <c r="Q13" s="424"/>
      <c r="R13" s="158"/>
      <c r="S13" s="425"/>
      <c r="T13" s="426" t="s">
        <v>403</v>
      </c>
      <c r="U13" s="427"/>
      <c r="V13" s="427"/>
      <c r="W13" s="427"/>
      <c r="X13" s="427"/>
      <c r="Y13" s="427"/>
      <c r="Z13" s="427"/>
      <c r="AA13" s="427"/>
      <c r="AB13" s="427"/>
      <c r="AC13" s="427"/>
      <c r="AD13" s="427"/>
      <c r="AE13" s="427"/>
      <c r="AF13" s="427"/>
      <c r="AG13" s="427"/>
      <c r="AH13" s="427"/>
      <c r="AI13" s="427"/>
      <c r="AJ13" s="427"/>
      <c r="AK13" s="427"/>
      <c r="AL13" s="427"/>
      <c r="AM13" s="427"/>
      <c r="AO13" s="121"/>
      <c r="AP13" s="121" t="str">
        <f t="shared" si="0"/>
        <v>Добавить источник для дифференциации</v>
      </c>
      <c r="AQ13" s="121"/>
      <c r="AR13" s="121"/>
    </row>
    <row r="14" spans="1:44" s="53" customFormat="1" ht="0.75" hidden="1" customHeight="1">
      <c r="A14" s="125"/>
      <c r="B14" s="125"/>
      <c r="C14" s="125"/>
      <c r="D14" s="125"/>
      <c r="E14" s="1153"/>
      <c r="F14" s="1153"/>
      <c r="G14" s="125"/>
      <c r="H14" s="125"/>
      <c r="I14" s="125"/>
      <c r="J14" s="125"/>
      <c r="K14" s="125"/>
      <c r="L14" s="184"/>
      <c r="M14" s="428"/>
      <c r="N14" s="428"/>
      <c r="P14" s="158"/>
      <c r="Q14" s="424"/>
      <c r="R14" s="158"/>
      <c r="S14" s="429"/>
      <c r="T14" s="430" t="s">
        <v>253</v>
      </c>
      <c r="U14" s="431"/>
      <c r="V14" s="431"/>
      <c r="W14" s="431"/>
      <c r="X14" s="431"/>
      <c r="Y14" s="431"/>
      <c r="Z14" s="431"/>
      <c r="AA14" s="431"/>
      <c r="AB14" s="431"/>
      <c r="AC14" s="431"/>
      <c r="AD14" s="431"/>
      <c r="AE14" s="431"/>
      <c r="AF14" s="431"/>
      <c r="AG14" s="431"/>
      <c r="AH14" s="431"/>
      <c r="AI14" s="431"/>
      <c r="AJ14" s="431"/>
      <c r="AK14" s="431"/>
      <c r="AL14" s="431"/>
      <c r="AM14" s="431"/>
      <c r="AO14" s="121"/>
      <c r="AP14" s="121" t="str">
        <f t="shared" si="0"/>
        <v>Добавить централизованную систему для дифференциации</v>
      </c>
      <c r="AQ14" s="121"/>
      <c r="AR14" s="121"/>
    </row>
    <row r="15" spans="1:44" s="53" customFormat="1" ht="0.75" hidden="1" customHeight="1">
      <c r="A15" s="125"/>
      <c r="B15" s="125"/>
      <c r="C15" s="125"/>
      <c r="D15" s="125"/>
      <c r="E15" s="1153"/>
      <c r="F15" s="125"/>
      <c r="G15" s="125"/>
      <c r="H15" s="125"/>
      <c r="I15" s="125"/>
      <c r="J15" s="125"/>
      <c r="K15" s="125"/>
      <c r="L15" s="184"/>
      <c r="M15" s="428"/>
      <c r="N15" s="428"/>
      <c r="P15" s="158"/>
      <c r="Q15" s="424"/>
      <c r="R15" s="158"/>
      <c r="S15" s="429"/>
      <c r="T15" s="432" t="s">
        <v>254</v>
      </c>
      <c r="U15" s="431"/>
      <c r="V15" s="431"/>
      <c r="W15" s="431"/>
      <c r="X15" s="431"/>
      <c r="Y15" s="431"/>
      <c r="Z15" s="431"/>
      <c r="AA15" s="431"/>
      <c r="AB15" s="431"/>
      <c r="AC15" s="431"/>
      <c r="AD15" s="431"/>
      <c r="AE15" s="431"/>
      <c r="AF15" s="431"/>
      <c r="AG15" s="431"/>
      <c r="AH15" s="431"/>
      <c r="AI15" s="431"/>
      <c r="AJ15" s="431"/>
      <c r="AK15" s="431"/>
      <c r="AL15" s="431"/>
      <c r="AM15" s="431"/>
      <c r="AO15" s="121"/>
      <c r="AP15" s="121" t="str">
        <f t="shared" si="0"/>
        <v>Добавить территорию для дифференциации</v>
      </c>
      <c r="AQ15" s="121"/>
      <c r="AR15" s="121"/>
    </row>
    <row r="16" spans="1:44" ht="14.25" hidden="1" customHeight="1"/>
    <row r="17" spans="1:44" ht="14.25" hidden="1" customHeight="1">
      <c r="AD17" s="433"/>
      <c r="AE17" s="433"/>
      <c r="AF17" s="433"/>
      <c r="AG17" s="434"/>
      <c r="AH17" s="1160"/>
      <c r="AI17" s="1161" t="s">
        <v>63</v>
      </c>
      <c r="AJ17" s="1160"/>
      <c r="AK17" s="1161" t="s">
        <v>63</v>
      </c>
    </row>
    <row r="18" spans="1:44" ht="14.25" hidden="1" customHeight="1">
      <c r="AD18" s="433"/>
      <c r="AE18" s="433"/>
      <c r="AF18" s="433"/>
      <c r="AG18" s="415" t="str">
        <f>AH17&amp;"-"&amp;AJ17</f>
        <v>-</v>
      </c>
      <c r="AH18" s="1160"/>
      <c r="AI18" s="1160"/>
      <c r="AJ18" s="1160"/>
      <c r="AK18" s="1160"/>
    </row>
    <row r="19" spans="1:44" ht="14.25" hidden="1" customHeight="1"/>
    <row r="20" spans="1:44" s="49" customFormat="1" ht="22.5" hidden="1" customHeight="1">
      <c r="L20" s="107"/>
      <c r="M20" s="57"/>
      <c r="N20" s="57"/>
      <c r="O20" s="435" t="s">
        <v>404</v>
      </c>
      <c r="P20" s="57"/>
      <c r="Q20" s="436"/>
      <c r="R20" s="436"/>
      <c r="S20" s="392"/>
      <c r="Z20" s="435"/>
      <c r="AB20" s="435"/>
      <c r="AH20" s="435"/>
      <c r="AJ20" s="435"/>
      <c r="AN20" s="53"/>
      <c r="AO20" s="53"/>
      <c r="AP20" s="53"/>
      <c r="AQ20" s="53"/>
      <c r="AR20" s="53"/>
    </row>
    <row r="21" spans="1:44" s="49" customFormat="1" ht="14.25" hidden="1" customHeight="1">
      <c r="L21" s="107"/>
      <c r="M21" s="57"/>
      <c r="N21" s="57"/>
      <c r="O21" s="57"/>
      <c r="P21" s="57"/>
      <c r="Q21" s="436"/>
      <c r="R21" s="436"/>
      <c r="S21" s="392"/>
      <c r="AN21" s="53"/>
      <c r="AO21" s="53"/>
      <c r="AP21" s="53"/>
      <c r="AQ21" s="53"/>
      <c r="AR21" s="53"/>
    </row>
    <row r="22" spans="1:44" s="49" customFormat="1" ht="14.25" hidden="1" customHeight="1">
      <c r="L22" s="107"/>
      <c r="M22" s="57"/>
      <c r="N22" s="57"/>
      <c r="O22" s="391" t="s">
        <v>405</v>
      </c>
      <c r="P22" s="57"/>
      <c r="Q22" s="436"/>
      <c r="R22" s="436"/>
      <c r="S22" s="392"/>
      <c r="T22" s="49" t="s">
        <v>406</v>
      </c>
      <c r="AA22" s="142" t="s">
        <v>407</v>
      </c>
      <c r="AC22" s="142" t="s">
        <v>408</v>
      </c>
      <c r="AD22" s="49" t="s">
        <v>406</v>
      </c>
      <c r="AI22" s="142" t="s">
        <v>409</v>
      </c>
      <c r="AK22" s="142" t="s">
        <v>408</v>
      </c>
      <c r="AN22" s="53"/>
      <c r="AO22" s="53"/>
      <c r="AP22" s="53"/>
      <c r="AQ22" s="53"/>
      <c r="AR22" s="53"/>
    </row>
    <row r="23" spans="1:44" ht="14.25" hidden="1" customHeight="1">
      <c r="O23" s="391"/>
    </row>
    <row r="24" spans="1:44" ht="14.25" hidden="1" customHeight="1">
      <c r="O24" s="391"/>
    </row>
    <row r="25" spans="1:44" ht="14.25" customHeight="1">
      <c r="Q25" s="437"/>
      <c r="R25" s="437"/>
      <c r="S25" s="438"/>
      <c r="T25" s="83"/>
      <c r="U25" s="83"/>
    </row>
    <row r="26" spans="1:44" ht="51" customHeight="1">
      <c r="Q26" s="437"/>
      <c r="R26" s="437"/>
      <c r="S26" s="110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06"/>
      <c r="U26" s="1106"/>
      <c r="V26" s="1106"/>
      <c r="W26" s="1106"/>
      <c r="X26" s="1106"/>
      <c r="Y26" s="1106"/>
      <c r="Z26" s="1106"/>
      <c r="AA26" s="1106"/>
      <c r="AB26" s="1106"/>
      <c r="AC26" s="1106"/>
      <c r="AD26" s="1106"/>
      <c r="AE26" s="1106"/>
      <c r="AF26" s="1106"/>
      <c r="AG26" s="1106"/>
      <c r="AH26" s="1106"/>
      <c r="AI26" s="1106"/>
      <c r="AJ26" s="1106"/>
      <c r="AK26" s="201"/>
    </row>
    <row r="27" spans="1:44" ht="14.25" customHeight="1">
      <c r="Q27" s="437"/>
      <c r="R27" s="437"/>
      <c r="S27" s="1127" t="str">
        <f>IF(org=0,"Не определено",org)</f>
        <v>Филиал ПАО "ОГК-2" - Серовская ГРЭС, г. Серов</v>
      </c>
      <c r="T27" s="1127"/>
      <c r="U27" s="1127"/>
      <c r="V27" s="1127"/>
      <c r="W27" s="1127"/>
      <c r="X27" s="1127"/>
      <c r="Y27" s="1127"/>
      <c r="Z27" s="1127"/>
      <c r="AA27" s="1127"/>
      <c r="AB27" s="1127"/>
      <c r="AC27" s="1127"/>
      <c r="AD27" s="1127"/>
      <c r="AE27" s="1127"/>
      <c r="AF27" s="1127"/>
      <c r="AG27" s="1127"/>
      <c r="AH27" s="1127"/>
      <c r="AI27" s="1127"/>
      <c r="AJ27" s="1127"/>
      <c r="AK27" s="201"/>
    </row>
    <row r="28" spans="1:44" ht="14.25" customHeight="1">
      <c r="Q28" s="437"/>
      <c r="R28" s="437"/>
      <c r="S28" s="438"/>
      <c r="T28" s="83"/>
      <c r="U28" s="83"/>
      <c r="V28" s="439"/>
      <c r="W28" s="439"/>
      <c r="X28" s="439"/>
      <c r="Y28" s="439"/>
      <c r="Z28" s="439"/>
      <c r="AA28" s="439"/>
      <c r="AB28" s="439"/>
      <c r="AC28" s="439"/>
      <c r="AD28" s="439"/>
      <c r="AE28" s="439"/>
      <c r="AF28" s="439"/>
      <c r="AG28" s="439"/>
      <c r="AH28" s="439"/>
      <c r="AI28" s="439"/>
      <c r="AJ28" s="439"/>
      <c r="AK28" s="439"/>
    </row>
    <row r="29" spans="1:44" s="174" customFormat="1" ht="25.5" customHeight="1">
      <c r="A29" s="142"/>
      <c r="B29" s="142"/>
      <c r="C29" s="142"/>
      <c r="D29" s="142"/>
      <c r="E29" s="142"/>
      <c r="F29" s="142"/>
      <c r="G29" s="142"/>
      <c r="H29" s="142"/>
      <c r="I29" s="142"/>
      <c r="J29" s="142"/>
      <c r="K29" s="142"/>
      <c r="L29" s="391"/>
      <c r="M29" s="142"/>
      <c r="N29" s="142"/>
      <c r="O29" s="142"/>
      <c r="S29" s="1162" t="s">
        <v>37</v>
      </c>
      <c r="T29" s="1162"/>
      <c r="U29" s="441"/>
      <c r="V29" s="1163" t="str">
        <f>IF(TITLE_NAME_OR_PR_CHANGE="",IF(TITLE_NAME_OR_PR="","",TITLE_NAME_OR_PR),TITLE_NAME_OR_PR_CHANGE)</f>
        <v>Региональная энергетическая комиссия Свердловской области</v>
      </c>
      <c r="W29" s="1163"/>
      <c r="X29" s="1163"/>
      <c r="Y29" s="1163"/>
      <c r="Z29" s="1163"/>
      <c r="AA29" s="1163"/>
      <c r="AB29" s="1163"/>
      <c r="AC29" s="46"/>
      <c r="AD29" s="1163" t="str">
        <f>IF(TITLE_NAME_OR_PR_CHANGE="",IF(TITLE_NAME_OR_PR="","",TITLE_NAME_OR_PR),TITLE_NAME_OR_PR_CHANGE)</f>
        <v>Региональная энергетическая комиссия Свердловской области</v>
      </c>
      <c r="AE29" s="1163"/>
      <c r="AF29" s="1163"/>
      <c r="AG29" s="1163"/>
      <c r="AH29" s="1163"/>
      <c r="AI29" s="1163"/>
      <c r="AJ29" s="1163"/>
      <c r="AK29" s="46"/>
      <c r="AL29" s="46"/>
      <c r="AM29" s="442"/>
      <c r="AN29" s="121"/>
      <c r="AO29" s="121"/>
      <c r="AP29" s="121"/>
      <c r="AQ29" s="121"/>
      <c r="AR29" s="121"/>
    </row>
    <row r="30" spans="1:44" s="174" customFormat="1" ht="18.75" customHeight="1">
      <c r="A30" s="142"/>
      <c r="B30" s="142"/>
      <c r="C30" s="142"/>
      <c r="D30" s="142"/>
      <c r="E30" s="142"/>
      <c r="F30" s="142"/>
      <c r="G30" s="142"/>
      <c r="H30" s="142"/>
      <c r="I30" s="142"/>
      <c r="J30" s="142"/>
      <c r="K30" s="142"/>
      <c r="L30" s="391"/>
      <c r="M30" s="142"/>
      <c r="N30" s="142"/>
      <c r="O30" s="142"/>
      <c r="S30" s="1162" t="s">
        <v>410</v>
      </c>
      <c r="T30" s="1162"/>
      <c r="U30" s="441"/>
      <c r="V30" s="1164">
        <f>IF(TITLE_DATE_PR_CHANGE="",IF(TITLE_DATE_PR="","",TITLE_DATE_PR),TITLE_DATE_PR_CHANGE)</f>
        <v>45266.462974536997</v>
      </c>
      <c r="W30" s="1164"/>
      <c r="X30" s="1164"/>
      <c r="Y30" s="1164"/>
      <c r="Z30" s="1164"/>
      <c r="AA30" s="1164"/>
      <c r="AB30" s="1164"/>
      <c r="AC30" s="46"/>
      <c r="AD30" s="1164">
        <f>IF(TITLE_DATE_PR_CHANGE="",IF(TITLE_DATE_PR="","",TITLE_DATE_PR),TITLE_DATE_PR_CHANGE)</f>
        <v>45266.462974536997</v>
      </c>
      <c r="AE30" s="1164"/>
      <c r="AF30" s="1164"/>
      <c r="AG30" s="1164"/>
      <c r="AH30" s="1164"/>
      <c r="AI30" s="1164"/>
      <c r="AJ30" s="1164"/>
      <c r="AK30" s="46"/>
      <c r="AL30" s="46"/>
      <c r="AM30" s="442"/>
      <c r="AN30" s="121"/>
      <c r="AO30" s="121"/>
      <c r="AP30" s="121"/>
      <c r="AQ30" s="121"/>
      <c r="AR30" s="121"/>
    </row>
    <row r="31" spans="1:44" s="174" customFormat="1" ht="18.75" customHeight="1">
      <c r="A31" s="142"/>
      <c r="B31" s="142"/>
      <c r="C31" s="142"/>
      <c r="D31" s="142"/>
      <c r="E31" s="142"/>
      <c r="F31" s="142"/>
      <c r="G31" s="142"/>
      <c r="H31" s="142"/>
      <c r="I31" s="142"/>
      <c r="J31" s="142"/>
      <c r="K31" s="142"/>
      <c r="L31" s="391"/>
      <c r="M31" s="142"/>
      <c r="N31" s="142"/>
      <c r="O31" s="142"/>
      <c r="S31" s="1162" t="s">
        <v>411</v>
      </c>
      <c r="T31" s="1162"/>
      <c r="U31" s="441"/>
      <c r="V31" s="1163" t="str">
        <f>IF(TITLE_NUMBER_PR_CHANGE="",IF(TITLE_NUMBER_PR="","",TITLE_NUMBER_PR),TITLE_NUMBER_PR_CHANGE)</f>
        <v>216-ПК</v>
      </c>
      <c r="W31" s="1163"/>
      <c r="X31" s="1163"/>
      <c r="Y31" s="1163"/>
      <c r="Z31" s="1163"/>
      <c r="AA31" s="1163"/>
      <c r="AB31" s="1163"/>
      <c r="AC31" s="46"/>
      <c r="AD31" s="1163" t="str">
        <f>IF(TITLE_NUMBER_PR_CHANGE="",IF(TITLE_NUMBER_PR="","",TITLE_NUMBER_PR),TITLE_NUMBER_PR_CHANGE)</f>
        <v>216-ПК</v>
      </c>
      <c r="AE31" s="1163"/>
      <c r="AF31" s="1163"/>
      <c r="AG31" s="1163"/>
      <c r="AH31" s="1163"/>
      <c r="AI31" s="1163"/>
      <c r="AJ31" s="1163"/>
      <c r="AK31" s="46"/>
      <c r="AL31" s="46"/>
      <c r="AM31" s="442"/>
      <c r="AN31" s="121"/>
      <c r="AO31" s="121"/>
      <c r="AP31" s="121"/>
      <c r="AQ31" s="121"/>
      <c r="AR31" s="121"/>
    </row>
    <row r="32" spans="1:44" s="174" customFormat="1" ht="18.75" customHeight="1">
      <c r="A32" s="142"/>
      <c r="B32" s="142"/>
      <c r="C32" s="142"/>
      <c r="D32" s="142"/>
      <c r="E32" s="142"/>
      <c r="F32" s="142"/>
      <c r="G32" s="142"/>
      <c r="H32" s="142"/>
      <c r="I32" s="142"/>
      <c r="J32" s="142"/>
      <c r="K32" s="142"/>
      <c r="L32" s="391"/>
      <c r="M32" s="142"/>
      <c r="N32" s="142"/>
      <c r="O32" s="142"/>
      <c r="S32" s="1162" t="s">
        <v>39</v>
      </c>
      <c r="T32" s="1162"/>
      <c r="U32" s="441"/>
      <c r="V32" s="1163" t="str">
        <f>IF(TITLE_IST_PUB_CHANGE="",IF(TITLE_IST_PUB="","",TITLE_IST_PUB),TITLE_IST_PUB_CHANGE)</f>
        <v>Региональная энергетическая комиссия Свердловской области</v>
      </c>
      <c r="W32" s="1163"/>
      <c r="X32" s="1163"/>
      <c r="Y32" s="1163"/>
      <c r="Z32" s="1163"/>
      <c r="AA32" s="1163"/>
      <c r="AB32" s="1163"/>
      <c r="AC32" s="46"/>
      <c r="AD32" s="1163" t="str">
        <f>IF(TITLE_IST_PUB_CHANGE="",IF(TITLE_IST_PUB="","",TITLE_IST_PUB),TITLE_IST_PUB_CHANGE)</f>
        <v>Региональная энергетическая комиссия Свердловской области</v>
      </c>
      <c r="AE32" s="1163"/>
      <c r="AF32" s="1163"/>
      <c r="AG32" s="1163"/>
      <c r="AH32" s="1163"/>
      <c r="AI32" s="1163"/>
      <c r="AJ32" s="1163"/>
      <c r="AK32" s="46"/>
      <c r="AL32" s="46"/>
      <c r="AM32" s="442"/>
      <c r="AN32" s="121"/>
      <c r="AO32" s="121"/>
      <c r="AP32" s="121"/>
      <c r="AQ32" s="121"/>
      <c r="AR32" s="121"/>
    </row>
    <row r="33" spans="1:44" ht="14.25" hidden="1" customHeight="1">
      <c r="Q33" s="437"/>
      <c r="R33" s="437"/>
      <c r="S33" s="438"/>
      <c r="T33" s="83"/>
      <c r="U33" s="83"/>
      <c r="V33" s="439"/>
      <c r="W33" s="439"/>
      <c r="X33" s="439"/>
      <c r="Y33" s="439"/>
      <c r="Z33" s="439"/>
      <c r="AA33" s="439"/>
      <c r="AB33" s="439"/>
      <c r="AC33" s="439"/>
      <c r="AD33" s="439"/>
      <c r="AE33" s="439"/>
      <c r="AF33" s="439"/>
      <c r="AG33" s="439"/>
      <c r="AH33" s="439"/>
      <c r="AI33" s="439"/>
      <c r="AJ33" s="439"/>
      <c r="AK33" s="439"/>
    </row>
    <row r="34" spans="1:44" s="174" customFormat="1" ht="18.75" hidden="1" customHeight="1">
      <c r="A34" s="142"/>
      <c r="B34" s="142"/>
      <c r="C34" s="142"/>
      <c r="D34" s="142"/>
      <c r="E34" s="142"/>
      <c r="F34" s="142"/>
      <c r="G34" s="142"/>
      <c r="H34" s="142"/>
      <c r="I34" s="142"/>
      <c r="J34" s="142"/>
      <c r="K34" s="142"/>
      <c r="L34" s="391"/>
      <c r="M34" s="142"/>
      <c r="N34" s="142"/>
      <c r="O34" s="142"/>
      <c r="S34" s="1162" t="s">
        <v>412</v>
      </c>
      <c r="T34" s="1162"/>
      <c r="U34" s="441"/>
      <c r="V34" s="1164">
        <f>IF(TITLE_DATE_PR_CHANGE="",IF(TITLE_DATE_PR="","",TITLE_DATE_PR),TITLE_DATE_PR_CHANGE)</f>
        <v>45266.462974536997</v>
      </c>
      <c r="W34" s="1164"/>
      <c r="X34" s="1164"/>
      <c r="Y34" s="1164"/>
      <c r="Z34" s="1164"/>
      <c r="AA34" s="1164"/>
      <c r="AB34" s="1164"/>
      <c r="AC34" s="46"/>
      <c r="AD34" s="1164">
        <f>IF(TITLE_DATE_PR_CHANGE="",IF(TITLE_DATE_PR="","",TITLE_DATE_PR),TITLE_DATE_PR_CHANGE)</f>
        <v>45266.462974536997</v>
      </c>
      <c r="AE34" s="1164"/>
      <c r="AF34" s="1164"/>
      <c r="AG34" s="1164"/>
      <c r="AH34" s="1164"/>
      <c r="AI34" s="1164"/>
      <c r="AJ34" s="1164"/>
      <c r="AK34" s="46"/>
      <c r="AL34" s="46"/>
      <c r="AM34" s="442"/>
      <c r="AN34" s="121"/>
      <c r="AO34" s="121"/>
      <c r="AP34" s="121"/>
      <c r="AQ34" s="121"/>
      <c r="AR34" s="121"/>
    </row>
    <row r="35" spans="1:44" s="174" customFormat="1" ht="18.75" hidden="1" customHeight="1">
      <c r="A35" s="142"/>
      <c r="B35" s="142"/>
      <c r="C35" s="142"/>
      <c r="D35" s="142"/>
      <c r="E35" s="142"/>
      <c r="F35" s="142"/>
      <c r="G35" s="142"/>
      <c r="H35" s="142"/>
      <c r="I35" s="142"/>
      <c r="J35" s="142"/>
      <c r="K35" s="142"/>
      <c r="L35" s="391"/>
      <c r="M35" s="142"/>
      <c r="N35" s="142"/>
      <c r="O35" s="142"/>
      <c r="S35" s="1162" t="s">
        <v>413</v>
      </c>
      <c r="T35" s="1162"/>
      <c r="U35" s="441"/>
      <c r="V35" s="1163" t="str">
        <f>IF(TITLE_NUMBER_PR_CHANGE="",IF(TITLE_NUMBER_PR="","",TITLE_NUMBER_PR),TITLE_NUMBER_PR_CHANGE)</f>
        <v>216-ПК</v>
      </c>
      <c r="W35" s="1163"/>
      <c r="X35" s="1163"/>
      <c r="Y35" s="1163"/>
      <c r="Z35" s="1163"/>
      <c r="AA35" s="1163"/>
      <c r="AB35" s="1163"/>
      <c r="AC35" s="46"/>
      <c r="AD35" s="1163" t="str">
        <f>IF(TITLE_NUMBER_PR_CHANGE="",IF(TITLE_NUMBER_PR="","",TITLE_NUMBER_PR),TITLE_NUMBER_PR_CHANGE)</f>
        <v>216-ПК</v>
      </c>
      <c r="AE35" s="1163"/>
      <c r="AF35" s="1163"/>
      <c r="AG35" s="1163"/>
      <c r="AH35" s="1163"/>
      <c r="AI35" s="1163"/>
      <c r="AJ35" s="1163"/>
      <c r="AK35" s="46"/>
      <c r="AL35" s="46"/>
      <c r="AM35" s="442"/>
      <c r="AN35" s="121"/>
      <c r="AO35" s="121"/>
      <c r="AP35" s="121"/>
      <c r="AQ35" s="121"/>
      <c r="AR35" s="121"/>
    </row>
    <row r="36" spans="1:44" s="174" customFormat="1" ht="11.25">
      <c r="A36" s="142"/>
      <c r="B36" s="142"/>
      <c r="C36" s="142"/>
      <c r="D36" s="142"/>
      <c r="E36" s="142"/>
      <c r="F36" s="142"/>
      <c r="G36" s="142"/>
      <c r="H36" s="142"/>
      <c r="I36" s="142"/>
      <c r="J36" s="142"/>
      <c r="K36" s="142"/>
      <c r="L36" s="391"/>
      <c r="M36" s="142"/>
      <c r="N36" s="142"/>
      <c r="O36" s="142"/>
      <c r="S36" s="46"/>
      <c r="T36" s="46"/>
      <c r="U36" s="131"/>
      <c r="V36" s="46"/>
      <c r="W36" s="46"/>
      <c r="X36" s="46"/>
      <c r="Y36" s="46"/>
      <c r="Z36" s="46"/>
      <c r="AA36" s="46"/>
      <c r="AB36" s="46"/>
      <c r="AC36" s="53" t="s">
        <v>414</v>
      </c>
      <c r="AD36" s="46"/>
      <c r="AE36" s="46"/>
      <c r="AF36" s="46"/>
      <c r="AG36" s="46"/>
      <c r="AH36" s="46"/>
      <c r="AI36" s="46"/>
      <c r="AJ36" s="46"/>
      <c r="AK36" s="53" t="s">
        <v>414</v>
      </c>
      <c r="AN36" s="121"/>
      <c r="AO36" s="121"/>
      <c r="AP36" s="121"/>
      <c r="AQ36" s="121"/>
      <c r="AR36" s="121"/>
    </row>
    <row r="37" spans="1:44" ht="14.25" customHeight="1">
      <c r="Q37" s="437"/>
      <c r="R37" s="437"/>
      <c r="S37" s="438"/>
      <c r="T37" s="83"/>
      <c r="U37" s="443"/>
      <c r="V37" s="1165"/>
      <c r="W37" s="1165"/>
      <c r="X37" s="1165"/>
      <c r="Y37" s="1165"/>
      <c r="Z37" s="1165"/>
      <c r="AA37" s="1165"/>
      <c r="AB37" s="1165"/>
      <c r="AC37" s="1165"/>
      <c r="AD37" s="1165"/>
      <c r="AE37" s="1165"/>
      <c r="AF37" s="1165"/>
      <c r="AG37" s="1165"/>
      <c r="AH37" s="1165"/>
      <c r="AI37" s="1165"/>
      <c r="AJ37" s="1165"/>
      <c r="AK37" s="1165"/>
    </row>
    <row r="38" spans="1:44" ht="14.25" customHeight="1">
      <c r="Q38" s="437"/>
      <c r="R38" s="437"/>
      <c r="S38" s="1087" t="s">
        <v>287</v>
      </c>
      <c r="T38" s="1087"/>
      <c r="U38" s="1087"/>
      <c r="V38" s="1087"/>
      <c r="W38" s="1087"/>
      <c r="X38" s="1087"/>
      <c r="Y38" s="1087"/>
      <c r="Z38" s="1087"/>
      <c r="AA38" s="1087"/>
      <c r="AB38" s="1087"/>
      <c r="AC38" s="1087"/>
      <c r="AD38" s="1087"/>
      <c r="AE38" s="1087"/>
      <c r="AF38" s="1087"/>
      <c r="AG38" s="1087"/>
      <c r="AH38" s="1087"/>
      <c r="AI38" s="1087"/>
      <c r="AJ38" s="1087"/>
      <c r="AK38" s="1087"/>
      <c r="AL38" s="1087"/>
      <c r="AM38" s="1087" t="s">
        <v>288</v>
      </c>
    </row>
    <row r="39" spans="1:44" ht="14.25" customHeight="1">
      <c r="Q39" s="437"/>
      <c r="R39" s="437"/>
      <c r="S39" s="1166" t="s">
        <v>84</v>
      </c>
      <c r="T39" s="1167" t="s">
        <v>415</v>
      </c>
      <c r="U39" s="444"/>
      <c r="V39" s="1140" t="s">
        <v>416</v>
      </c>
      <c r="W39" s="1140"/>
      <c r="X39" s="1140"/>
      <c r="Y39" s="1140"/>
      <c r="Z39" s="1140"/>
      <c r="AA39" s="1140"/>
      <c r="AB39" s="1140"/>
      <c r="AC39" s="1167" t="s">
        <v>417</v>
      </c>
      <c r="AD39" s="1140" t="s">
        <v>416</v>
      </c>
      <c r="AE39" s="1140"/>
      <c r="AF39" s="1140"/>
      <c r="AG39" s="1140"/>
      <c r="AH39" s="1140"/>
      <c r="AI39" s="1140"/>
      <c r="AJ39" s="1140"/>
      <c r="AK39" s="1167" t="s">
        <v>418</v>
      </c>
      <c r="AL39" s="1168" t="s">
        <v>419</v>
      </c>
      <c r="AM39" s="1087"/>
    </row>
    <row r="40" spans="1:44" ht="33.75" customHeight="1">
      <c r="Q40" s="437"/>
      <c r="R40" s="437"/>
      <c r="S40" s="1166"/>
      <c r="T40" s="1167"/>
      <c r="U40" s="445"/>
      <c r="V40" s="1169" t="s">
        <v>420</v>
      </c>
      <c r="W40" s="1155"/>
      <c r="X40" s="1087" t="s">
        <v>422</v>
      </c>
      <c r="Y40" s="1087"/>
      <c r="Z40" s="1087" t="s">
        <v>423</v>
      </c>
      <c r="AA40" s="1087"/>
      <c r="AB40" s="1087"/>
      <c r="AC40" s="1167"/>
      <c r="AD40" s="1169" t="s">
        <v>420</v>
      </c>
      <c r="AE40" s="1155"/>
      <c r="AF40" s="1087" t="s">
        <v>422</v>
      </c>
      <c r="AG40" s="1087"/>
      <c r="AH40" s="1087" t="s">
        <v>423</v>
      </c>
      <c r="AI40" s="1087"/>
      <c r="AJ40" s="1087"/>
      <c r="AK40" s="1167"/>
      <c r="AL40" s="1168"/>
      <c r="AM40" s="1087"/>
    </row>
    <row r="41" spans="1:44" ht="33.75" customHeight="1">
      <c r="A41" s="142"/>
      <c r="B41" s="142" t="s">
        <v>131</v>
      </c>
      <c r="C41" s="142" t="s">
        <v>132</v>
      </c>
      <c r="D41" s="142" t="s">
        <v>133</v>
      </c>
      <c r="E41" s="391" t="s">
        <v>424</v>
      </c>
      <c r="F41" s="391" t="s">
        <v>425</v>
      </c>
      <c r="G41" s="391" t="s">
        <v>426</v>
      </c>
      <c r="H41" s="391" t="s">
        <v>427</v>
      </c>
      <c r="I41" s="391" t="s">
        <v>428</v>
      </c>
      <c r="J41" s="391" t="s">
        <v>429</v>
      </c>
      <c r="K41" s="391" t="s">
        <v>430</v>
      </c>
      <c r="L41" s="391" t="s">
        <v>405</v>
      </c>
      <c r="Q41" s="437"/>
      <c r="R41" s="437"/>
      <c r="S41" s="1166"/>
      <c r="T41" s="1167"/>
      <c r="U41" s="446"/>
      <c r="V41" s="1169"/>
      <c r="W41" s="1155"/>
      <c r="X41" s="203" t="s">
        <v>431</v>
      </c>
      <c r="Y41" s="203" t="s">
        <v>432</v>
      </c>
      <c r="Z41" s="203" t="s">
        <v>433</v>
      </c>
      <c r="AA41" s="1108" t="s">
        <v>434</v>
      </c>
      <c r="AB41" s="1108"/>
      <c r="AC41" s="1167"/>
      <c r="AD41" s="1169"/>
      <c r="AE41" s="1155"/>
      <c r="AF41" s="203" t="s">
        <v>431</v>
      </c>
      <c r="AG41" s="203" t="s">
        <v>432</v>
      </c>
      <c r="AH41" s="203" t="s">
        <v>433</v>
      </c>
      <c r="AI41" s="1108" t="s">
        <v>434</v>
      </c>
      <c r="AJ41" s="1108"/>
      <c r="AK41" s="1167"/>
      <c r="AL41" s="1168"/>
      <c r="AM41" s="1087"/>
    </row>
    <row r="42" spans="1:44" s="123" customFormat="1" ht="11.25" hidden="1" customHeight="1">
      <c r="A42" s="142"/>
      <c r="B42" s="142"/>
      <c r="C42" s="142"/>
      <c r="D42" s="142"/>
      <c r="E42" s="142"/>
      <c r="F42" s="142"/>
      <c r="G42" s="142"/>
      <c r="H42" s="142"/>
      <c r="I42" s="142"/>
      <c r="J42" s="142"/>
      <c r="K42" s="142"/>
      <c r="L42" s="391"/>
      <c r="M42" s="57"/>
      <c r="N42" s="57"/>
      <c r="O42" s="57"/>
      <c r="P42" s="447"/>
      <c r="Q42" s="448"/>
      <c r="R42" s="449">
        <v>1</v>
      </c>
      <c r="S42" s="450" t="s">
        <v>105</v>
      </c>
      <c r="T42" s="451" t="s">
        <v>106</v>
      </c>
      <c r="U42" s="452" t="str">
        <f ca="1">OFFSET(U42,0,-1)</f>
        <v>2</v>
      </c>
      <c r="V42" s="453">
        <f ca="1">OFFSET(V42,0,-1)+1</f>
        <v>3</v>
      </c>
      <c r="W42" s="453"/>
      <c r="X42" s="453">
        <f ca="1">OFFSET(X42,0,-1)+1</f>
        <v>1</v>
      </c>
      <c r="Y42" s="453">
        <f ca="1">OFFSET(Y42,0,-1)+1</f>
        <v>2</v>
      </c>
      <c r="Z42" s="453">
        <f ca="1">OFFSET(Z42,0,-1)+1</f>
        <v>3</v>
      </c>
      <c r="AA42" s="1170">
        <f ca="1">OFFSET(AA42,0,-1)+1</f>
        <v>4</v>
      </c>
      <c r="AB42" s="1170"/>
      <c r="AC42" s="453">
        <f ca="1">OFFSET(AC42,0,-2)+1</f>
        <v>5</v>
      </c>
      <c r="AD42" s="453">
        <f ca="1">OFFSET(AD42,0,-1)+1</f>
        <v>6</v>
      </c>
      <c r="AE42" s="453"/>
      <c r="AF42" s="453">
        <f ca="1">OFFSET(AF42,0,-1)+1</f>
        <v>1</v>
      </c>
      <c r="AG42" s="453">
        <f ca="1">OFFSET(AG42,0,-1)+1</f>
        <v>2</v>
      </c>
      <c r="AH42" s="453">
        <f ca="1">OFFSET(AH42,0,-1)+1</f>
        <v>3</v>
      </c>
      <c r="AI42" s="1170">
        <f ca="1">OFFSET(AI42,0,-1)+1</f>
        <v>4</v>
      </c>
      <c r="AJ42" s="1170"/>
      <c r="AK42" s="453">
        <f ca="1">OFFSET(AK42,0,-2)+1</f>
        <v>5</v>
      </c>
      <c r="AL42" s="452">
        <f ca="1">OFFSET(AL42,0,-1)</f>
        <v>5</v>
      </c>
      <c r="AM42" s="453">
        <f ca="1">OFFSET(AM42,0,-1)+1</f>
        <v>6</v>
      </c>
      <c r="AN42" s="53"/>
      <c r="AO42" s="53"/>
      <c r="AP42" s="53"/>
      <c r="AQ42" s="53"/>
      <c r="AR42" s="53"/>
    </row>
    <row r="43" spans="1:44" ht="21" customHeight="1">
      <c r="A43" s="390" t="s">
        <v>164</v>
      </c>
      <c r="B43" s="390"/>
      <c r="C43" s="390"/>
      <c r="D43" s="390"/>
      <c r="E43" s="1153">
        <v>1</v>
      </c>
      <c r="F43" s="390"/>
      <c r="G43" s="390"/>
      <c r="H43" s="390"/>
      <c r="I43" s="390"/>
      <c r="J43" s="390"/>
      <c r="K43" s="390"/>
      <c r="L43" s="391"/>
      <c r="M43" s="392"/>
      <c r="N43" s="392"/>
      <c r="O43" s="392"/>
      <c r="Q43" s="134"/>
      <c r="R43" s="393"/>
      <c r="S43" s="394">
        <f>INDEX(PT_DIFFERENTIATION_NUM_NTAR,MATCH(A43,PT_DIFFERENTIATION_NTAR_ID,0))</f>
        <v>0</v>
      </c>
      <c r="T43" s="395" t="s">
        <v>119</v>
      </c>
      <c r="U43" s="396"/>
      <c r="V43" s="1154"/>
      <c r="W43" s="1154"/>
      <c r="X43" s="1154"/>
      <c r="Y43" s="1154"/>
      <c r="Z43" s="1154"/>
      <c r="AA43" s="1154"/>
      <c r="AB43" s="1154"/>
      <c r="AC43" s="1154"/>
      <c r="AD43" s="1154" t="str">
        <f>INDEX(PT_DIFFERENTIATION_NTAR,MATCH(A43,PT_DIFFERENTIATION_NTAR_ID,0))</f>
        <v/>
      </c>
      <c r="AE43" s="1154"/>
      <c r="AF43" s="1154"/>
      <c r="AG43" s="1154"/>
      <c r="AH43" s="1154"/>
      <c r="AI43" s="1154"/>
      <c r="AJ43" s="1154"/>
      <c r="AK43" s="1154"/>
      <c r="AL43" s="1154"/>
      <c r="AM43" s="39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t="shared" ref="AP43:AP57" si="1">IF(T43="","",T43)</f>
        <v>Наименование тарифа</v>
      </c>
      <c r="AQ43" s="121"/>
      <c r="AR43" s="121"/>
    </row>
    <row r="44" spans="1:44" ht="21" customHeight="1">
      <c r="A44" s="390" t="s">
        <v>164</v>
      </c>
      <c r="B44" s="390" t="s">
        <v>165</v>
      </c>
      <c r="C44" s="390"/>
      <c r="D44" s="390"/>
      <c r="E44" s="1153"/>
      <c r="F44" s="1153">
        <v>1</v>
      </c>
      <c r="G44" s="390"/>
      <c r="H44" s="390"/>
      <c r="I44" s="390"/>
      <c r="J44" s="390"/>
      <c r="K44" s="390"/>
      <c r="L44" s="391"/>
      <c r="M44" s="392"/>
      <c r="N44" s="392"/>
      <c r="O44" s="392"/>
      <c r="P44" s="47"/>
      <c r="Q44" s="398"/>
      <c r="R44" s="399"/>
      <c r="S44" s="394" t="str">
        <f>INDEX(PT_DIFFERENTIATION_NUM_TER,MATCH(B44,PT_DIFFERENTIATION_TER_ID,0))</f>
        <v>.</v>
      </c>
      <c r="T44" s="400" t="s">
        <v>386</v>
      </c>
      <c r="U44" s="396"/>
      <c r="V44" s="1154"/>
      <c r="W44" s="1154"/>
      <c r="X44" s="1154"/>
      <c r="Y44" s="1154"/>
      <c r="Z44" s="1154"/>
      <c r="AA44" s="1154"/>
      <c r="AB44" s="1154"/>
      <c r="AC44" s="1154"/>
      <c r="AD44" s="1154" t="str">
        <f>INDEX(PT_DIFFERENTIATION_TER,MATCH(B44,PT_DIFFERENTIATION_TER_ID,0))</f>
        <v/>
      </c>
      <c r="AE44" s="1154"/>
      <c r="AF44" s="1154"/>
      <c r="AG44" s="1154"/>
      <c r="AH44" s="1154"/>
      <c r="AI44" s="1154"/>
      <c r="AJ44" s="1154"/>
      <c r="AK44" s="1154"/>
      <c r="AL44" s="1154"/>
      <c r="AM44" s="397" t="s">
        <v>387</v>
      </c>
      <c r="AO44" s="121"/>
      <c r="AP44" s="121" t="str">
        <f t="shared" si="1"/>
        <v>Территория действия тарифа</v>
      </c>
      <c r="AQ44" s="121"/>
      <c r="AR44" s="121"/>
    </row>
    <row r="45" spans="1:44" ht="23.25" customHeight="1">
      <c r="A45" s="390" t="s">
        <v>164</v>
      </c>
      <c r="B45" s="390" t="s">
        <v>165</v>
      </c>
      <c r="C45" s="390" t="s">
        <v>166</v>
      </c>
      <c r="D45" s="390"/>
      <c r="E45" s="1153"/>
      <c r="F45" s="1153"/>
      <c r="G45" s="1153">
        <v>1</v>
      </c>
      <c r="H45" s="390"/>
      <c r="I45" s="390"/>
      <c r="J45" s="390"/>
      <c r="K45" s="390"/>
      <c r="L45" s="391"/>
      <c r="M45" s="392"/>
      <c r="N45" s="392"/>
      <c r="O45" s="392"/>
      <c r="P45" s="401"/>
      <c r="Q45" s="398"/>
      <c r="R45" s="399"/>
      <c r="S45" s="394" t="str">
        <f>INDEX(PT_DIFFERENTIATION_NUM_CS,MATCH(C45,PT_DIFFERENTIATION_CS_ID,0))</f>
        <v>..</v>
      </c>
      <c r="T45" s="402" t="s">
        <v>388</v>
      </c>
      <c r="U45" s="396"/>
      <c r="V45" s="1154"/>
      <c r="W45" s="1154"/>
      <c r="X45" s="1154"/>
      <c r="Y45" s="1154"/>
      <c r="Z45" s="1154"/>
      <c r="AA45" s="1154"/>
      <c r="AB45" s="1154"/>
      <c r="AC45" s="1154"/>
      <c r="AD45" s="1154" t="str">
        <f>INDEX(PT_DIFFERENTIATION_CS,MATCH(C45,PT_DIFFERENTIATION_CS_ID,0))</f>
        <v/>
      </c>
      <c r="AE45" s="1154"/>
      <c r="AF45" s="1154"/>
      <c r="AG45" s="1154"/>
      <c r="AH45" s="1154"/>
      <c r="AI45" s="1154"/>
      <c r="AJ45" s="1154"/>
      <c r="AK45" s="1154"/>
      <c r="AL45" s="1154"/>
      <c r="AM45" s="397" t="s">
        <v>389</v>
      </c>
      <c r="AO45" s="121"/>
      <c r="AP45" s="121" t="str">
        <f t="shared" si="1"/>
        <v xml:space="preserve">Наименование системы теплоснабжения </v>
      </c>
      <c r="AQ45" s="121"/>
      <c r="AR45" s="121"/>
    </row>
    <row r="46" spans="1:44" ht="21" customHeight="1">
      <c r="A46" s="390" t="s">
        <v>164</v>
      </c>
      <c r="B46" s="390" t="s">
        <v>165</v>
      </c>
      <c r="C46" s="390" t="s">
        <v>166</v>
      </c>
      <c r="D46" s="390" t="s">
        <v>167</v>
      </c>
      <c r="E46" s="1153"/>
      <c r="F46" s="1153"/>
      <c r="G46" s="1153"/>
      <c r="H46" s="1153">
        <v>1</v>
      </c>
      <c r="I46" s="390"/>
      <c r="J46" s="390"/>
      <c r="K46" s="390"/>
      <c r="L46" s="391"/>
      <c r="M46" s="392"/>
      <c r="N46" s="392"/>
      <c r="O46" s="392"/>
      <c r="P46" s="401"/>
      <c r="Q46" s="398"/>
      <c r="R46" s="399"/>
      <c r="S46" s="394" t="str">
        <f>INDEX(PT_DIFFERENTIATION_NUM_IST_TE,MATCH(D46,PT_DIFFERENTIATION_IST_TE_ID,0))</f>
        <v>...</v>
      </c>
      <c r="T46" s="403" t="s">
        <v>390</v>
      </c>
      <c r="U46" s="396"/>
      <c r="V46" s="1154"/>
      <c r="W46" s="1154"/>
      <c r="X46" s="1154"/>
      <c r="Y46" s="1154"/>
      <c r="Z46" s="1154"/>
      <c r="AA46" s="1154"/>
      <c r="AB46" s="1154"/>
      <c r="AC46" s="1154"/>
      <c r="AD46" s="1154" t="str">
        <f>INDEX(PT_DIFFERENTIATION_IST_TE,MATCH(D46,PT_DIFFERENTIATION_IST_TE_ID,0))</f>
        <v/>
      </c>
      <c r="AE46" s="1154"/>
      <c r="AF46" s="1154"/>
      <c r="AG46" s="1154"/>
      <c r="AH46" s="1154"/>
      <c r="AI46" s="1154"/>
      <c r="AJ46" s="1154"/>
      <c r="AK46" s="1154"/>
      <c r="AL46" s="1154"/>
      <c r="AM46" s="397" t="s">
        <v>391</v>
      </c>
      <c r="AO46" s="121"/>
      <c r="AP46" s="121" t="str">
        <f t="shared" si="1"/>
        <v xml:space="preserve">Источник тепловой энергии  </v>
      </c>
      <c r="AQ46" s="121"/>
      <c r="AR46" s="121"/>
    </row>
    <row r="47" spans="1:44" s="53" customFormat="1" ht="5.25">
      <c r="A47" s="125" t="s">
        <v>164</v>
      </c>
      <c r="B47" s="125" t="s">
        <v>165</v>
      </c>
      <c r="C47" s="125" t="s">
        <v>166</v>
      </c>
      <c r="D47" s="125" t="s">
        <v>167</v>
      </c>
      <c r="E47" s="1153"/>
      <c r="F47" s="1153"/>
      <c r="G47" s="1153"/>
      <c r="H47" s="1153"/>
      <c r="I47" s="1155" t="str">
        <f>S46&amp;".1"</f>
        <v>....1</v>
      </c>
      <c r="J47" s="125"/>
      <c r="K47" s="125"/>
      <c r="L47" s="184" t="s">
        <v>392</v>
      </c>
      <c r="M47" s="466"/>
      <c r="N47" s="466"/>
      <c r="O47" s="466"/>
      <c r="P47" s="1156">
        <v>1</v>
      </c>
      <c r="Q47" s="124"/>
      <c r="R47" s="405"/>
      <c r="S47" s="280"/>
      <c r="T47" s="459"/>
      <c r="U47" s="460"/>
      <c r="V47" s="1175"/>
      <c r="W47" s="1175"/>
      <c r="X47" s="1175"/>
      <c r="Y47" s="1175"/>
      <c r="Z47" s="1175"/>
      <c r="AA47" s="1175"/>
      <c r="AB47" s="1175"/>
      <c r="AC47" s="1175"/>
      <c r="AD47" s="1175"/>
      <c r="AE47" s="1175"/>
      <c r="AF47" s="1175"/>
      <c r="AG47" s="1175"/>
      <c r="AH47" s="1175"/>
      <c r="AI47" s="1175"/>
      <c r="AJ47" s="1175"/>
      <c r="AK47" s="1175"/>
      <c r="AL47" s="1175"/>
      <c r="AM47" s="461"/>
      <c r="AO47" s="121"/>
      <c r="AP47" s="121" t="str">
        <f t="shared" si="1"/>
        <v/>
      </c>
      <c r="AQ47" s="121"/>
      <c r="AR47" s="121"/>
    </row>
    <row r="48" spans="1:44" ht="21" customHeight="1">
      <c r="A48" s="390" t="s">
        <v>164</v>
      </c>
      <c r="B48" s="390" t="s">
        <v>165</v>
      </c>
      <c r="C48" s="390" t="s">
        <v>166</v>
      </c>
      <c r="D48" s="390" t="s">
        <v>167</v>
      </c>
      <c r="E48" s="1153"/>
      <c r="F48" s="1153"/>
      <c r="G48" s="1153"/>
      <c r="H48" s="1153"/>
      <c r="I48" s="1155"/>
      <c r="J48" s="1155" t="str">
        <f>S46&amp;".1"</f>
        <v>....1</v>
      </c>
      <c r="K48" s="390"/>
      <c r="L48" s="391" t="s">
        <v>395</v>
      </c>
      <c r="P48" s="1156"/>
      <c r="Q48" s="1156">
        <v>1</v>
      </c>
      <c r="R48" s="408"/>
      <c r="S48" s="394" t="str">
        <f>$J48</f>
        <v>....1</v>
      </c>
      <c r="T48" s="409" t="s">
        <v>396</v>
      </c>
      <c r="U48" s="396"/>
      <c r="V48" s="1157"/>
      <c r="W48" s="1157"/>
      <c r="X48" s="1157"/>
      <c r="Y48" s="1157"/>
      <c r="Z48" s="1157"/>
      <c r="AA48" s="1157"/>
      <c r="AB48" s="1157"/>
      <c r="AC48" s="1157"/>
      <c r="AD48" s="1157"/>
      <c r="AE48" s="1157"/>
      <c r="AF48" s="1157"/>
      <c r="AG48" s="1157"/>
      <c r="AH48" s="1157"/>
      <c r="AI48" s="1157"/>
      <c r="AJ48" s="1157"/>
      <c r="AK48" s="1157"/>
      <c r="AL48" s="1157"/>
      <c r="AM48" s="397" t="s">
        <v>397</v>
      </c>
      <c r="AO48" s="121"/>
      <c r="AP48" s="121" t="str">
        <f t="shared" si="1"/>
        <v>Группа потребителей</v>
      </c>
      <c r="AQ48" s="121"/>
      <c r="AR48" s="121"/>
    </row>
    <row r="49" spans="1:44" ht="21" customHeight="1">
      <c r="A49" s="390" t="s">
        <v>164</v>
      </c>
      <c r="B49" s="390" t="s">
        <v>165</v>
      </c>
      <c r="C49" s="390" t="s">
        <v>166</v>
      </c>
      <c r="D49" s="390" t="s">
        <v>167</v>
      </c>
      <c r="E49" s="1153"/>
      <c r="F49" s="1153"/>
      <c r="G49" s="1153"/>
      <c r="H49" s="1153"/>
      <c r="I49" s="1155"/>
      <c r="J49" s="1155"/>
      <c r="K49" s="1155" t="str">
        <f>J48&amp;".1"</f>
        <v>....1.1</v>
      </c>
      <c r="L49" s="391" t="s">
        <v>398</v>
      </c>
      <c r="P49" s="1156"/>
      <c r="Q49" s="1156"/>
      <c r="R49" s="408">
        <v>1</v>
      </c>
      <c r="S49" s="394" t="str">
        <f>$K49</f>
        <v>....1.1</v>
      </c>
      <c r="T49" s="410"/>
      <c r="U49" s="396"/>
      <c r="V49" s="411"/>
      <c r="W49" s="412"/>
      <c r="X49" s="411"/>
      <c r="Y49" s="413"/>
      <c r="Z49" s="1158"/>
      <c r="AA49" s="1105" t="s">
        <v>63</v>
      </c>
      <c r="AB49" s="1158"/>
      <c r="AC49" s="1105" t="s">
        <v>63</v>
      </c>
      <c r="AD49" s="411"/>
      <c r="AE49" s="412"/>
      <c r="AF49" s="411"/>
      <c r="AG49" s="413"/>
      <c r="AH49" s="1158"/>
      <c r="AI49" s="1105" t="s">
        <v>63</v>
      </c>
      <c r="AJ49" s="1158"/>
      <c r="AK49" s="1105" t="s">
        <v>63</v>
      </c>
      <c r="AL49" s="454"/>
      <c r="AM49" s="1159" t="s">
        <v>436</v>
      </c>
      <c r="AN49" s="53" t="e">
        <f ca="1">strcheckdate(V50:AL50)</f>
        <v>#NAME?</v>
      </c>
      <c r="AO49" s="121"/>
      <c r="AP49" s="121" t="str">
        <f t="shared" si="1"/>
        <v/>
      </c>
      <c r="AQ49" s="121"/>
      <c r="AR49" s="121"/>
    </row>
    <row r="50" spans="1:44" ht="0.75" customHeight="1">
      <c r="A50" s="390" t="s">
        <v>164</v>
      </c>
      <c r="B50" s="390" t="s">
        <v>165</v>
      </c>
      <c r="C50" s="390" t="s">
        <v>166</v>
      </c>
      <c r="D50" s="390" t="s">
        <v>167</v>
      </c>
      <c r="E50" s="1153"/>
      <c r="F50" s="1153"/>
      <c r="G50" s="1153"/>
      <c r="H50" s="1153"/>
      <c r="I50" s="1155"/>
      <c r="J50" s="1155"/>
      <c r="K50" s="1155"/>
      <c r="L50" s="391"/>
      <c r="P50" s="1156"/>
      <c r="Q50" s="1156"/>
      <c r="R50" s="408"/>
      <c r="S50" s="370"/>
      <c r="T50" s="396"/>
      <c r="U50" s="396"/>
      <c r="V50" s="412"/>
      <c r="W50" s="412"/>
      <c r="X50" s="412"/>
      <c r="Y50" s="415" t="str">
        <f>Z49&amp;"-"&amp;AB49</f>
        <v>-</v>
      </c>
      <c r="Z50" s="1158"/>
      <c r="AA50" s="1105"/>
      <c r="AB50" s="1158"/>
      <c r="AC50" s="1105"/>
      <c r="AD50" s="412"/>
      <c r="AE50" s="412"/>
      <c r="AF50" s="412"/>
      <c r="AG50" s="415" t="str">
        <f>AH49&amp;"-"&amp;AJ49</f>
        <v>-</v>
      </c>
      <c r="AH50" s="1158"/>
      <c r="AI50" s="1105"/>
      <c r="AJ50" s="1158"/>
      <c r="AK50" s="1105"/>
      <c r="AL50" s="455"/>
      <c r="AM50" s="1159"/>
      <c r="AO50" s="121"/>
      <c r="AP50" s="121" t="str">
        <f t="shared" si="1"/>
        <v/>
      </c>
      <c r="AQ50" s="121"/>
      <c r="AR50" s="121"/>
    </row>
    <row r="51" spans="1:44" ht="11.25" customHeight="1">
      <c r="A51" s="390" t="s">
        <v>164</v>
      </c>
      <c r="B51" s="390" t="s">
        <v>165</v>
      </c>
      <c r="C51" s="390" t="s">
        <v>166</v>
      </c>
      <c r="D51" s="390" t="s">
        <v>167</v>
      </c>
      <c r="E51" s="1153"/>
      <c r="F51" s="1153"/>
      <c r="G51" s="1153"/>
      <c r="H51" s="1153"/>
      <c r="I51" s="1155"/>
      <c r="J51" s="1155"/>
      <c r="K51" s="390"/>
      <c r="L51" s="391"/>
      <c r="P51" s="1156"/>
      <c r="Q51" s="1156"/>
      <c r="R51" s="405"/>
      <c r="S51" s="416"/>
      <c r="T51" s="419" t="s">
        <v>400</v>
      </c>
      <c r="U51" s="186"/>
      <c r="V51" s="186"/>
      <c r="W51" s="186"/>
      <c r="X51" s="186"/>
      <c r="Y51" s="186"/>
      <c r="Z51" s="186"/>
      <c r="AA51" s="186"/>
      <c r="AB51" s="186"/>
      <c r="AC51" s="186"/>
      <c r="AD51" s="186"/>
      <c r="AE51" s="186"/>
      <c r="AF51" s="186"/>
      <c r="AG51" s="186"/>
      <c r="AH51" s="186"/>
      <c r="AI51" s="186"/>
      <c r="AJ51" s="186"/>
      <c r="AK51" s="186"/>
      <c r="AL51" s="418"/>
      <c r="AM51" s="1159"/>
      <c r="AO51" s="121"/>
      <c r="AP51" s="121" t="str">
        <f t="shared" si="1"/>
        <v>Добавить вид теплоносителя (параметры теплоносителя)</v>
      </c>
      <c r="AQ51" s="121"/>
      <c r="AR51" s="121"/>
    </row>
    <row r="52" spans="1:44" ht="11.25" customHeight="1">
      <c r="A52" s="390" t="s">
        <v>164</v>
      </c>
      <c r="B52" s="390" t="s">
        <v>165</v>
      </c>
      <c r="C52" s="390" t="s">
        <v>166</v>
      </c>
      <c r="D52" s="390" t="s">
        <v>167</v>
      </c>
      <c r="E52" s="1153"/>
      <c r="F52" s="1153"/>
      <c r="G52" s="1153"/>
      <c r="H52" s="1153"/>
      <c r="I52" s="1155"/>
      <c r="J52" s="390"/>
      <c r="K52" s="390"/>
      <c r="L52" s="391"/>
      <c r="P52" s="1156"/>
      <c r="Q52" s="124"/>
      <c r="R52" s="405"/>
      <c r="S52" s="416"/>
      <c r="T52" s="423" t="s">
        <v>401</v>
      </c>
      <c r="U52" s="186"/>
      <c r="V52" s="186"/>
      <c r="W52" s="186"/>
      <c r="X52" s="186"/>
      <c r="Y52" s="186"/>
      <c r="Z52" s="186"/>
      <c r="AA52" s="186"/>
      <c r="AB52" s="186"/>
      <c r="AC52" s="420"/>
      <c r="AD52" s="186"/>
      <c r="AE52" s="186"/>
      <c r="AF52" s="186"/>
      <c r="AG52" s="186"/>
      <c r="AH52" s="186"/>
      <c r="AI52" s="186"/>
      <c r="AJ52" s="186"/>
      <c r="AK52" s="420"/>
      <c r="AL52" s="186"/>
      <c r="AM52" s="421"/>
      <c r="AO52" s="121"/>
      <c r="AP52" s="121" t="str">
        <f t="shared" si="1"/>
        <v>Добавить группу потребителей</v>
      </c>
      <c r="AQ52" s="121"/>
      <c r="AR52" s="121"/>
    </row>
    <row r="53" spans="1:44">
      <c r="A53" s="390" t="s">
        <v>164</v>
      </c>
      <c r="B53" s="390" t="s">
        <v>165</v>
      </c>
      <c r="C53" s="390" t="s">
        <v>166</v>
      </c>
      <c r="D53" s="390" t="s">
        <v>167</v>
      </c>
      <c r="E53" s="1153"/>
      <c r="F53" s="1153"/>
      <c r="G53" s="1153"/>
      <c r="H53" s="1153"/>
      <c r="I53" s="390"/>
      <c r="J53" s="390"/>
      <c r="K53" s="390"/>
      <c r="L53" s="391"/>
      <c r="M53" s="392"/>
      <c r="N53" s="392"/>
      <c r="O53" s="49"/>
      <c r="P53" s="134"/>
      <c r="Q53" s="422"/>
      <c r="R53" s="393"/>
      <c r="S53" s="462"/>
      <c r="T53" s="463"/>
      <c r="U53" s="464"/>
      <c r="V53" s="464"/>
      <c r="W53" s="464"/>
      <c r="X53" s="464"/>
      <c r="Y53" s="464"/>
      <c r="Z53" s="464"/>
      <c r="AA53" s="464"/>
      <c r="AB53" s="464"/>
      <c r="AC53" s="464"/>
      <c r="AD53" s="464"/>
      <c r="AE53" s="464"/>
      <c r="AF53" s="464"/>
      <c r="AG53" s="464"/>
      <c r="AH53" s="464"/>
      <c r="AI53" s="464"/>
      <c r="AJ53" s="464"/>
      <c r="AK53" s="464"/>
      <c r="AL53" s="464"/>
      <c r="AM53" s="465"/>
      <c r="AO53" s="121"/>
      <c r="AP53" s="121" t="str">
        <f t="shared" si="1"/>
        <v/>
      </c>
      <c r="AQ53" s="121"/>
      <c r="AR53" s="121"/>
    </row>
    <row r="54" spans="1:44" s="53" customFormat="1" ht="0.75" customHeight="1">
      <c r="A54" s="125" t="s">
        <v>164</v>
      </c>
      <c r="B54" s="125" t="s">
        <v>165</v>
      </c>
      <c r="C54" s="125" t="s">
        <v>166</v>
      </c>
      <c r="D54" s="125"/>
      <c r="E54" s="1153"/>
      <c r="F54" s="1153"/>
      <c r="G54" s="1153"/>
      <c r="H54" s="125"/>
      <c r="I54" s="125"/>
      <c r="J54" s="125"/>
      <c r="K54" s="125"/>
      <c r="L54" s="184"/>
      <c r="M54" s="375"/>
      <c r="N54" s="375"/>
      <c r="P54" s="158"/>
      <c r="Q54" s="424"/>
      <c r="R54" s="158"/>
      <c r="S54" s="429"/>
      <c r="T54" s="432" t="s">
        <v>403</v>
      </c>
      <c r="U54" s="431"/>
      <c r="V54" s="431"/>
      <c r="W54" s="431"/>
      <c r="X54" s="431"/>
      <c r="Y54" s="431"/>
      <c r="Z54" s="431"/>
      <c r="AA54" s="431"/>
      <c r="AB54" s="431"/>
      <c r="AC54" s="431"/>
      <c r="AD54" s="431"/>
      <c r="AE54" s="431"/>
      <c r="AF54" s="431"/>
      <c r="AG54" s="431"/>
      <c r="AH54" s="431"/>
      <c r="AI54" s="431"/>
      <c r="AJ54" s="431"/>
      <c r="AK54" s="431"/>
      <c r="AL54" s="431"/>
      <c r="AM54" s="431"/>
      <c r="AO54" s="121"/>
      <c r="AP54" s="121" t="str">
        <f t="shared" si="1"/>
        <v>Добавить источник для дифференциации</v>
      </c>
      <c r="AQ54" s="121"/>
      <c r="AR54" s="121"/>
    </row>
    <row r="55" spans="1:44" s="53" customFormat="1" ht="0.75" customHeight="1">
      <c r="A55" s="125" t="s">
        <v>164</v>
      </c>
      <c r="B55" s="125" t="s">
        <v>165</v>
      </c>
      <c r="C55" s="125"/>
      <c r="D55" s="125"/>
      <c r="E55" s="1153"/>
      <c r="F55" s="1153"/>
      <c r="G55" s="125"/>
      <c r="H55" s="125"/>
      <c r="I55" s="125"/>
      <c r="J55" s="125"/>
      <c r="K55" s="125"/>
      <c r="L55" s="184"/>
      <c r="M55" s="428"/>
      <c r="N55" s="428"/>
      <c r="P55" s="158"/>
      <c r="Q55" s="424"/>
      <c r="R55" s="158"/>
      <c r="S55" s="429"/>
      <c r="T55" s="432" t="s">
        <v>253</v>
      </c>
      <c r="U55" s="431"/>
      <c r="V55" s="431"/>
      <c r="W55" s="431"/>
      <c r="X55" s="431"/>
      <c r="Y55" s="431"/>
      <c r="Z55" s="431"/>
      <c r="AA55" s="431"/>
      <c r="AB55" s="431"/>
      <c r="AC55" s="431"/>
      <c r="AD55" s="431"/>
      <c r="AE55" s="431"/>
      <c r="AF55" s="431"/>
      <c r="AG55" s="431"/>
      <c r="AH55" s="431"/>
      <c r="AI55" s="431"/>
      <c r="AJ55" s="431"/>
      <c r="AK55" s="431"/>
      <c r="AL55" s="431"/>
      <c r="AM55" s="431"/>
      <c r="AO55" s="121"/>
      <c r="AP55" s="121" t="str">
        <f t="shared" si="1"/>
        <v>Добавить централизованную систему для дифференциации</v>
      </c>
      <c r="AQ55" s="121"/>
      <c r="AR55" s="121"/>
    </row>
    <row r="56" spans="1:44" s="53" customFormat="1" ht="0.75" customHeight="1">
      <c r="A56" s="125" t="s">
        <v>164</v>
      </c>
      <c r="B56" s="125"/>
      <c r="C56" s="125"/>
      <c r="D56" s="125"/>
      <c r="E56" s="1153"/>
      <c r="F56" s="125"/>
      <c r="G56" s="125"/>
      <c r="H56" s="125"/>
      <c r="I56" s="125"/>
      <c r="J56" s="125"/>
      <c r="K56" s="125"/>
      <c r="L56" s="184"/>
      <c r="M56" s="428"/>
      <c r="N56" s="428"/>
      <c r="P56" s="158"/>
      <c r="Q56" s="424"/>
      <c r="R56" s="158"/>
      <c r="S56" s="429"/>
      <c r="T56" s="432" t="s">
        <v>254</v>
      </c>
      <c r="U56" s="431"/>
      <c r="V56" s="431"/>
      <c r="W56" s="431"/>
      <c r="X56" s="431"/>
      <c r="Y56" s="431"/>
      <c r="Z56" s="431"/>
      <c r="AA56" s="431"/>
      <c r="AB56" s="431"/>
      <c r="AC56" s="431"/>
      <c r="AD56" s="431"/>
      <c r="AE56" s="431"/>
      <c r="AF56" s="431"/>
      <c r="AG56" s="431"/>
      <c r="AH56" s="431"/>
      <c r="AI56" s="431"/>
      <c r="AJ56" s="431"/>
      <c r="AK56" s="431"/>
      <c r="AL56" s="431"/>
      <c r="AM56" s="431"/>
      <c r="AO56" s="121"/>
      <c r="AP56" s="121" t="str">
        <f t="shared" si="1"/>
        <v>Добавить территорию для дифференциации</v>
      </c>
      <c r="AQ56" s="121"/>
      <c r="AR56" s="121"/>
    </row>
    <row r="57" spans="1:44" s="53" customFormat="1" ht="0.75" customHeight="1">
      <c r="A57" s="125"/>
      <c r="B57" s="125"/>
      <c r="C57" s="125"/>
      <c r="D57" s="125"/>
      <c r="E57" s="125"/>
      <c r="F57" s="125"/>
      <c r="G57" s="125"/>
      <c r="H57" s="125"/>
      <c r="I57" s="125"/>
      <c r="J57" s="125"/>
      <c r="K57" s="125"/>
      <c r="L57" s="184"/>
      <c r="M57" s="428"/>
      <c r="N57" s="428"/>
      <c r="P57" s="158"/>
      <c r="Q57" s="424"/>
      <c r="R57" s="158"/>
      <c r="S57" s="429"/>
      <c r="T57" s="432" t="s">
        <v>255</v>
      </c>
      <c r="U57" s="431"/>
      <c r="V57" s="431"/>
      <c r="W57" s="431"/>
      <c r="X57" s="431"/>
      <c r="Y57" s="431"/>
      <c r="Z57" s="431"/>
      <c r="AA57" s="431"/>
      <c r="AB57" s="431"/>
      <c r="AC57" s="431"/>
      <c r="AD57" s="431"/>
      <c r="AE57" s="431"/>
      <c r="AF57" s="431"/>
      <c r="AG57" s="431"/>
      <c r="AH57" s="431"/>
      <c r="AI57" s="431"/>
      <c r="AJ57" s="431"/>
      <c r="AK57" s="431"/>
      <c r="AL57" s="431"/>
      <c r="AM57" s="431"/>
      <c r="AO57" s="121"/>
      <c r="AP57" s="121" t="str">
        <f t="shared" si="1"/>
        <v>Добавить наименование тарифа</v>
      </c>
      <c r="AQ57" s="121"/>
      <c r="AR57" s="121"/>
    </row>
    <row r="58" spans="1:44" ht="11.25" customHeight="1">
      <c r="M58" s="49"/>
      <c r="N58" s="49"/>
      <c r="O58" s="49"/>
      <c r="P58" s="46"/>
      <c r="Q58" s="46"/>
      <c r="R58" s="46"/>
      <c r="S58" s="46"/>
      <c r="AN58" s="46"/>
      <c r="AO58" s="46"/>
      <c r="AP58" s="46"/>
      <c r="AQ58" s="46"/>
      <c r="AR58" s="46"/>
    </row>
    <row r="59" spans="1:44" ht="18.75" customHeight="1">
      <c r="O59" s="49"/>
      <c r="S59" s="387"/>
      <c r="T59" s="1171"/>
      <c r="U59" s="1171"/>
      <c r="V59" s="1171"/>
      <c r="W59" s="1171"/>
      <c r="X59" s="1171"/>
      <c r="Y59" s="1171"/>
      <c r="Z59" s="1171"/>
      <c r="AA59" s="1171"/>
      <c r="AB59" s="1171"/>
      <c r="AC59" s="1171"/>
      <c r="AD59" s="1171"/>
      <c r="AE59" s="1171"/>
      <c r="AF59" s="1171"/>
      <c r="AG59" s="1171"/>
      <c r="AH59" s="1171"/>
      <c r="AI59" s="1171"/>
      <c r="AJ59" s="1171"/>
      <c r="AK59" s="1171"/>
      <c r="AL59" s="1171"/>
      <c r="AM59" s="1171"/>
    </row>
    <row r="60" spans="1:44" ht="27.75" customHeight="1">
      <c r="O60" s="49"/>
      <c r="T60" s="1171"/>
      <c r="U60" s="1171"/>
      <c r="V60" s="1171"/>
      <c r="W60" s="1171"/>
      <c r="X60" s="1171"/>
      <c r="Y60" s="1171"/>
      <c r="Z60" s="1171"/>
      <c r="AA60" s="1171"/>
      <c r="AB60" s="1171"/>
      <c r="AC60" s="1171"/>
      <c r="AD60" s="1171"/>
      <c r="AE60" s="1171"/>
      <c r="AF60" s="1171"/>
      <c r="AG60" s="1171"/>
      <c r="AH60" s="1171"/>
      <c r="AI60" s="1171"/>
      <c r="AJ60" s="1171"/>
      <c r="AK60" s="1171"/>
      <c r="AL60" s="1171"/>
      <c r="AM60" s="1171"/>
    </row>
    <row r="61" spans="1:44" ht="39.75" customHeight="1">
      <c r="O61" s="49"/>
      <c r="T61" s="1171"/>
      <c r="U61" s="1171"/>
      <c r="V61" s="1171"/>
      <c r="W61" s="1171"/>
      <c r="X61" s="1171"/>
      <c r="Y61" s="1171"/>
      <c r="Z61" s="1171"/>
      <c r="AA61" s="1171"/>
      <c r="AB61" s="1171"/>
      <c r="AC61" s="1171"/>
      <c r="AD61" s="1171"/>
      <c r="AE61" s="1171"/>
      <c r="AF61" s="1171"/>
      <c r="AG61" s="1171"/>
      <c r="AH61" s="1171"/>
      <c r="AI61" s="1171"/>
      <c r="AJ61" s="1171"/>
      <c r="AK61" s="1171"/>
      <c r="AL61" s="1171"/>
      <c r="AM61" s="1171"/>
    </row>
    <row r="62" spans="1:44" ht="14.25" customHeight="1">
      <c r="O62" s="49"/>
    </row>
    <row r="63" spans="1:44" ht="19.5" customHeight="1">
      <c r="O63" s="49"/>
      <c r="S63" s="387"/>
      <c r="T63" s="1119"/>
      <c r="U63" s="1119"/>
      <c r="V63" s="1119"/>
      <c r="W63" s="1119"/>
      <c r="X63" s="1119"/>
      <c r="Y63" s="1119"/>
      <c r="Z63" s="1119"/>
      <c r="AA63" s="1119"/>
      <c r="AB63" s="1119"/>
      <c r="AC63" s="1119"/>
      <c r="AD63" s="1119"/>
      <c r="AE63" s="1119"/>
      <c r="AF63" s="1119"/>
      <c r="AG63" s="1119"/>
      <c r="AH63" s="1119"/>
      <c r="AI63" s="1119"/>
      <c r="AJ63" s="1119"/>
      <c r="AK63" s="1119"/>
      <c r="AL63" s="1119"/>
      <c r="AM63" s="1119"/>
    </row>
    <row r="64" spans="1:44" ht="27.75" customHeight="1">
      <c r="O64" s="49"/>
      <c r="T64" s="1171"/>
      <c r="U64" s="1171"/>
      <c r="V64" s="1171"/>
      <c r="W64" s="1171"/>
      <c r="X64" s="1171"/>
      <c r="Y64" s="1171"/>
      <c r="Z64" s="1171"/>
      <c r="AA64" s="1171"/>
      <c r="AB64" s="1171"/>
      <c r="AC64" s="1171"/>
      <c r="AD64" s="1171"/>
      <c r="AE64" s="1171"/>
      <c r="AF64" s="1171"/>
      <c r="AG64" s="1171"/>
      <c r="AH64" s="1171"/>
      <c r="AI64" s="1171"/>
      <c r="AJ64" s="1171"/>
      <c r="AK64" s="1171"/>
      <c r="AL64" s="1171"/>
      <c r="AM64" s="1171"/>
    </row>
    <row r="65" spans="20:39" ht="33.75" customHeight="1">
      <c r="T65" s="1171"/>
      <c r="U65" s="1171"/>
      <c r="V65" s="1171"/>
      <c r="W65" s="1171"/>
      <c r="X65" s="1171"/>
      <c r="Y65" s="1171"/>
      <c r="Z65" s="1171"/>
      <c r="AA65" s="1171"/>
      <c r="AB65" s="1171"/>
      <c r="AC65" s="1171"/>
      <c r="AD65" s="1171"/>
      <c r="AE65" s="1171"/>
      <c r="AF65" s="1171"/>
      <c r="AG65" s="1171"/>
      <c r="AH65" s="1171"/>
      <c r="AI65" s="1171"/>
      <c r="AJ65" s="1171"/>
      <c r="AK65" s="1171"/>
      <c r="AL65" s="1171"/>
      <c r="AM65" s="1171"/>
    </row>
  </sheetData>
  <mergeCells count="113">
    <mergeCell ref="T60:AM60"/>
    <mergeCell ref="T61:AM61"/>
    <mergeCell ref="T63:AM63"/>
    <mergeCell ref="T64:AM64"/>
    <mergeCell ref="T65:AM65"/>
    <mergeCell ref="AA49:AA50"/>
    <mergeCell ref="AB49:AB50"/>
    <mergeCell ref="AC49:AC50"/>
    <mergeCell ref="AH49:AH50"/>
    <mergeCell ref="AI49:AI50"/>
    <mergeCell ref="AJ49:AJ50"/>
    <mergeCell ref="AK49:AK50"/>
    <mergeCell ref="AM49:AM51"/>
    <mergeCell ref="T59:AM59"/>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S32:T32"/>
    <mergeCell ref="V32:AB32"/>
    <mergeCell ref="AD32:AJ32"/>
    <mergeCell ref="S34:T34"/>
    <mergeCell ref="V34:AB34"/>
    <mergeCell ref="AD34:AJ34"/>
    <mergeCell ref="S35:T35"/>
    <mergeCell ref="V35:AB35"/>
    <mergeCell ref="AD35:AJ35"/>
    <mergeCell ref="S26:AJ26"/>
    <mergeCell ref="S27:AJ27"/>
    <mergeCell ref="S29:T29"/>
    <mergeCell ref="V29:AB29"/>
    <mergeCell ref="AD29:AJ29"/>
    <mergeCell ref="S30:T30"/>
    <mergeCell ref="V30:AB30"/>
    <mergeCell ref="AD30:AJ30"/>
    <mergeCell ref="S31:T31"/>
    <mergeCell ref="V31:AB31"/>
    <mergeCell ref="AD31:AJ31"/>
    <mergeCell ref="AC8:AC9"/>
    <mergeCell ref="AH8:AH9"/>
    <mergeCell ref="AI8:AI9"/>
    <mergeCell ref="AJ8:AJ9"/>
    <mergeCell ref="AK8:AK9"/>
    <mergeCell ref="AM8:AM10"/>
    <mergeCell ref="AH17:AH18"/>
    <mergeCell ref="AI17:AI18"/>
    <mergeCell ref="AJ17:AJ18"/>
    <mergeCell ref="AK17:AK18"/>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s>
  <dataValidations count="3">
    <dataValidation allowBlank="1" showInputMessage="1" showErrorMessage="1" prompt="Для выбора выполните двойной щелчок левой клавиши мыши по соответствующей ячейке." sqref="AA8 AC8 AI8 AK8 AI17 AK17 AA49 AC49 AI49 AK49">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formula1>0</formula1>
      <formula2>0</formula2>
    </dataValidation>
    <dataValidation allowBlank="1" promptTitle="checkPeriodRange" sqref="Y9 AG9 AG18 Y50 AG50">
      <formula1>0</formula1>
      <formula2>0</formula2>
    </dataValidation>
  </dataValidations>
  <pageMargins left="0.7" right="0.7" top="0.625" bottom="0.625" header="0.3" footer="0.3"/>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R65"/>
  <sheetViews>
    <sheetView showGridLines="0" topLeftCell="Q25"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2" style="49" hidden="1" customWidth="1"/>
    <col min="10" max="10" width="9.85546875" style="49" hidden="1" customWidth="1"/>
    <col min="11" max="11" width="11.42578125" style="49" hidden="1" customWidth="1"/>
    <col min="12" max="12" width="19.140625" style="107" hidden="1" customWidth="1"/>
    <col min="13" max="14" width="12.28515625" style="57" hidden="1" customWidth="1"/>
    <col min="15" max="15" width="23.42578125" style="57" hidden="1" customWidth="1"/>
    <col min="16" max="16" width="3.7109375" style="56" hidden="1" customWidth="1"/>
    <col min="17" max="18" width="3.7109375" style="389" customWidth="1"/>
    <col min="19" max="19" width="12.7109375" style="254" customWidth="1"/>
    <col min="20" max="20" width="32" style="46" customWidth="1"/>
    <col min="21" max="21" width="0.140625" style="46" customWidth="1"/>
    <col min="22" max="22" width="24.7109375" style="46" hidden="1" customWidth="1"/>
    <col min="23" max="23" width="0.140625" style="46" hidden="1" customWidth="1"/>
    <col min="24" max="25" width="24.7109375" style="46" hidden="1" customWidth="1"/>
    <col min="26" max="26" width="11.7109375" style="46" hidden="1" customWidth="1"/>
    <col min="27" max="27" width="3.7109375" style="46" hidden="1" customWidth="1"/>
    <col min="28" max="28" width="11.7109375" style="46" hidden="1" customWidth="1"/>
    <col min="29" max="29" width="8.5703125" style="46" hidden="1" customWidth="1"/>
    <col min="30" max="30" width="24.7109375" style="46" customWidth="1"/>
    <col min="31" max="31" width="0.140625" style="46" customWidth="1"/>
    <col min="32" max="33" width="24.7109375" style="46" customWidth="1"/>
    <col min="34" max="34" width="11.7109375" style="46" customWidth="1"/>
    <col min="35" max="35" width="3.7109375" style="46" customWidth="1"/>
    <col min="36" max="36" width="11.7109375" style="46" customWidth="1"/>
    <col min="37" max="37" width="8.5703125" style="46" hidden="1" customWidth="1"/>
    <col min="38" max="38" width="4.7109375" style="46" customWidth="1"/>
    <col min="39" max="39" width="115.7109375" style="46" customWidth="1"/>
    <col min="40" max="41" width="10.5703125" style="53"/>
    <col min="42" max="42" width="11.140625" style="53" customWidth="1"/>
    <col min="43" max="44" width="10.5703125" style="53"/>
  </cols>
  <sheetData>
    <row r="1" spans="1:44" ht="14.25" hidden="1" customHeight="1">
      <c r="A1" s="467"/>
    </row>
    <row r="2" spans="1:44" ht="21"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c r="AD2" s="1154" t="e">
        <f>INDEX(PT_DIFFERENTIATION_NTAR,MATCH(A2,PT_DIFFERENTIATION_NTAR_ID,0))</f>
        <v>#N/A</v>
      </c>
      <c r="AE2" s="1154"/>
      <c r="AF2" s="1154"/>
      <c r="AG2" s="1154"/>
      <c r="AH2" s="1154"/>
      <c r="AI2" s="1154"/>
      <c r="AJ2" s="1154"/>
      <c r="AK2" s="1154"/>
      <c r="AL2" s="1154"/>
      <c r="AM2" s="397" t="s">
        <v>385</v>
      </c>
      <c r="AO2" s="121"/>
      <c r="AP2" s="121" t="str">
        <f t="shared" ref="AP2:AP15" si="0">IF(T2="","",T2)</f>
        <v>Наименование тарифа</v>
      </c>
      <c r="AQ2" s="121"/>
      <c r="AR2" s="121"/>
    </row>
    <row r="3" spans="1:44" ht="21"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c r="AD3" s="1154" t="e">
        <f>INDEX(PT_DIFFERENTIATION_TER,MATCH(B3,PT_DIFFERENTIATION_TER_ID,0))</f>
        <v>#N/A</v>
      </c>
      <c r="AE3" s="1154"/>
      <c r="AF3" s="1154"/>
      <c r="AG3" s="1154"/>
      <c r="AH3" s="1154"/>
      <c r="AI3" s="1154"/>
      <c r="AJ3" s="1154"/>
      <c r="AK3" s="1154"/>
      <c r="AL3" s="1154"/>
      <c r="AM3" s="397" t="s">
        <v>387</v>
      </c>
      <c r="AO3" s="121"/>
      <c r="AP3" s="121" t="str">
        <f t="shared" si="0"/>
        <v>Территория действия тарифа</v>
      </c>
      <c r="AQ3" s="121"/>
      <c r="AR3" s="121"/>
    </row>
    <row r="4" spans="1:44"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388</v>
      </c>
      <c r="U4" s="396"/>
      <c r="V4" s="1154"/>
      <c r="W4" s="1154"/>
      <c r="X4" s="1154"/>
      <c r="Y4" s="1154"/>
      <c r="Z4" s="1154"/>
      <c r="AA4" s="1154"/>
      <c r="AB4" s="1154"/>
      <c r="AC4" s="1154"/>
      <c r="AD4" s="1154" t="e">
        <f>INDEX(PT_DIFFERENTIATION_CS,MATCH(C4,PT_DIFFERENTIATION_CS_ID,0))</f>
        <v>#N/A</v>
      </c>
      <c r="AE4" s="1154"/>
      <c r="AF4" s="1154"/>
      <c r="AG4" s="1154"/>
      <c r="AH4" s="1154"/>
      <c r="AI4" s="1154"/>
      <c r="AJ4" s="1154"/>
      <c r="AK4" s="1154"/>
      <c r="AL4" s="1154"/>
      <c r="AM4" s="397" t="s">
        <v>389</v>
      </c>
      <c r="AO4" s="121"/>
      <c r="AP4" s="121" t="str">
        <f t="shared" si="0"/>
        <v xml:space="preserve">Наименование системы теплоснабжения </v>
      </c>
      <c r="AQ4" s="121"/>
      <c r="AR4" s="121"/>
    </row>
    <row r="5" spans="1:44" ht="21" hidden="1" customHeight="1">
      <c r="A5" s="390"/>
      <c r="B5" s="390"/>
      <c r="C5" s="390"/>
      <c r="D5" s="390"/>
      <c r="E5" s="1153"/>
      <c r="F5" s="1153"/>
      <c r="G5" s="1153"/>
      <c r="H5" s="1153">
        <v>1</v>
      </c>
      <c r="I5" s="390"/>
      <c r="J5" s="390"/>
      <c r="K5" s="390"/>
      <c r="L5" s="391"/>
      <c r="M5" s="392"/>
      <c r="N5" s="392"/>
      <c r="O5" s="392"/>
      <c r="P5" s="401"/>
      <c r="Q5" s="398"/>
      <c r="R5" s="399"/>
      <c r="S5" s="394" t="e">
        <f>INDEX(PT_DIFFERENTIATION_NUM_IST_TE,MATCH(D5,PT_DIFFERENTIATION_IST_TE_ID,0))</f>
        <v>#N/A</v>
      </c>
      <c r="T5" s="403" t="s">
        <v>390</v>
      </c>
      <c r="U5" s="396"/>
      <c r="V5" s="1154"/>
      <c r="W5" s="1154"/>
      <c r="X5" s="1154"/>
      <c r="Y5" s="1154"/>
      <c r="Z5" s="1154"/>
      <c r="AA5" s="1154"/>
      <c r="AB5" s="1154"/>
      <c r="AC5" s="1154"/>
      <c r="AD5" s="1154" t="e">
        <f>INDEX(PT_DIFFERENTIATION_IST_TE,MATCH(D5,PT_DIFFERENTIATION_IST_TE_ID,0))</f>
        <v>#N/A</v>
      </c>
      <c r="AE5" s="1154"/>
      <c r="AF5" s="1154"/>
      <c r="AG5" s="1154"/>
      <c r="AH5" s="1154"/>
      <c r="AI5" s="1154"/>
      <c r="AJ5" s="1154"/>
      <c r="AK5" s="1154"/>
      <c r="AL5" s="1154"/>
      <c r="AM5" s="397" t="s">
        <v>391</v>
      </c>
      <c r="AO5" s="121"/>
      <c r="AP5" s="121" t="str">
        <f t="shared" si="0"/>
        <v xml:space="preserve">Источник тепловой энергии  </v>
      </c>
      <c r="AQ5" s="121"/>
      <c r="AR5" s="121"/>
    </row>
    <row r="6" spans="1:44" ht="14.25" hidden="1" customHeight="1">
      <c r="A6" s="390"/>
      <c r="B6" s="390"/>
      <c r="C6" s="390"/>
      <c r="D6" s="390"/>
      <c r="E6" s="1153"/>
      <c r="F6" s="1153"/>
      <c r="G6" s="1153"/>
      <c r="H6" s="1153"/>
      <c r="I6" s="1155" t="e">
        <f>S5&amp;".1"</f>
        <v>#N/A</v>
      </c>
      <c r="J6" s="390"/>
      <c r="K6" s="390"/>
      <c r="L6" s="391" t="s">
        <v>392</v>
      </c>
      <c r="M6" s="49"/>
      <c r="P6" s="1156">
        <v>1</v>
      </c>
      <c r="Q6" s="124"/>
      <c r="R6" s="405"/>
      <c r="S6" s="280"/>
      <c r="T6" s="459"/>
      <c r="U6" s="460"/>
      <c r="V6" s="1175"/>
      <c r="W6" s="1175"/>
      <c r="X6" s="1175"/>
      <c r="Y6" s="1175"/>
      <c r="Z6" s="1175"/>
      <c r="AA6" s="1175"/>
      <c r="AB6" s="1175"/>
      <c r="AC6" s="1175"/>
      <c r="AD6" s="1175"/>
      <c r="AE6" s="1175"/>
      <c r="AF6" s="1175"/>
      <c r="AG6" s="1175"/>
      <c r="AH6" s="1175"/>
      <c r="AI6" s="1175"/>
      <c r="AJ6" s="1175"/>
      <c r="AK6" s="1175"/>
      <c r="AL6" s="1175"/>
      <c r="AM6" s="461"/>
      <c r="AO6" s="121"/>
      <c r="AP6" s="121" t="str">
        <f t="shared" si="0"/>
        <v/>
      </c>
      <c r="AQ6" s="121"/>
      <c r="AR6" s="121"/>
    </row>
    <row r="7" spans="1:44" ht="21" hidden="1" customHeight="1">
      <c r="A7" s="390"/>
      <c r="B7" s="390"/>
      <c r="C7" s="390"/>
      <c r="D7" s="390"/>
      <c r="E7" s="1153"/>
      <c r="F7" s="1153"/>
      <c r="G7" s="1153"/>
      <c r="H7" s="1153"/>
      <c r="I7" s="1155"/>
      <c r="J7" s="1155" t="e">
        <f>I6&amp;".1"</f>
        <v>#N/A</v>
      </c>
      <c r="K7" s="390"/>
      <c r="L7" s="391" t="s">
        <v>395</v>
      </c>
      <c r="M7" s="49"/>
      <c r="N7" s="49"/>
      <c r="P7" s="1156"/>
      <c r="Q7" s="1156">
        <v>1</v>
      </c>
      <c r="R7" s="408"/>
      <c r="S7" s="394" t="e">
        <f>$J7</f>
        <v>#N/A</v>
      </c>
      <c r="T7" s="409" t="s">
        <v>396</v>
      </c>
      <c r="U7" s="396"/>
      <c r="V7" s="1157"/>
      <c r="W7" s="1157"/>
      <c r="X7" s="1157"/>
      <c r="Y7" s="1157"/>
      <c r="Z7" s="1157"/>
      <c r="AA7" s="1157"/>
      <c r="AB7" s="1157"/>
      <c r="AC7" s="1157"/>
      <c r="AD7" s="1157"/>
      <c r="AE7" s="1157"/>
      <c r="AF7" s="1157"/>
      <c r="AG7" s="1157"/>
      <c r="AH7" s="1157"/>
      <c r="AI7" s="1157"/>
      <c r="AJ7" s="1157"/>
      <c r="AK7" s="1157"/>
      <c r="AL7" s="1157"/>
      <c r="AM7" s="397" t="s">
        <v>397</v>
      </c>
      <c r="AO7" s="121"/>
      <c r="AP7" s="121" t="str">
        <f t="shared" si="0"/>
        <v>Группа потребителей</v>
      </c>
      <c r="AQ7" s="121"/>
      <c r="AR7" s="121"/>
    </row>
    <row r="8" spans="1:44" ht="21" hidden="1" customHeight="1">
      <c r="A8" s="390"/>
      <c r="B8" s="390"/>
      <c r="C8" s="390"/>
      <c r="D8" s="390"/>
      <c r="E8" s="1153"/>
      <c r="F8" s="1153"/>
      <c r="G8" s="1153"/>
      <c r="H8" s="1153"/>
      <c r="I8" s="1155"/>
      <c r="J8" s="1155"/>
      <c r="K8" s="1155" t="e">
        <f>J7&amp;".1"</f>
        <v>#N/A</v>
      </c>
      <c r="L8" s="391" t="s">
        <v>398</v>
      </c>
      <c r="M8" s="49"/>
      <c r="N8" s="49"/>
      <c r="O8" s="49"/>
      <c r="P8" s="1156"/>
      <c r="Q8" s="1156"/>
      <c r="R8" s="408">
        <v>1</v>
      </c>
      <c r="S8" s="394" t="e">
        <f>$K8</f>
        <v>#N/A</v>
      </c>
      <c r="T8" s="410"/>
      <c r="U8" s="396"/>
      <c r="V8" s="411"/>
      <c r="W8" s="412"/>
      <c r="X8" s="411"/>
      <c r="Y8" s="413"/>
      <c r="Z8" s="1158"/>
      <c r="AA8" s="1105" t="s">
        <v>63</v>
      </c>
      <c r="AB8" s="1158"/>
      <c r="AC8" s="1105" t="s">
        <v>63</v>
      </c>
      <c r="AD8" s="411"/>
      <c r="AE8" s="412"/>
      <c r="AF8" s="411"/>
      <c r="AG8" s="413"/>
      <c r="AH8" s="1158"/>
      <c r="AI8" s="1105" t="s">
        <v>63</v>
      </c>
      <c r="AJ8" s="1158"/>
      <c r="AK8" s="1105" t="s">
        <v>63</v>
      </c>
      <c r="AL8" s="412"/>
      <c r="AM8" s="1159" t="s">
        <v>399</v>
      </c>
      <c r="AN8" s="53" t="e">
        <f ca="1">strcheckdate(V9:AL9)</f>
        <v>#NAME?</v>
      </c>
      <c r="AO8" s="121"/>
      <c r="AP8" s="121" t="str">
        <f t="shared" si="0"/>
        <v/>
      </c>
      <c r="AQ8" s="121"/>
      <c r="AR8" s="121"/>
    </row>
    <row r="9" spans="1:44" ht="14.25" hidden="1" customHeight="1">
      <c r="A9" s="390"/>
      <c r="B9" s="390"/>
      <c r="C9" s="390"/>
      <c r="D9" s="390"/>
      <c r="E9" s="1153"/>
      <c r="F9" s="1153"/>
      <c r="G9" s="1153"/>
      <c r="H9" s="1153"/>
      <c r="I9" s="1155"/>
      <c r="J9" s="1155"/>
      <c r="K9" s="1155"/>
      <c r="L9" s="391"/>
      <c r="M9" s="49"/>
      <c r="N9" s="49"/>
      <c r="O9" s="49"/>
      <c r="P9" s="1156"/>
      <c r="Q9" s="1156"/>
      <c r="R9" s="408"/>
      <c r="S9" s="370"/>
      <c r="T9" s="396"/>
      <c r="U9" s="396"/>
      <c r="V9" s="412"/>
      <c r="W9" s="412"/>
      <c r="X9" s="412"/>
      <c r="Y9" s="415" t="str">
        <f>Z8&amp;"-"&amp;AB8</f>
        <v>-</v>
      </c>
      <c r="Z9" s="1158"/>
      <c r="AA9" s="1105"/>
      <c r="AB9" s="1158"/>
      <c r="AC9" s="1105"/>
      <c r="AD9" s="412"/>
      <c r="AE9" s="412"/>
      <c r="AF9" s="412"/>
      <c r="AG9" s="415" t="str">
        <f>AH8&amp;"-"&amp;AJ8</f>
        <v>-</v>
      </c>
      <c r="AH9" s="1158"/>
      <c r="AI9" s="1105"/>
      <c r="AJ9" s="1158"/>
      <c r="AK9" s="1105"/>
      <c r="AL9" s="412"/>
      <c r="AM9" s="1159"/>
      <c r="AO9" s="121"/>
      <c r="AP9" s="121" t="str">
        <f t="shared" si="0"/>
        <v/>
      </c>
      <c r="AQ9" s="121"/>
      <c r="AR9" s="121"/>
    </row>
    <row r="10" spans="1:44" ht="15" hidden="1" customHeight="1">
      <c r="A10" s="390"/>
      <c r="B10" s="390"/>
      <c r="C10" s="390"/>
      <c r="D10" s="390"/>
      <c r="E10" s="1153"/>
      <c r="F10" s="1153"/>
      <c r="G10" s="1153"/>
      <c r="H10" s="1153"/>
      <c r="I10" s="1155"/>
      <c r="J10" s="1155"/>
      <c r="K10" s="390"/>
      <c r="L10" s="391"/>
      <c r="M10" s="49"/>
      <c r="N10" s="49"/>
      <c r="P10" s="1156"/>
      <c r="Q10" s="1156"/>
      <c r="R10" s="405"/>
      <c r="S10" s="416"/>
      <c r="T10" s="419" t="s">
        <v>400</v>
      </c>
      <c r="U10" s="186"/>
      <c r="V10" s="186"/>
      <c r="W10" s="186"/>
      <c r="X10" s="186"/>
      <c r="Y10" s="186"/>
      <c r="Z10" s="186"/>
      <c r="AA10" s="186"/>
      <c r="AB10" s="186"/>
      <c r="AC10" s="186"/>
      <c r="AD10" s="186"/>
      <c r="AE10" s="186"/>
      <c r="AF10" s="186"/>
      <c r="AG10" s="186"/>
      <c r="AH10" s="186"/>
      <c r="AI10" s="186"/>
      <c r="AJ10" s="186"/>
      <c r="AK10" s="186"/>
      <c r="AL10" s="418"/>
      <c r="AM10" s="1159"/>
      <c r="AO10" s="121"/>
      <c r="AP10" s="121" t="str">
        <f t="shared" si="0"/>
        <v>Добавить вид теплоносителя (параметры теплоносителя)</v>
      </c>
      <c r="AQ10" s="121"/>
      <c r="AR10" s="121"/>
    </row>
    <row r="11" spans="1:44" ht="11.25" hidden="1" customHeight="1">
      <c r="A11" s="390"/>
      <c r="B11" s="390"/>
      <c r="C11" s="390"/>
      <c r="D11" s="390"/>
      <c r="E11" s="1153"/>
      <c r="F11" s="1153"/>
      <c r="G11" s="1153"/>
      <c r="H11" s="1153"/>
      <c r="I11" s="1155"/>
      <c r="J11" s="390"/>
      <c r="K11" s="390"/>
      <c r="L11" s="391"/>
      <c r="M11" s="49"/>
      <c r="P11" s="1156"/>
      <c r="Q11" s="124"/>
      <c r="R11" s="405"/>
      <c r="S11" s="416"/>
      <c r="T11" s="423" t="s">
        <v>401</v>
      </c>
      <c r="U11" s="186"/>
      <c r="V11" s="186"/>
      <c r="W11" s="186"/>
      <c r="X11" s="186"/>
      <c r="Y11" s="186"/>
      <c r="Z11" s="186"/>
      <c r="AA11" s="186"/>
      <c r="AB11" s="186"/>
      <c r="AC11" s="420"/>
      <c r="AD11" s="186"/>
      <c r="AE11" s="186"/>
      <c r="AF11" s="186"/>
      <c r="AG11" s="186"/>
      <c r="AH11" s="186"/>
      <c r="AI11" s="186"/>
      <c r="AJ11" s="186"/>
      <c r="AK11" s="420"/>
      <c r="AL11" s="186"/>
      <c r="AM11" s="421"/>
      <c r="AO11" s="121"/>
      <c r="AP11" s="121" t="str">
        <f t="shared" si="0"/>
        <v>Добавить группу потребителей</v>
      </c>
      <c r="AQ11" s="121"/>
      <c r="AR11" s="121"/>
    </row>
    <row r="12" spans="1:44" ht="14.25" hidden="1" customHeight="1">
      <c r="A12" s="390"/>
      <c r="B12" s="390"/>
      <c r="C12" s="390"/>
      <c r="D12" s="390"/>
      <c r="E12" s="1153"/>
      <c r="F12" s="1153"/>
      <c r="G12" s="1153"/>
      <c r="H12" s="1153"/>
      <c r="I12" s="390"/>
      <c r="J12" s="390"/>
      <c r="K12" s="390"/>
      <c r="L12" s="391"/>
      <c r="M12" s="392"/>
      <c r="N12" s="392"/>
      <c r="O12" s="49"/>
      <c r="P12" s="134"/>
      <c r="Q12" s="422"/>
      <c r="R12" s="393"/>
      <c r="S12" s="462"/>
      <c r="T12" s="463"/>
      <c r="U12" s="464"/>
      <c r="V12" s="464"/>
      <c r="W12" s="464"/>
      <c r="X12" s="464"/>
      <c r="Y12" s="464"/>
      <c r="Z12" s="464"/>
      <c r="AA12" s="464"/>
      <c r="AB12" s="464"/>
      <c r="AC12" s="464"/>
      <c r="AD12" s="464"/>
      <c r="AE12" s="464"/>
      <c r="AF12" s="464"/>
      <c r="AG12" s="464"/>
      <c r="AH12" s="464"/>
      <c r="AI12" s="464"/>
      <c r="AJ12" s="464"/>
      <c r="AK12" s="464"/>
      <c r="AL12" s="464"/>
      <c r="AM12" s="465"/>
      <c r="AO12" s="121"/>
      <c r="AP12" s="121" t="str">
        <f t="shared" si="0"/>
        <v/>
      </c>
      <c r="AQ12" s="121"/>
      <c r="AR12" s="121"/>
    </row>
    <row r="13" spans="1:44" s="53" customFormat="1" ht="14.25" hidden="1" customHeight="1">
      <c r="A13" s="125"/>
      <c r="B13" s="125"/>
      <c r="C13" s="125"/>
      <c r="D13" s="125"/>
      <c r="E13" s="1153"/>
      <c r="F13" s="1153"/>
      <c r="G13" s="1153"/>
      <c r="H13" s="125"/>
      <c r="I13" s="125"/>
      <c r="J13" s="125"/>
      <c r="K13" s="125"/>
      <c r="L13" s="184"/>
      <c r="M13" s="375"/>
      <c r="N13" s="375"/>
      <c r="P13" s="158"/>
      <c r="Q13" s="424"/>
      <c r="R13" s="158"/>
      <c r="S13" s="425"/>
      <c r="T13" s="426" t="s">
        <v>403</v>
      </c>
      <c r="U13" s="427"/>
      <c r="V13" s="427"/>
      <c r="W13" s="427"/>
      <c r="X13" s="427"/>
      <c r="Y13" s="427"/>
      <c r="Z13" s="427"/>
      <c r="AA13" s="427"/>
      <c r="AB13" s="427"/>
      <c r="AC13" s="427"/>
      <c r="AD13" s="427"/>
      <c r="AE13" s="427"/>
      <c r="AF13" s="427"/>
      <c r="AG13" s="427"/>
      <c r="AH13" s="427"/>
      <c r="AI13" s="427"/>
      <c r="AJ13" s="427"/>
      <c r="AK13" s="427"/>
      <c r="AL13" s="427"/>
      <c r="AM13" s="427"/>
      <c r="AO13" s="121"/>
      <c r="AP13" s="121" t="str">
        <f t="shared" si="0"/>
        <v>Добавить источник для дифференциации</v>
      </c>
      <c r="AQ13" s="121"/>
      <c r="AR13" s="121"/>
    </row>
    <row r="14" spans="1:44" s="53" customFormat="1" ht="14.25" hidden="1" customHeight="1">
      <c r="A14" s="125"/>
      <c r="B14" s="125"/>
      <c r="C14" s="125"/>
      <c r="D14" s="125"/>
      <c r="E14" s="1153"/>
      <c r="F14" s="1153"/>
      <c r="G14" s="125"/>
      <c r="H14" s="125"/>
      <c r="I14" s="125"/>
      <c r="J14" s="125"/>
      <c r="K14" s="125"/>
      <c r="L14" s="184"/>
      <c r="M14" s="428"/>
      <c r="N14" s="428"/>
      <c r="P14" s="158"/>
      <c r="Q14" s="424"/>
      <c r="R14" s="158"/>
      <c r="S14" s="429"/>
      <c r="T14" s="430" t="s">
        <v>253</v>
      </c>
      <c r="U14" s="431"/>
      <c r="V14" s="431"/>
      <c r="W14" s="431"/>
      <c r="X14" s="431"/>
      <c r="Y14" s="431"/>
      <c r="Z14" s="431"/>
      <c r="AA14" s="431"/>
      <c r="AB14" s="431"/>
      <c r="AC14" s="431"/>
      <c r="AD14" s="431"/>
      <c r="AE14" s="431"/>
      <c r="AF14" s="431"/>
      <c r="AG14" s="431"/>
      <c r="AH14" s="431"/>
      <c r="AI14" s="431"/>
      <c r="AJ14" s="431"/>
      <c r="AK14" s="431"/>
      <c r="AL14" s="431"/>
      <c r="AM14" s="431"/>
      <c r="AO14" s="121"/>
      <c r="AP14" s="121" t="str">
        <f t="shared" si="0"/>
        <v>Добавить централизованную систему для дифференциации</v>
      </c>
      <c r="AQ14" s="121"/>
      <c r="AR14" s="121"/>
    </row>
    <row r="15" spans="1:44" s="53" customFormat="1" ht="14.25" hidden="1" customHeight="1">
      <c r="A15" s="125"/>
      <c r="B15" s="125"/>
      <c r="C15" s="125"/>
      <c r="D15" s="125"/>
      <c r="E15" s="1153"/>
      <c r="F15" s="125"/>
      <c r="G15" s="125"/>
      <c r="H15" s="125"/>
      <c r="I15" s="125"/>
      <c r="J15" s="125"/>
      <c r="K15" s="125"/>
      <c r="L15" s="184"/>
      <c r="M15" s="428"/>
      <c r="N15" s="428"/>
      <c r="P15" s="158"/>
      <c r="Q15" s="424"/>
      <c r="R15" s="158"/>
      <c r="S15" s="429"/>
      <c r="T15" s="432" t="s">
        <v>254</v>
      </c>
      <c r="U15" s="431"/>
      <c r="V15" s="431"/>
      <c r="W15" s="431"/>
      <c r="X15" s="431"/>
      <c r="Y15" s="431"/>
      <c r="Z15" s="431"/>
      <c r="AA15" s="431"/>
      <c r="AB15" s="431"/>
      <c r="AC15" s="431"/>
      <c r="AD15" s="431"/>
      <c r="AE15" s="431"/>
      <c r="AF15" s="431"/>
      <c r="AG15" s="431"/>
      <c r="AH15" s="431"/>
      <c r="AI15" s="431"/>
      <c r="AJ15" s="431"/>
      <c r="AK15" s="431"/>
      <c r="AL15" s="431"/>
      <c r="AM15" s="431"/>
      <c r="AO15" s="121"/>
      <c r="AP15" s="121" t="str">
        <f t="shared" si="0"/>
        <v>Добавить территорию для дифференциации</v>
      </c>
      <c r="AQ15" s="121"/>
      <c r="AR15" s="121"/>
    </row>
    <row r="16" spans="1:44" ht="14.25" hidden="1" customHeight="1"/>
    <row r="17" spans="1:44" ht="14.25" hidden="1" customHeight="1">
      <c r="AD17" s="433"/>
      <c r="AE17" s="433"/>
      <c r="AF17" s="433"/>
      <c r="AG17" s="434"/>
      <c r="AH17" s="1160"/>
      <c r="AI17" s="1161" t="s">
        <v>63</v>
      </c>
      <c r="AJ17" s="1160"/>
      <c r="AK17" s="1161" t="s">
        <v>63</v>
      </c>
    </row>
    <row r="18" spans="1:44" ht="14.25" hidden="1" customHeight="1">
      <c r="AD18" s="433"/>
      <c r="AE18" s="433"/>
      <c r="AF18" s="433"/>
      <c r="AG18" s="415" t="str">
        <f>AH17&amp;"-"&amp;AJ17</f>
        <v>-</v>
      </c>
      <c r="AH18" s="1160"/>
      <c r="AI18" s="1160"/>
      <c r="AJ18" s="1160"/>
      <c r="AK18" s="1160"/>
    </row>
    <row r="19" spans="1:44" ht="14.25" hidden="1" customHeight="1"/>
    <row r="20" spans="1:44" s="49" customFormat="1" ht="22.5" hidden="1" customHeight="1">
      <c r="L20" s="107"/>
      <c r="M20" s="57"/>
      <c r="N20" s="57"/>
      <c r="O20" s="435" t="s">
        <v>404</v>
      </c>
      <c r="P20" s="57"/>
      <c r="Q20" s="436"/>
      <c r="R20" s="436"/>
      <c r="S20" s="392"/>
      <c r="Z20" s="435"/>
      <c r="AB20" s="435"/>
      <c r="AH20" s="435"/>
      <c r="AJ20" s="435"/>
      <c r="AN20" s="53"/>
      <c r="AO20" s="53"/>
      <c r="AP20" s="53"/>
      <c r="AQ20" s="53"/>
      <c r="AR20" s="53"/>
    </row>
    <row r="21" spans="1:44" s="49" customFormat="1" ht="14.25" hidden="1" customHeight="1">
      <c r="L21" s="107"/>
      <c r="M21" s="57"/>
      <c r="N21" s="57"/>
      <c r="O21" s="57"/>
      <c r="P21" s="57"/>
      <c r="Q21" s="436"/>
      <c r="R21" s="436"/>
      <c r="S21" s="392"/>
      <c r="AN21" s="53"/>
      <c r="AO21" s="53"/>
      <c r="AP21" s="53"/>
      <c r="AQ21" s="53"/>
      <c r="AR21" s="53"/>
    </row>
    <row r="22" spans="1:44" s="49" customFormat="1" ht="14.25" hidden="1" customHeight="1">
      <c r="L22" s="107"/>
      <c r="M22" s="57"/>
      <c r="N22" s="57"/>
      <c r="O22" s="391" t="s">
        <v>405</v>
      </c>
      <c r="P22" s="57"/>
      <c r="Q22" s="436"/>
      <c r="R22" s="436"/>
      <c r="S22" s="392"/>
      <c r="T22" s="49" t="s">
        <v>406</v>
      </c>
      <c r="AA22" s="142" t="s">
        <v>407</v>
      </c>
      <c r="AC22" s="142" t="s">
        <v>408</v>
      </c>
      <c r="AD22" s="49" t="s">
        <v>406</v>
      </c>
      <c r="AI22" s="142" t="s">
        <v>409</v>
      </c>
      <c r="AK22" s="142" t="s">
        <v>408</v>
      </c>
      <c r="AN22" s="53"/>
      <c r="AO22" s="53"/>
      <c r="AP22" s="53"/>
      <c r="AQ22" s="53"/>
      <c r="AR22" s="53"/>
    </row>
    <row r="23" spans="1:44" ht="14.25" hidden="1" customHeight="1">
      <c r="O23" s="391"/>
    </row>
    <row r="24" spans="1:44" ht="14.25" hidden="1" customHeight="1">
      <c r="O24" s="391"/>
    </row>
    <row r="25" spans="1:44" ht="14.25" customHeight="1">
      <c r="Q25" s="437"/>
      <c r="R25" s="437"/>
      <c r="S25" s="438"/>
      <c r="T25" s="83"/>
      <c r="U25" s="83"/>
    </row>
    <row r="26" spans="1:44" ht="51.75" customHeight="1">
      <c r="Q26" s="437"/>
      <c r="R26" s="437"/>
      <c r="S26" s="10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090"/>
      <c r="U26" s="1090"/>
      <c r="V26" s="1090"/>
      <c r="W26" s="1090"/>
      <c r="X26" s="1090"/>
      <c r="Y26" s="1090"/>
      <c r="Z26" s="1090"/>
      <c r="AA26" s="1090"/>
      <c r="AB26" s="1090"/>
      <c r="AC26" s="1090"/>
      <c r="AD26" s="1090"/>
      <c r="AE26" s="1090"/>
      <c r="AF26" s="1090"/>
      <c r="AG26" s="1090"/>
      <c r="AH26" s="1090"/>
      <c r="AI26" s="1090"/>
      <c r="AJ26" s="1090"/>
      <c r="AK26" s="201"/>
    </row>
    <row r="27" spans="1:44" ht="14.25" customHeight="1">
      <c r="Q27" s="437"/>
      <c r="R27" s="437"/>
      <c r="S27" s="1127" t="str">
        <f>IF(org=0,"Не определено",org)</f>
        <v>Филиал ПАО "ОГК-2" - Серовская ГРЭС, г. Серов</v>
      </c>
      <c r="T27" s="1127"/>
      <c r="U27" s="1127"/>
      <c r="V27" s="1127"/>
      <c r="W27" s="1127"/>
      <c r="X27" s="1127"/>
      <c r="Y27" s="1127"/>
      <c r="Z27" s="1127"/>
      <c r="AA27" s="1127"/>
      <c r="AB27" s="1127"/>
      <c r="AC27" s="1127"/>
      <c r="AD27" s="1127"/>
      <c r="AE27" s="1127"/>
      <c r="AF27" s="1127"/>
      <c r="AG27" s="1127"/>
      <c r="AH27" s="1127"/>
      <c r="AI27" s="1127"/>
      <c r="AJ27" s="1127"/>
      <c r="AK27" s="201"/>
    </row>
    <row r="28" spans="1:44" ht="14.25" customHeight="1">
      <c r="Q28" s="437"/>
      <c r="R28" s="437"/>
      <c r="S28" s="438"/>
      <c r="T28" s="83"/>
      <c r="U28" s="83"/>
      <c r="V28" s="439"/>
      <c r="W28" s="439"/>
      <c r="X28" s="439"/>
      <c r="Y28" s="439"/>
      <c r="Z28" s="439"/>
      <c r="AA28" s="439"/>
      <c r="AB28" s="439"/>
      <c r="AC28" s="439"/>
      <c r="AD28" s="439"/>
      <c r="AE28" s="439"/>
      <c r="AF28" s="439"/>
      <c r="AG28" s="439"/>
      <c r="AH28" s="439"/>
      <c r="AI28" s="439"/>
      <c r="AJ28" s="439"/>
      <c r="AK28" s="439"/>
    </row>
    <row r="29" spans="1:44" s="174" customFormat="1" ht="25.5" customHeight="1">
      <c r="A29" s="142"/>
      <c r="B29" s="142"/>
      <c r="C29" s="142"/>
      <c r="D29" s="142"/>
      <c r="E29" s="142"/>
      <c r="F29" s="142"/>
      <c r="G29" s="142"/>
      <c r="H29" s="142"/>
      <c r="I29" s="142"/>
      <c r="J29" s="142"/>
      <c r="K29" s="142"/>
      <c r="L29" s="391"/>
      <c r="M29" s="142"/>
      <c r="N29" s="142"/>
      <c r="O29" s="142"/>
      <c r="S29" s="1162" t="s">
        <v>37</v>
      </c>
      <c r="T29" s="1162"/>
      <c r="U29" s="441"/>
      <c r="V29" s="1163" t="str">
        <f>IF(TITLE_NAME_OR_PR_CHANGE="",IF(TITLE_NAME_OR_PR="","",TITLE_NAME_OR_PR),TITLE_NAME_OR_PR_CHANGE)</f>
        <v>Региональная энергетическая комиссия Свердловской области</v>
      </c>
      <c r="W29" s="1163"/>
      <c r="X29" s="1163"/>
      <c r="Y29" s="1163"/>
      <c r="Z29" s="1163"/>
      <c r="AA29" s="1163"/>
      <c r="AB29" s="1163"/>
      <c r="AC29" s="46"/>
      <c r="AD29" s="1163" t="str">
        <f>IF(TITLE_NAME_OR_PR_CHANGE="",IF(TITLE_NAME_OR_PR="","",TITLE_NAME_OR_PR),TITLE_NAME_OR_PR_CHANGE)</f>
        <v>Региональная энергетическая комиссия Свердловской области</v>
      </c>
      <c r="AE29" s="1163"/>
      <c r="AF29" s="1163"/>
      <c r="AG29" s="1163"/>
      <c r="AH29" s="1163"/>
      <c r="AI29" s="1163"/>
      <c r="AJ29" s="1163"/>
      <c r="AK29" s="46"/>
      <c r="AL29" s="46"/>
      <c r="AM29" s="442"/>
      <c r="AN29" s="121"/>
      <c r="AO29" s="121"/>
      <c r="AP29" s="121"/>
      <c r="AQ29" s="121"/>
      <c r="AR29" s="121"/>
    </row>
    <row r="30" spans="1:44" s="174" customFormat="1" ht="18.75" customHeight="1">
      <c r="A30" s="142"/>
      <c r="B30" s="142"/>
      <c r="C30" s="142"/>
      <c r="D30" s="142"/>
      <c r="E30" s="142"/>
      <c r="F30" s="142"/>
      <c r="G30" s="142"/>
      <c r="H30" s="142"/>
      <c r="I30" s="142"/>
      <c r="J30" s="142"/>
      <c r="K30" s="142"/>
      <c r="L30" s="391"/>
      <c r="M30" s="142"/>
      <c r="N30" s="142"/>
      <c r="O30" s="142"/>
      <c r="S30" s="1162" t="s">
        <v>410</v>
      </c>
      <c r="T30" s="1162"/>
      <c r="U30" s="441"/>
      <c r="V30" s="1164">
        <f>IF(TITLE_DATE_PR_CHANGE="",IF(TITLE_DATE_PR="","",TITLE_DATE_PR),TITLE_DATE_PR_CHANGE)</f>
        <v>45266.462974536997</v>
      </c>
      <c r="W30" s="1164"/>
      <c r="X30" s="1164"/>
      <c r="Y30" s="1164"/>
      <c r="Z30" s="1164"/>
      <c r="AA30" s="1164"/>
      <c r="AB30" s="1164"/>
      <c r="AC30" s="46"/>
      <c r="AD30" s="1164">
        <f>IF(TITLE_DATE_PR_CHANGE="",IF(TITLE_DATE_PR="","",TITLE_DATE_PR),TITLE_DATE_PR_CHANGE)</f>
        <v>45266.462974536997</v>
      </c>
      <c r="AE30" s="1164"/>
      <c r="AF30" s="1164"/>
      <c r="AG30" s="1164"/>
      <c r="AH30" s="1164"/>
      <c r="AI30" s="1164"/>
      <c r="AJ30" s="1164"/>
      <c r="AK30" s="46"/>
      <c r="AL30" s="46"/>
      <c r="AM30" s="442"/>
      <c r="AN30" s="121"/>
      <c r="AO30" s="121"/>
      <c r="AP30" s="121"/>
      <c r="AQ30" s="121"/>
      <c r="AR30" s="121"/>
    </row>
    <row r="31" spans="1:44" s="174" customFormat="1" ht="18.75" customHeight="1">
      <c r="A31" s="142"/>
      <c r="B31" s="142"/>
      <c r="C31" s="142"/>
      <c r="D31" s="142"/>
      <c r="E31" s="142"/>
      <c r="F31" s="142"/>
      <c r="G31" s="142"/>
      <c r="H31" s="142"/>
      <c r="I31" s="142"/>
      <c r="J31" s="142"/>
      <c r="K31" s="142"/>
      <c r="L31" s="391"/>
      <c r="M31" s="142"/>
      <c r="N31" s="142"/>
      <c r="O31" s="142"/>
      <c r="S31" s="1162" t="s">
        <v>411</v>
      </c>
      <c r="T31" s="1162"/>
      <c r="U31" s="441"/>
      <c r="V31" s="1163" t="str">
        <f>IF(TITLE_NUMBER_PR_CHANGE="",IF(TITLE_NUMBER_PR="","",TITLE_NUMBER_PR),TITLE_NUMBER_PR_CHANGE)</f>
        <v>216-ПК</v>
      </c>
      <c r="W31" s="1163"/>
      <c r="X31" s="1163"/>
      <c r="Y31" s="1163"/>
      <c r="Z31" s="1163"/>
      <c r="AA31" s="1163"/>
      <c r="AB31" s="1163"/>
      <c r="AC31" s="46"/>
      <c r="AD31" s="1163" t="str">
        <f>IF(TITLE_NUMBER_PR_CHANGE="",IF(TITLE_NUMBER_PR="","",TITLE_NUMBER_PR),TITLE_NUMBER_PR_CHANGE)</f>
        <v>216-ПК</v>
      </c>
      <c r="AE31" s="1163"/>
      <c r="AF31" s="1163"/>
      <c r="AG31" s="1163"/>
      <c r="AH31" s="1163"/>
      <c r="AI31" s="1163"/>
      <c r="AJ31" s="1163"/>
      <c r="AK31" s="46"/>
      <c r="AL31" s="46"/>
      <c r="AM31" s="442"/>
      <c r="AN31" s="121"/>
      <c r="AO31" s="121"/>
      <c r="AP31" s="121"/>
      <c r="AQ31" s="121"/>
      <c r="AR31" s="121"/>
    </row>
    <row r="32" spans="1:44" s="174" customFormat="1" ht="18.75" customHeight="1">
      <c r="A32" s="142"/>
      <c r="B32" s="142"/>
      <c r="C32" s="142"/>
      <c r="D32" s="142"/>
      <c r="E32" s="142"/>
      <c r="F32" s="142"/>
      <c r="G32" s="142"/>
      <c r="H32" s="142"/>
      <c r="I32" s="142"/>
      <c r="J32" s="142"/>
      <c r="K32" s="142"/>
      <c r="L32" s="391"/>
      <c r="M32" s="142"/>
      <c r="N32" s="142"/>
      <c r="O32" s="142"/>
      <c r="S32" s="1162" t="s">
        <v>39</v>
      </c>
      <c r="T32" s="1162"/>
      <c r="U32" s="441"/>
      <c r="V32" s="1163" t="str">
        <f>IF(TITLE_IST_PUB_CHANGE="",IF(TITLE_IST_PUB="","",TITLE_IST_PUB),TITLE_IST_PUB_CHANGE)</f>
        <v>Региональная энергетическая комиссия Свердловской области</v>
      </c>
      <c r="W32" s="1163"/>
      <c r="X32" s="1163"/>
      <c r="Y32" s="1163"/>
      <c r="Z32" s="1163"/>
      <c r="AA32" s="1163"/>
      <c r="AB32" s="1163"/>
      <c r="AC32" s="46"/>
      <c r="AD32" s="1163" t="str">
        <f>IF(TITLE_IST_PUB_CHANGE="",IF(TITLE_IST_PUB="","",TITLE_IST_PUB),TITLE_IST_PUB_CHANGE)</f>
        <v>Региональная энергетическая комиссия Свердловской области</v>
      </c>
      <c r="AE32" s="1163"/>
      <c r="AF32" s="1163"/>
      <c r="AG32" s="1163"/>
      <c r="AH32" s="1163"/>
      <c r="AI32" s="1163"/>
      <c r="AJ32" s="1163"/>
      <c r="AK32" s="46"/>
      <c r="AL32" s="46"/>
      <c r="AM32" s="442"/>
      <c r="AN32" s="121"/>
      <c r="AO32" s="121"/>
      <c r="AP32" s="121"/>
      <c r="AQ32" s="121"/>
      <c r="AR32" s="121"/>
    </row>
    <row r="33" spans="1:44" ht="14.25" hidden="1" customHeight="1">
      <c r="Q33" s="437"/>
      <c r="R33" s="437"/>
      <c r="S33" s="438"/>
      <c r="T33" s="83"/>
      <c r="U33" s="83"/>
      <c r="V33" s="439"/>
      <c r="W33" s="439"/>
      <c r="X33" s="439"/>
      <c r="Y33" s="439"/>
      <c r="Z33" s="439"/>
      <c r="AA33" s="439"/>
      <c r="AB33" s="439"/>
      <c r="AC33" s="439"/>
      <c r="AD33" s="439"/>
      <c r="AE33" s="439"/>
      <c r="AF33" s="439"/>
      <c r="AG33" s="439"/>
      <c r="AH33" s="439"/>
      <c r="AI33" s="439"/>
      <c r="AJ33" s="439"/>
      <c r="AK33" s="439"/>
    </row>
    <row r="34" spans="1:44" s="174" customFormat="1" ht="18.75" hidden="1" customHeight="1">
      <c r="A34" s="142"/>
      <c r="B34" s="142"/>
      <c r="C34" s="142"/>
      <c r="D34" s="142"/>
      <c r="E34" s="142"/>
      <c r="F34" s="142"/>
      <c r="G34" s="142"/>
      <c r="H34" s="142"/>
      <c r="I34" s="142"/>
      <c r="J34" s="142"/>
      <c r="K34" s="142"/>
      <c r="L34" s="391"/>
      <c r="M34" s="142"/>
      <c r="N34" s="142"/>
      <c r="O34" s="142"/>
      <c r="S34" s="1162" t="s">
        <v>412</v>
      </c>
      <c r="T34" s="1162"/>
      <c r="U34" s="441"/>
      <c r="V34" s="1164">
        <f>IF(TITLE_DATE_PR_CHANGE="",IF(TITLE_DATE_PR="","",TITLE_DATE_PR),TITLE_DATE_PR_CHANGE)</f>
        <v>45266.462974536997</v>
      </c>
      <c r="W34" s="1164"/>
      <c r="X34" s="1164"/>
      <c r="Y34" s="1164"/>
      <c r="Z34" s="1164"/>
      <c r="AA34" s="1164"/>
      <c r="AB34" s="1164"/>
      <c r="AC34" s="46"/>
      <c r="AD34" s="1164">
        <f>IF(TITLE_DATE_PR_CHANGE="",IF(TITLE_DATE_PR="","",TITLE_DATE_PR),TITLE_DATE_PR_CHANGE)</f>
        <v>45266.462974536997</v>
      </c>
      <c r="AE34" s="1164"/>
      <c r="AF34" s="1164"/>
      <c r="AG34" s="1164"/>
      <c r="AH34" s="1164"/>
      <c r="AI34" s="1164"/>
      <c r="AJ34" s="1164"/>
      <c r="AK34" s="46"/>
      <c r="AL34" s="46"/>
      <c r="AM34" s="442"/>
      <c r="AN34" s="121"/>
      <c r="AO34" s="121"/>
      <c r="AP34" s="121"/>
      <c r="AQ34" s="121"/>
      <c r="AR34" s="121"/>
    </row>
    <row r="35" spans="1:44" s="174" customFormat="1" ht="18.75" hidden="1" customHeight="1">
      <c r="A35" s="142"/>
      <c r="B35" s="142"/>
      <c r="C35" s="142"/>
      <c r="D35" s="142"/>
      <c r="E35" s="142"/>
      <c r="F35" s="142"/>
      <c r="G35" s="142"/>
      <c r="H35" s="142"/>
      <c r="I35" s="142"/>
      <c r="J35" s="142"/>
      <c r="K35" s="142"/>
      <c r="L35" s="391"/>
      <c r="M35" s="142"/>
      <c r="N35" s="142"/>
      <c r="O35" s="142"/>
      <c r="S35" s="1162" t="s">
        <v>413</v>
      </c>
      <c r="T35" s="1162"/>
      <c r="U35" s="441"/>
      <c r="V35" s="1163" t="str">
        <f>IF(TITLE_NUMBER_PR_CHANGE="",IF(TITLE_NUMBER_PR="","",TITLE_NUMBER_PR),TITLE_NUMBER_PR_CHANGE)</f>
        <v>216-ПК</v>
      </c>
      <c r="W35" s="1163"/>
      <c r="X35" s="1163"/>
      <c r="Y35" s="1163"/>
      <c r="Z35" s="1163"/>
      <c r="AA35" s="1163"/>
      <c r="AB35" s="1163"/>
      <c r="AC35" s="46"/>
      <c r="AD35" s="1163" t="str">
        <f>IF(TITLE_NUMBER_PR_CHANGE="",IF(TITLE_NUMBER_PR="","",TITLE_NUMBER_PR),TITLE_NUMBER_PR_CHANGE)</f>
        <v>216-ПК</v>
      </c>
      <c r="AE35" s="1163"/>
      <c r="AF35" s="1163"/>
      <c r="AG35" s="1163"/>
      <c r="AH35" s="1163"/>
      <c r="AI35" s="1163"/>
      <c r="AJ35" s="1163"/>
      <c r="AK35" s="46"/>
      <c r="AL35" s="46"/>
      <c r="AM35" s="442"/>
      <c r="AN35" s="121"/>
      <c r="AO35" s="121"/>
      <c r="AP35" s="121"/>
      <c r="AQ35" s="121"/>
      <c r="AR35" s="121"/>
    </row>
    <row r="36" spans="1:44" s="174" customFormat="1" ht="11.25">
      <c r="A36" s="142"/>
      <c r="B36" s="142"/>
      <c r="C36" s="142"/>
      <c r="D36" s="142"/>
      <c r="E36" s="142"/>
      <c r="F36" s="142"/>
      <c r="G36" s="142"/>
      <c r="H36" s="142"/>
      <c r="I36" s="142"/>
      <c r="J36" s="142"/>
      <c r="K36" s="142"/>
      <c r="L36" s="391"/>
      <c r="M36" s="142"/>
      <c r="N36" s="142"/>
      <c r="O36" s="142"/>
      <c r="S36" s="46"/>
      <c r="T36" s="46"/>
      <c r="U36" s="131"/>
      <c r="V36" s="46"/>
      <c r="W36" s="46"/>
      <c r="X36" s="46"/>
      <c r="Y36" s="46"/>
      <c r="Z36" s="46"/>
      <c r="AA36" s="46"/>
      <c r="AB36" s="46"/>
      <c r="AC36" s="53" t="s">
        <v>414</v>
      </c>
      <c r="AD36" s="46"/>
      <c r="AE36" s="46"/>
      <c r="AF36" s="46"/>
      <c r="AG36" s="46"/>
      <c r="AH36" s="46"/>
      <c r="AI36" s="46"/>
      <c r="AJ36" s="46"/>
      <c r="AK36" s="53" t="s">
        <v>414</v>
      </c>
      <c r="AN36" s="121"/>
      <c r="AO36" s="121"/>
      <c r="AP36" s="121"/>
      <c r="AQ36" s="121"/>
      <c r="AR36" s="121"/>
    </row>
    <row r="37" spans="1:44" ht="14.25" customHeight="1">
      <c r="Q37" s="437"/>
      <c r="R37" s="437"/>
      <c r="S37" s="438"/>
      <c r="T37" s="83"/>
      <c r="U37" s="443"/>
      <c r="V37" s="1165"/>
      <c r="W37" s="1165"/>
      <c r="X37" s="1165"/>
      <c r="Y37" s="1165"/>
      <c r="Z37" s="1165"/>
      <c r="AA37" s="1165"/>
      <c r="AB37" s="1165"/>
      <c r="AC37" s="1165"/>
      <c r="AD37" s="1165"/>
      <c r="AE37" s="1165"/>
      <c r="AF37" s="1165"/>
      <c r="AG37" s="1165"/>
      <c r="AH37" s="1165"/>
      <c r="AI37" s="1165"/>
      <c r="AJ37" s="1165"/>
      <c r="AK37" s="1165"/>
    </row>
    <row r="38" spans="1:44" ht="14.25" customHeight="1">
      <c r="Q38" s="437"/>
      <c r="R38" s="437"/>
      <c r="S38" s="1087" t="s">
        <v>287</v>
      </c>
      <c r="T38" s="1087"/>
      <c r="U38" s="1087"/>
      <c r="V38" s="1087"/>
      <c r="W38" s="1087"/>
      <c r="X38" s="1087"/>
      <c r="Y38" s="1087"/>
      <c r="Z38" s="1087"/>
      <c r="AA38" s="1087"/>
      <c r="AB38" s="1087"/>
      <c r="AC38" s="1087"/>
      <c r="AD38" s="1087"/>
      <c r="AE38" s="1087"/>
      <c r="AF38" s="1087"/>
      <c r="AG38" s="1087"/>
      <c r="AH38" s="1087"/>
      <c r="AI38" s="1087"/>
      <c r="AJ38" s="1087"/>
      <c r="AK38" s="1087"/>
      <c r="AL38" s="1087"/>
      <c r="AM38" s="1087" t="s">
        <v>288</v>
      </c>
    </row>
    <row r="39" spans="1:44" ht="14.25" customHeight="1">
      <c r="Q39" s="437"/>
      <c r="R39" s="437"/>
      <c r="S39" s="1166" t="s">
        <v>84</v>
      </c>
      <c r="T39" s="1167" t="s">
        <v>415</v>
      </c>
      <c r="U39" s="444"/>
      <c r="V39" s="1140" t="s">
        <v>416</v>
      </c>
      <c r="W39" s="1140"/>
      <c r="X39" s="1140"/>
      <c r="Y39" s="1140"/>
      <c r="Z39" s="1140"/>
      <c r="AA39" s="1140"/>
      <c r="AB39" s="1140"/>
      <c r="AC39" s="1167" t="s">
        <v>417</v>
      </c>
      <c r="AD39" s="1140" t="s">
        <v>416</v>
      </c>
      <c r="AE39" s="1140"/>
      <c r="AF39" s="1140"/>
      <c r="AG39" s="1140"/>
      <c r="AH39" s="1140"/>
      <c r="AI39" s="1140"/>
      <c r="AJ39" s="1140"/>
      <c r="AK39" s="1167" t="s">
        <v>418</v>
      </c>
      <c r="AL39" s="1168" t="s">
        <v>419</v>
      </c>
      <c r="AM39" s="1087"/>
    </row>
    <row r="40" spans="1:44" ht="33.75" customHeight="1">
      <c r="Q40" s="437"/>
      <c r="R40" s="437"/>
      <c r="S40" s="1166"/>
      <c r="T40" s="1167"/>
      <c r="U40" s="445"/>
      <c r="V40" s="1169" t="s">
        <v>420</v>
      </c>
      <c r="W40" s="1155"/>
      <c r="X40" s="1087" t="s">
        <v>422</v>
      </c>
      <c r="Y40" s="1087"/>
      <c r="Z40" s="1087" t="s">
        <v>423</v>
      </c>
      <c r="AA40" s="1087"/>
      <c r="AB40" s="1087"/>
      <c r="AC40" s="1167"/>
      <c r="AD40" s="1169" t="s">
        <v>420</v>
      </c>
      <c r="AE40" s="1155"/>
      <c r="AF40" s="1087" t="s">
        <v>422</v>
      </c>
      <c r="AG40" s="1087"/>
      <c r="AH40" s="1087" t="s">
        <v>423</v>
      </c>
      <c r="AI40" s="1087"/>
      <c r="AJ40" s="1087"/>
      <c r="AK40" s="1167"/>
      <c r="AL40" s="1168"/>
      <c r="AM40" s="1087"/>
    </row>
    <row r="41" spans="1:44" ht="33.75" customHeight="1">
      <c r="A41" s="142"/>
      <c r="B41" s="142" t="s">
        <v>131</v>
      </c>
      <c r="C41" s="142" t="s">
        <v>132</v>
      </c>
      <c r="D41" s="142" t="s">
        <v>133</v>
      </c>
      <c r="E41" s="391" t="s">
        <v>424</v>
      </c>
      <c r="F41" s="391" t="s">
        <v>425</v>
      </c>
      <c r="G41" s="391" t="s">
        <v>426</v>
      </c>
      <c r="H41" s="391" t="s">
        <v>427</v>
      </c>
      <c r="I41" s="391" t="s">
        <v>428</v>
      </c>
      <c r="J41" s="391" t="s">
        <v>429</v>
      </c>
      <c r="K41" s="391" t="s">
        <v>430</v>
      </c>
      <c r="L41" s="391" t="s">
        <v>405</v>
      </c>
      <c r="Q41" s="437"/>
      <c r="R41" s="437"/>
      <c r="S41" s="1166"/>
      <c r="T41" s="1167"/>
      <c r="U41" s="446"/>
      <c r="V41" s="1169"/>
      <c r="W41" s="1155"/>
      <c r="X41" s="203" t="s">
        <v>431</v>
      </c>
      <c r="Y41" s="203" t="s">
        <v>432</v>
      </c>
      <c r="Z41" s="203" t="s">
        <v>433</v>
      </c>
      <c r="AA41" s="1108" t="s">
        <v>434</v>
      </c>
      <c r="AB41" s="1108"/>
      <c r="AC41" s="1167"/>
      <c r="AD41" s="1169"/>
      <c r="AE41" s="1155"/>
      <c r="AF41" s="203" t="s">
        <v>431</v>
      </c>
      <c r="AG41" s="203" t="s">
        <v>432</v>
      </c>
      <c r="AH41" s="203" t="s">
        <v>433</v>
      </c>
      <c r="AI41" s="1108" t="s">
        <v>434</v>
      </c>
      <c r="AJ41" s="1108"/>
      <c r="AK41" s="1167"/>
      <c r="AL41" s="1168"/>
      <c r="AM41" s="1087"/>
    </row>
    <row r="42" spans="1:44" s="123" customFormat="1" ht="11.25" hidden="1" customHeight="1">
      <c r="A42" s="142"/>
      <c r="B42" s="142"/>
      <c r="C42" s="142"/>
      <c r="D42" s="142"/>
      <c r="E42" s="142"/>
      <c r="F42" s="142"/>
      <c r="G42" s="142"/>
      <c r="H42" s="142"/>
      <c r="I42" s="142"/>
      <c r="J42" s="142"/>
      <c r="K42" s="142"/>
      <c r="L42" s="391"/>
      <c r="M42" s="57"/>
      <c r="N42" s="57"/>
      <c r="O42" s="57"/>
      <c r="P42" s="447"/>
      <c r="Q42" s="448"/>
      <c r="R42" s="449">
        <v>1</v>
      </c>
      <c r="S42" s="450" t="s">
        <v>105</v>
      </c>
      <c r="T42" s="451" t="s">
        <v>106</v>
      </c>
      <c r="U42" s="452" t="str">
        <f ca="1">OFFSET(U42,0,-1)</f>
        <v>2</v>
      </c>
      <c r="V42" s="453">
        <f ca="1">OFFSET(V42,0,-1)+1</f>
        <v>3</v>
      </c>
      <c r="W42" s="453"/>
      <c r="X42" s="453">
        <f ca="1">OFFSET(X42,0,-1)+1</f>
        <v>1</v>
      </c>
      <c r="Y42" s="453">
        <f ca="1">OFFSET(Y42,0,-1)+1</f>
        <v>2</v>
      </c>
      <c r="Z42" s="453">
        <f ca="1">OFFSET(Z42,0,-1)+1</f>
        <v>3</v>
      </c>
      <c r="AA42" s="1170">
        <f ca="1">OFFSET(AA42,0,-1)+1</f>
        <v>4</v>
      </c>
      <c r="AB42" s="1170"/>
      <c r="AC42" s="453">
        <f ca="1">OFFSET(AC42,0,-2)+1</f>
        <v>5</v>
      </c>
      <c r="AD42" s="453">
        <f ca="1">OFFSET(AD42,0,-1)+1</f>
        <v>6</v>
      </c>
      <c r="AE42" s="453"/>
      <c r="AF42" s="453">
        <f ca="1">OFFSET(AF42,0,-1)+1</f>
        <v>1</v>
      </c>
      <c r="AG42" s="453">
        <f ca="1">OFFSET(AG42,0,-1)+1</f>
        <v>2</v>
      </c>
      <c r="AH42" s="453">
        <f ca="1">OFFSET(AH42,0,-1)+1</f>
        <v>3</v>
      </c>
      <c r="AI42" s="1170">
        <f ca="1">OFFSET(AI42,0,-1)+1</f>
        <v>4</v>
      </c>
      <c r="AJ42" s="1170"/>
      <c r="AK42" s="453">
        <f ca="1">OFFSET(AK42,0,-2)+1</f>
        <v>5</v>
      </c>
      <c r="AL42" s="452">
        <f ca="1">OFFSET(AL42,0,-1)</f>
        <v>5</v>
      </c>
      <c r="AM42" s="453">
        <f ca="1">OFFSET(AM42,0,-1)+1</f>
        <v>6</v>
      </c>
      <c r="AN42" s="53"/>
      <c r="AO42" s="53"/>
      <c r="AP42" s="53"/>
      <c r="AQ42" s="53"/>
      <c r="AR42" s="53"/>
    </row>
    <row r="43" spans="1:44" ht="21" customHeight="1">
      <c r="A43" s="390" t="s">
        <v>176</v>
      </c>
      <c r="B43" s="390"/>
      <c r="C43" s="390"/>
      <c r="D43" s="390"/>
      <c r="E43" s="1153">
        <v>1</v>
      </c>
      <c r="F43" s="390"/>
      <c r="G43" s="390"/>
      <c r="H43" s="390"/>
      <c r="I43" s="390"/>
      <c r="J43" s="390"/>
      <c r="K43" s="390"/>
      <c r="L43" s="391"/>
      <c r="M43" s="392"/>
      <c r="N43" s="392"/>
      <c r="O43" s="392"/>
      <c r="Q43" s="134"/>
      <c r="R43" s="393"/>
      <c r="S43" s="394">
        <f>INDEX(PT_DIFFERENTIATION_NUM_NTAR,MATCH(A43,PT_DIFFERENTIATION_NTAR_ID,0))</f>
        <v>0</v>
      </c>
      <c r="T43" s="395" t="s">
        <v>119</v>
      </c>
      <c r="U43" s="396"/>
      <c r="V43" s="1154"/>
      <c r="W43" s="1154"/>
      <c r="X43" s="1154"/>
      <c r="Y43" s="1154"/>
      <c r="Z43" s="1154"/>
      <c r="AA43" s="1154"/>
      <c r="AB43" s="1154"/>
      <c r="AC43" s="1154"/>
      <c r="AD43" s="1154" t="str">
        <f>INDEX(PT_DIFFERENTIATION_NTAR,MATCH(A43,PT_DIFFERENTIATION_NTAR_ID,0))</f>
        <v/>
      </c>
      <c r="AE43" s="1154"/>
      <c r="AF43" s="1154"/>
      <c r="AG43" s="1154"/>
      <c r="AH43" s="1154"/>
      <c r="AI43" s="1154"/>
      <c r="AJ43" s="1154"/>
      <c r="AK43" s="1154"/>
      <c r="AL43" s="1154"/>
      <c r="AM43" s="39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t="shared" ref="AP43:AP57" si="1">IF(T43="","",T43)</f>
        <v>Наименование тарифа</v>
      </c>
      <c r="AQ43" s="121"/>
      <c r="AR43" s="121"/>
    </row>
    <row r="44" spans="1:44" ht="21" customHeight="1">
      <c r="A44" s="390" t="s">
        <v>176</v>
      </c>
      <c r="B44" s="390" t="s">
        <v>177</v>
      </c>
      <c r="C44" s="390"/>
      <c r="D44" s="390"/>
      <c r="E44" s="1153"/>
      <c r="F44" s="1153">
        <v>1</v>
      </c>
      <c r="G44" s="390"/>
      <c r="H44" s="390"/>
      <c r="I44" s="390"/>
      <c r="J44" s="390"/>
      <c r="K44" s="390"/>
      <c r="L44" s="391"/>
      <c r="M44" s="392"/>
      <c r="N44" s="392"/>
      <c r="O44" s="392"/>
      <c r="P44" s="47"/>
      <c r="Q44" s="398"/>
      <c r="R44" s="399"/>
      <c r="S44" s="394" t="str">
        <f>INDEX(PT_DIFFERENTIATION_NUM_TER,MATCH(B44,PT_DIFFERENTIATION_TER_ID,0))</f>
        <v>.</v>
      </c>
      <c r="T44" s="400" t="s">
        <v>386</v>
      </c>
      <c r="U44" s="396"/>
      <c r="V44" s="1154"/>
      <c r="W44" s="1154"/>
      <c r="X44" s="1154"/>
      <c r="Y44" s="1154"/>
      <c r="Z44" s="1154"/>
      <c r="AA44" s="1154"/>
      <c r="AB44" s="1154"/>
      <c r="AC44" s="1154"/>
      <c r="AD44" s="1154" t="str">
        <f>INDEX(PT_DIFFERENTIATION_TER,MATCH(B44,PT_DIFFERENTIATION_TER_ID,0))</f>
        <v/>
      </c>
      <c r="AE44" s="1154"/>
      <c r="AF44" s="1154"/>
      <c r="AG44" s="1154"/>
      <c r="AH44" s="1154"/>
      <c r="AI44" s="1154"/>
      <c r="AJ44" s="1154"/>
      <c r="AK44" s="1154"/>
      <c r="AL44" s="1154"/>
      <c r="AM44" s="397" t="s">
        <v>387</v>
      </c>
      <c r="AO44" s="121"/>
      <c r="AP44" s="121" t="str">
        <f t="shared" si="1"/>
        <v>Территория действия тарифа</v>
      </c>
      <c r="AQ44" s="121"/>
      <c r="AR44" s="121"/>
    </row>
    <row r="45" spans="1:44" ht="23.25" customHeight="1">
      <c r="A45" s="390" t="s">
        <v>176</v>
      </c>
      <c r="B45" s="390" t="s">
        <v>177</v>
      </c>
      <c r="C45" s="390" t="s">
        <v>178</v>
      </c>
      <c r="D45" s="390"/>
      <c r="E45" s="1153"/>
      <c r="F45" s="1153"/>
      <c r="G45" s="1153">
        <v>1</v>
      </c>
      <c r="H45" s="390"/>
      <c r="I45" s="390"/>
      <c r="J45" s="390"/>
      <c r="K45" s="390"/>
      <c r="L45" s="391"/>
      <c r="M45" s="392"/>
      <c r="N45" s="392"/>
      <c r="O45" s="392"/>
      <c r="P45" s="401"/>
      <c r="Q45" s="398"/>
      <c r="R45" s="399"/>
      <c r="S45" s="394" t="str">
        <f>INDEX(PT_DIFFERENTIATION_NUM_CS,MATCH(C45,PT_DIFFERENTIATION_CS_ID,0))</f>
        <v>..</v>
      </c>
      <c r="T45" s="402" t="s">
        <v>388</v>
      </c>
      <c r="U45" s="396"/>
      <c r="V45" s="1154"/>
      <c r="W45" s="1154"/>
      <c r="X45" s="1154"/>
      <c r="Y45" s="1154"/>
      <c r="Z45" s="1154"/>
      <c r="AA45" s="1154"/>
      <c r="AB45" s="1154"/>
      <c r="AC45" s="1154"/>
      <c r="AD45" s="1154" t="str">
        <f>INDEX(PT_DIFFERENTIATION_CS,MATCH(C45,PT_DIFFERENTIATION_CS_ID,0))</f>
        <v/>
      </c>
      <c r="AE45" s="1154"/>
      <c r="AF45" s="1154"/>
      <c r="AG45" s="1154"/>
      <c r="AH45" s="1154"/>
      <c r="AI45" s="1154"/>
      <c r="AJ45" s="1154"/>
      <c r="AK45" s="1154"/>
      <c r="AL45" s="1154"/>
      <c r="AM45" s="397" t="s">
        <v>389</v>
      </c>
      <c r="AO45" s="121"/>
      <c r="AP45" s="121" t="str">
        <f t="shared" si="1"/>
        <v xml:space="preserve">Наименование системы теплоснабжения </v>
      </c>
      <c r="AQ45" s="121"/>
      <c r="AR45" s="121"/>
    </row>
    <row r="46" spans="1:44" ht="21" customHeight="1">
      <c r="A46" s="390" t="s">
        <v>176</v>
      </c>
      <c r="B46" s="390" t="s">
        <v>177</v>
      </c>
      <c r="C46" s="390" t="s">
        <v>178</v>
      </c>
      <c r="D46" s="390" t="s">
        <v>179</v>
      </c>
      <c r="E46" s="1153"/>
      <c r="F46" s="1153"/>
      <c r="G46" s="1153"/>
      <c r="H46" s="1153">
        <v>1</v>
      </c>
      <c r="I46" s="390"/>
      <c r="J46" s="390"/>
      <c r="K46" s="390"/>
      <c r="L46" s="391"/>
      <c r="M46" s="392"/>
      <c r="N46" s="392"/>
      <c r="O46" s="392"/>
      <c r="P46" s="401"/>
      <c r="Q46" s="398"/>
      <c r="R46" s="399"/>
      <c r="S46" s="394" t="str">
        <f>INDEX(PT_DIFFERENTIATION_NUM_IST_TE,MATCH(D46,PT_DIFFERENTIATION_IST_TE_ID,0))</f>
        <v>...</v>
      </c>
      <c r="T46" s="403" t="s">
        <v>390</v>
      </c>
      <c r="U46" s="396"/>
      <c r="V46" s="1154"/>
      <c r="W46" s="1154"/>
      <c r="X46" s="1154"/>
      <c r="Y46" s="1154"/>
      <c r="Z46" s="1154"/>
      <c r="AA46" s="1154"/>
      <c r="AB46" s="1154"/>
      <c r="AC46" s="1154"/>
      <c r="AD46" s="1154" t="str">
        <f>INDEX(PT_DIFFERENTIATION_IST_TE,MATCH(D46,PT_DIFFERENTIATION_IST_TE_ID,0))</f>
        <v/>
      </c>
      <c r="AE46" s="1154"/>
      <c r="AF46" s="1154"/>
      <c r="AG46" s="1154"/>
      <c r="AH46" s="1154"/>
      <c r="AI46" s="1154"/>
      <c r="AJ46" s="1154"/>
      <c r="AK46" s="1154"/>
      <c r="AL46" s="1154"/>
      <c r="AM46" s="397" t="s">
        <v>391</v>
      </c>
      <c r="AO46" s="121"/>
      <c r="AP46" s="121" t="str">
        <f t="shared" si="1"/>
        <v xml:space="preserve">Источник тепловой энергии  </v>
      </c>
      <c r="AQ46" s="121"/>
      <c r="AR46" s="121"/>
    </row>
    <row r="47" spans="1:44" s="53" customFormat="1" ht="5.25">
      <c r="A47" s="125" t="s">
        <v>176</v>
      </c>
      <c r="B47" s="125" t="s">
        <v>177</v>
      </c>
      <c r="C47" s="125" t="s">
        <v>178</v>
      </c>
      <c r="D47" s="125" t="s">
        <v>179</v>
      </c>
      <c r="E47" s="1153"/>
      <c r="F47" s="1153"/>
      <c r="G47" s="1153"/>
      <c r="H47" s="1153"/>
      <c r="I47" s="1155" t="str">
        <f>S46&amp;".1"</f>
        <v>....1</v>
      </c>
      <c r="J47" s="125"/>
      <c r="K47" s="125"/>
      <c r="L47" s="184" t="s">
        <v>392</v>
      </c>
      <c r="M47" s="466"/>
      <c r="N47" s="466"/>
      <c r="O47" s="466"/>
      <c r="P47" s="1156">
        <v>1</v>
      </c>
      <c r="Q47" s="124"/>
      <c r="R47" s="405"/>
      <c r="S47" s="280"/>
      <c r="T47" s="459"/>
      <c r="U47" s="460"/>
      <c r="V47" s="1175"/>
      <c r="W47" s="1175"/>
      <c r="X47" s="1175"/>
      <c r="Y47" s="1175"/>
      <c r="Z47" s="1175"/>
      <c r="AA47" s="1175"/>
      <c r="AB47" s="1175"/>
      <c r="AC47" s="1175"/>
      <c r="AD47" s="1175"/>
      <c r="AE47" s="1175"/>
      <c r="AF47" s="1175"/>
      <c r="AG47" s="1175"/>
      <c r="AH47" s="1175"/>
      <c r="AI47" s="1175"/>
      <c r="AJ47" s="1175"/>
      <c r="AK47" s="1175"/>
      <c r="AL47" s="1175"/>
      <c r="AM47" s="461"/>
      <c r="AO47" s="121"/>
      <c r="AP47" s="121" t="str">
        <f t="shared" si="1"/>
        <v/>
      </c>
      <c r="AQ47" s="121"/>
      <c r="AR47" s="121"/>
    </row>
    <row r="48" spans="1:44" ht="21" customHeight="1">
      <c r="A48" s="390" t="s">
        <v>176</v>
      </c>
      <c r="B48" s="390" t="s">
        <v>177</v>
      </c>
      <c r="C48" s="390" t="s">
        <v>178</v>
      </c>
      <c r="D48" s="390" t="s">
        <v>179</v>
      </c>
      <c r="E48" s="1153"/>
      <c r="F48" s="1153"/>
      <c r="G48" s="1153"/>
      <c r="H48" s="1153"/>
      <c r="I48" s="1155"/>
      <c r="J48" s="1155" t="str">
        <f>S46&amp;".1"</f>
        <v>....1</v>
      </c>
      <c r="K48" s="390"/>
      <c r="L48" s="391" t="s">
        <v>395</v>
      </c>
      <c r="P48" s="1156"/>
      <c r="Q48" s="1156">
        <v>1</v>
      </c>
      <c r="R48" s="408"/>
      <c r="S48" s="394" t="str">
        <f>$J48</f>
        <v>....1</v>
      </c>
      <c r="T48" s="409" t="s">
        <v>396</v>
      </c>
      <c r="U48" s="396"/>
      <c r="V48" s="1157"/>
      <c r="W48" s="1157"/>
      <c r="X48" s="1157"/>
      <c r="Y48" s="1157"/>
      <c r="Z48" s="1157"/>
      <c r="AA48" s="1157"/>
      <c r="AB48" s="1157"/>
      <c r="AC48" s="1157"/>
      <c r="AD48" s="1157"/>
      <c r="AE48" s="1157"/>
      <c r="AF48" s="1157"/>
      <c r="AG48" s="1157"/>
      <c r="AH48" s="1157"/>
      <c r="AI48" s="1157"/>
      <c r="AJ48" s="1157"/>
      <c r="AK48" s="1157"/>
      <c r="AL48" s="1157"/>
      <c r="AM48" s="397" t="s">
        <v>397</v>
      </c>
      <c r="AO48" s="121"/>
      <c r="AP48" s="121" t="str">
        <f t="shared" si="1"/>
        <v>Группа потребителей</v>
      </c>
      <c r="AQ48" s="121"/>
      <c r="AR48" s="121"/>
    </row>
    <row r="49" spans="1:44" ht="21" customHeight="1">
      <c r="A49" s="390" t="s">
        <v>176</v>
      </c>
      <c r="B49" s="390" t="s">
        <v>177</v>
      </c>
      <c r="C49" s="390" t="s">
        <v>178</v>
      </c>
      <c r="D49" s="390" t="s">
        <v>179</v>
      </c>
      <c r="E49" s="1153"/>
      <c r="F49" s="1153"/>
      <c r="G49" s="1153"/>
      <c r="H49" s="1153"/>
      <c r="I49" s="1155"/>
      <c r="J49" s="1155"/>
      <c r="K49" s="1155" t="str">
        <f>J48&amp;".1"</f>
        <v>....1.1</v>
      </c>
      <c r="L49" s="391" t="s">
        <v>398</v>
      </c>
      <c r="P49" s="1156"/>
      <c r="Q49" s="1156"/>
      <c r="R49" s="408">
        <v>1</v>
      </c>
      <c r="S49" s="394" t="str">
        <f>$K49</f>
        <v>....1.1</v>
      </c>
      <c r="T49" s="410"/>
      <c r="U49" s="396"/>
      <c r="V49" s="411"/>
      <c r="W49" s="412"/>
      <c r="X49" s="411"/>
      <c r="Y49" s="413"/>
      <c r="Z49" s="1158"/>
      <c r="AA49" s="1105" t="s">
        <v>63</v>
      </c>
      <c r="AB49" s="1158"/>
      <c r="AC49" s="1105" t="s">
        <v>63</v>
      </c>
      <c r="AD49" s="411"/>
      <c r="AE49" s="412"/>
      <c r="AF49" s="411"/>
      <c r="AG49" s="413"/>
      <c r="AH49" s="1158"/>
      <c r="AI49" s="1105" t="s">
        <v>63</v>
      </c>
      <c r="AJ49" s="1158"/>
      <c r="AK49" s="1105" t="s">
        <v>63</v>
      </c>
      <c r="AL49" s="454"/>
      <c r="AM49" s="1159" t="s">
        <v>436</v>
      </c>
      <c r="AN49" s="53" t="e">
        <f ca="1">strcheckdate(V50:AL50)</f>
        <v>#NAME?</v>
      </c>
      <c r="AO49" s="121"/>
      <c r="AP49" s="121" t="str">
        <f t="shared" si="1"/>
        <v/>
      </c>
      <c r="AQ49" s="121"/>
      <c r="AR49" s="121"/>
    </row>
    <row r="50" spans="1:44" ht="0.75" customHeight="1">
      <c r="A50" s="390" t="s">
        <v>176</v>
      </c>
      <c r="B50" s="390" t="s">
        <v>177</v>
      </c>
      <c r="C50" s="390" t="s">
        <v>178</v>
      </c>
      <c r="D50" s="390" t="s">
        <v>179</v>
      </c>
      <c r="E50" s="1153"/>
      <c r="F50" s="1153"/>
      <c r="G50" s="1153"/>
      <c r="H50" s="1153"/>
      <c r="I50" s="1155"/>
      <c r="J50" s="1155"/>
      <c r="K50" s="1155"/>
      <c r="L50" s="391"/>
      <c r="P50" s="1156"/>
      <c r="Q50" s="1156"/>
      <c r="R50" s="408"/>
      <c r="S50" s="370"/>
      <c r="T50" s="396"/>
      <c r="U50" s="396"/>
      <c r="V50" s="412"/>
      <c r="W50" s="412"/>
      <c r="X50" s="412"/>
      <c r="Y50" s="415" t="str">
        <f>Z49&amp;"-"&amp;AB49</f>
        <v>-</v>
      </c>
      <c r="Z50" s="1158"/>
      <c r="AA50" s="1105"/>
      <c r="AB50" s="1158"/>
      <c r="AC50" s="1105"/>
      <c r="AD50" s="412"/>
      <c r="AE50" s="412"/>
      <c r="AF50" s="412"/>
      <c r="AG50" s="415" t="str">
        <f>AH49&amp;"-"&amp;AJ49</f>
        <v>-</v>
      </c>
      <c r="AH50" s="1158"/>
      <c r="AI50" s="1105"/>
      <c r="AJ50" s="1158"/>
      <c r="AK50" s="1105"/>
      <c r="AL50" s="455"/>
      <c r="AM50" s="1159"/>
      <c r="AO50" s="121"/>
      <c r="AP50" s="121" t="str">
        <f t="shared" si="1"/>
        <v/>
      </c>
      <c r="AQ50" s="121"/>
      <c r="AR50" s="121"/>
    </row>
    <row r="51" spans="1:44" ht="11.25" customHeight="1">
      <c r="A51" s="390" t="s">
        <v>176</v>
      </c>
      <c r="B51" s="390" t="s">
        <v>177</v>
      </c>
      <c r="C51" s="390" t="s">
        <v>178</v>
      </c>
      <c r="D51" s="390" t="s">
        <v>179</v>
      </c>
      <c r="E51" s="1153"/>
      <c r="F51" s="1153"/>
      <c r="G51" s="1153"/>
      <c r="H51" s="1153"/>
      <c r="I51" s="1155"/>
      <c r="J51" s="1155"/>
      <c r="K51" s="390"/>
      <c r="L51" s="391"/>
      <c r="P51" s="1156"/>
      <c r="Q51" s="1156"/>
      <c r="R51" s="405"/>
      <c r="S51" s="416"/>
      <c r="T51" s="419" t="s">
        <v>400</v>
      </c>
      <c r="U51" s="186"/>
      <c r="V51" s="186"/>
      <c r="W51" s="186"/>
      <c r="X51" s="186"/>
      <c r="Y51" s="186"/>
      <c r="Z51" s="186"/>
      <c r="AA51" s="186"/>
      <c r="AB51" s="186"/>
      <c r="AC51" s="186"/>
      <c r="AD51" s="186"/>
      <c r="AE51" s="186"/>
      <c r="AF51" s="186"/>
      <c r="AG51" s="186"/>
      <c r="AH51" s="186"/>
      <c r="AI51" s="186"/>
      <c r="AJ51" s="186"/>
      <c r="AK51" s="186"/>
      <c r="AL51" s="418"/>
      <c r="AM51" s="1159"/>
      <c r="AO51" s="121"/>
      <c r="AP51" s="121" t="str">
        <f t="shared" si="1"/>
        <v>Добавить вид теплоносителя (параметры теплоносителя)</v>
      </c>
      <c r="AQ51" s="121"/>
      <c r="AR51" s="121"/>
    </row>
    <row r="52" spans="1:44" ht="11.25" customHeight="1">
      <c r="A52" s="390" t="s">
        <v>176</v>
      </c>
      <c r="B52" s="390" t="s">
        <v>177</v>
      </c>
      <c r="C52" s="390" t="s">
        <v>178</v>
      </c>
      <c r="D52" s="390" t="s">
        <v>179</v>
      </c>
      <c r="E52" s="1153"/>
      <c r="F52" s="1153"/>
      <c r="G52" s="1153"/>
      <c r="H52" s="1153"/>
      <c r="I52" s="1155"/>
      <c r="J52" s="390"/>
      <c r="K52" s="390"/>
      <c r="L52" s="391"/>
      <c r="P52" s="1156"/>
      <c r="Q52" s="124"/>
      <c r="R52" s="405"/>
      <c r="S52" s="416"/>
      <c r="T52" s="423" t="s">
        <v>401</v>
      </c>
      <c r="U52" s="186"/>
      <c r="V52" s="186"/>
      <c r="W52" s="186"/>
      <c r="X52" s="186"/>
      <c r="Y52" s="186"/>
      <c r="Z52" s="186"/>
      <c r="AA52" s="186"/>
      <c r="AB52" s="186"/>
      <c r="AC52" s="420"/>
      <c r="AD52" s="186"/>
      <c r="AE52" s="186"/>
      <c r="AF52" s="186"/>
      <c r="AG52" s="186"/>
      <c r="AH52" s="186"/>
      <c r="AI52" s="186"/>
      <c r="AJ52" s="186"/>
      <c r="AK52" s="420"/>
      <c r="AL52" s="186"/>
      <c r="AM52" s="421"/>
      <c r="AO52" s="121"/>
      <c r="AP52" s="121" t="str">
        <f t="shared" si="1"/>
        <v>Добавить группу потребителей</v>
      </c>
      <c r="AQ52" s="121"/>
      <c r="AR52" s="121"/>
    </row>
    <row r="53" spans="1:44">
      <c r="A53" s="390" t="s">
        <v>176</v>
      </c>
      <c r="B53" s="390" t="s">
        <v>177</v>
      </c>
      <c r="C53" s="390" t="s">
        <v>178</v>
      </c>
      <c r="D53" s="390" t="s">
        <v>179</v>
      </c>
      <c r="E53" s="1153"/>
      <c r="F53" s="1153"/>
      <c r="G53" s="1153"/>
      <c r="H53" s="1153"/>
      <c r="I53" s="390"/>
      <c r="J53" s="390"/>
      <c r="K53" s="390"/>
      <c r="L53" s="391"/>
      <c r="M53" s="392"/>
      <c r="N53" s="392"/>
      <c r="O53" s="49"/>
      <c r="P53" s="134"/>
      <c r="Q53" s="422"/>
      <c r="R53" s="393"/>
      <c r="S53" s="462"/>
      <c r="T53" s="463"/>
      <c r="U53" s="464"/>
      <c r="V53" s="464"/>
      <c r="W53" s="464"/>
      <c r="X53" s="464"/>
      <c r="Y53" s="464"/>
      <c r="Z53" s="464"/>
      <c r="AA53" s="464"/>
      <c r="AB53" s="464"/>
      <c r="AC53" s="464"/>
      <c r="AD53" s="464"/>
      <c r="AE53" s="464"/>
      <c r="AF53" s="464"/>
      <c r="AG53" s="464"/>
      <c r="AH53" s="464"/>
      <c r="AI53" s="464"/>
      <c r="AJ53" s="464"/>
      <c r="AK53" s="464"/>
      <c r="AL53" s="464"/>
      <c r="AM53" s="465"/>
      <c r="AO53" s="121"/>
      <c r="AP53" s="121" t="str">
        <f t="shared" si="1"/>
        <v/>
      </c>
      <c r="AQ53" s="121"/>
      <c r="AR53" s="121"/>
    </row>
    <row r="54" spans="1:44" s="53" customFormat="1" ht="0.75" customHeight="1">
      <c r="A54" s="125" t="s">
        <v>176</v>
      </c>
      <c r="B54" s="125" t="s">
        <v>177</v>
      </c>
      <c r="C54" s="125" t="s">
        <v>178</v>
      </c>
      <c r="D54" s="125"/>
      <c r="E54" s="1153"/>
      <c r="F54" s="1153"/>
      <c r="G54" s="1153"/>
      <c r="H54" s="125"/>
      <c r="I54" s="125"/>
      <c r="J54" s="125"/>
      <c r="K54" s="125"/>
      <c r="L54" s="184"/>
      <c r="M54" s="375"/>
      <c r="N54" s="375"/>
      <c r="P54" s="158"/>
      <c r="Q54" s="424"/>
      <c r="R54" s="158"/>
      <c r="S54" s="429"/>
      <c r="T54" s="432" t="s">
        <v>403</v>
      </c>
      <c r="U54" s="431"/>
      <c r="V54" s="431"/>
      <c r="W54" s="431"/>
      <c r="X54" s="431"/>
      <c r="Y54" s="431"/>
      <c r="Z54" s="431"/>
      <c r="AA54" s="431"/>
      <c r="AB54" s="431"/>
      <c r="AC54" s="431"/>
      <c r="AD54" s="431"/>
      <c r="AE54" s="431"/>
      <c r="AF54" s="431"/>
      <c r="AG54" s="431"/>
      <c r="AH54" s="431"/>
      <c r="AI54" s="431"/>
      <c r="AJ54" s="431"/>
      <c r="AK54" s="431"/>
      <c r="AL54" s="431"/>
      <c r="AM54" s="431"/>
      <c r="AO54" s="121"/>
      <c r="AP54" s="121" t="str">
        <f t="shared" si="1"/>
        <v>Добавить источник для дифференциации</v>
      </c>
      <c r="AQ54" s="121"/>
      <c r="AR54" s="121"/>
    </row>
    <row r="55" spans="1:44" s="53" customFormat="1" ht="0.75" customHeight="1">
      <c r="A55" s="125" t="s">
        <v>176</v>
      </c>
      <c r="B55" s="125" t="s">
        <v>177</v>
      </c>
      <c r="C55" s="125"/>
      <c r="D55" s="125"/>
      <c r="E55" s="1153"/>
      <c r="F55" s="1153"/>
      <c r="G55" s="125"/>
      <c r="H55" s="125"/>
      <c r="I55" s="125"/>
      <c r="J55" s="125"/>
      <c r="K55" s="125"/>
      <c r="L55" s="184"/>
      <c r="M55" s="428"/>
      <c r="N55" s="428"/>
      <c r="P55" s="158"/>
      <c r="Q55" s="424"/>
      <c r="R55" s="158"/>
      <c r="S55" s="429"/>
      <c r="T55" s="432" t="s">
        <v>253</v>
      </c>
      <c r="U55" s="431"/>
      <c r="V55" s="431"/>
      <c r="W55" s="431"/>
      <c r="X55" s="431"/>
      <c r="Y55" s="431"/>
      <c r="Z55" s="431"/>
      <c r="AA55" s="431"/>
      <c r="AB55" s="431"/>
      <c r="AC55" s="431"/>
      <c r="AD55" s="431"/>
      <c r="AE55" s="431"/>
      <c r="AF55" s="431"/>
      <c r="AG55" s="431"/>
      <c r="AH55" s="431"/>
      <c r="AI55" s="431"/>
      <c r="AJ55" s="431"/>
      <c r="AK55" s="431"/>
      <c r="AL55" s="431"/>
      <c r="AM55" s="431"/>
      <c r="AO55" s="121"/>
      <c r="AP55" s="121" t="str">
        <f t="shared" si="1"/>
        <v>Добавить централизованную систему для дифференциации</v>
      </c>
      <c r="AQ55" s="121"/>
      <c r="AR55" s="121"/>
    </row>
    <row r="56" spans="1:44" s="53" customFormat="1" ht="0.75" customHeight="1">
      <c r="A56" s="125" t="s">
        <v>176</v>
      </c>
      <c r="B56" s="125"/>
      <c r="C56" s="125"/>
      <c r="D56" s="125"/>
      <c r="E56" s="1153"/>
      <c r="F56" s="125"/>
      <c r="G56" s="125"/>
      <c r="H56" s="125"/>
      <c r="I56" s="125"/>
      <c r="J56" s="125"/>
      <c r="K56" s="125"/>
      <c r="L56" s="184"/>
      <c r="M56" s="428"/>
      <c r="N56" s="428"/>
      <c r="P56" s="158"/>
      <c r="Q56" s="424"/>
      <c r="R56" s="158"/>
      <c r="S56" s="429"/>
      <c r="T56" s="432" t="s">
        <v>254</v>
      </c>
      <c r="U56" s="431"/>
      <c r="V56" s="431"/>
      <c r="W56" s="431"/>
      <c r="X56" s="431"/>
      <c r="Y56" s="431"/>
      <c r="Z56" s="431"/>
      <c r="AA56" s="431"/>
      <c r="AB56" s="431"/>
      <c r="AC56" s="431"/>
      <c r="AD56" s="431"/>
      <c r="AE56" s="431"/>
      <c r="AF56" s="431"/>
      <c r="AG56" s="431"/>
      <c r="AH56" s="431"/>
      <c r="AI56" s="431"/>
      <c r="AJ56" s="431"/>
      <c r="AK56" s="431"/>
      <c r="AL56" s="431"/>
      <c r="AM56" s="431"/>
      <c r="AO56" s="121"/>
      <c r="AP56" s="121" t="str">
        <f t="shared" si="1"/>
        <v>Добавить территорию для дифференциации</v>
      </c>
      <c r="AQ56" s="121"/>
      <c r="AR56" s="121"/>
    </row>
    <row r="57" spans="1:44" s="53" customFormat="1" ht="0.75" customHeight="1">
      <c r="A57" s="125"/>
      <c r="B57" s="125"/>
      <c r="C57" s="125"/>
      <c r="D57" s="125"/>
      <c r="E57" s="125"/>
      <c r="F57" s="125"/>
      <c r="G57" s="125"/>
      <c r="H57" s="125"/>
      <c r="I57" s="125"/>
      <c r="J57" s="125"/>
      <c r="K57" s="125"/>
      <c r="L57" s="184"/>
      <c r="M57" s="428"/>
      <c r="N57" s="428"/>
      <c r="P57" s="158"/>
      <c r="Q57" s="424"/>
      <c r="R57" s="158"/>
      <c r="S57" s="429"/>
      <c r="T57" s="432" t="s">
        <v>255</v>
      </c>
      <c r="U57" s="431"/>
      <c r="V57" s="431"/>
      <c r="W57" s="431"/>
      <c r="X57" s="431"/>
      <c r="Y57" s="431"/>
      <c r="Z57" s="431"/>
      <c r="AA57" s="431"/>
      <c r="AB57" s="431"/>
      <c r="AC57" s="431"/>
      <c r="AD57" s="431"/>
      <c r="AE57" s="431"/>
      <c r="AF57" s="431"/>
      <c r="AG57" s="431"/>
      <c r="AH57" s="431"/>
      <c r="AI57" s="431"/>
      <c r="AJ57" s="431"/>
      <c r="AK57" s="431"/>
      <c r="AL57" s="431"/>
      <c r="AM57" s="431"/>
      <c r="AO57" s="121"/>
      <c r="AP57" s="121" t="str">
        <f t="shared" si="1"/>
        <v>Добавить наименование тарифа</v>
      </c>
      <c r="AQ57" s="121"/>
      <c r="AR57" s="121"/>
    </row>
    <row r="58" spans="1:44" ht="11.25" customHeight="1">
      <c r="M58" s="49"/>
      <c r="N58" s="49"/>
      <c r="O58" s="49"/>
      <c r="P58" s="46"/>
      <c r="Q58" s="46"/>
      <c r="R58" s="46"/>
      <c r="S58" s="46"/>
      <c r="AN58" s="46"/>
      <c r="AO58" s="46"/>
      <c r="AP58" s="46"/>
      <c r="AQ58" s="46"/>
      <c r="AR58" s="46"/>
    </row>
    <row r="59" spans="1:44" ht="21.75" customHeight="1">
      <c r="O59" s="49"/>
      <c r="S59" s="387"/>
      <c r="T59" s="1171"/>
      <c r="U59" s="1171"/>
      <c r="V59" s="1171"/>
      <c r="W59" s="1171"/>
      <c r="X59" s="1171"/>
      <c r="Y59" s="1171"/>
      <c r="Z59" s="1171"/>
      <c r="AA59" s="1171"/>
      <c r="AB59" s="1171"/>
      <c r="AC59" s="1171"/>
      <c r="AD59" s="1171"/>
      <c r="AE59" s="1171"/>
      <c r="AF59" s="1171"/>
      <c r="AG59" s="1171"/>
      <c r="AH59" s="1171"/>
      <c r="AI59" s="1171"/>
      <c r="AJ59" s="1171"/>
      <c r="AK59" s="1171"/>
      <c r="AL59" s="1171"/>
      <c r="AM59" s="1171"/>
    </row>
    <row r="60" spans="1:44" ht="29.25" customHeight="1">
      <c r="O60" s="49"/>
      <c r="T60" s="1171"/>
      <c r="U60" s="1171"/>
      <c r="V60" s="1171"/>
      <c r="W60" s="1171"/>
      <c r="X60" s="1171"/>
      <c r="Y60" s="1171"/>
      <c r="Z60" s="1171"/>
      <c r="AA60" s="1171"/>
      <c r="AB60" s="1171"/>
      <c r="AC60" s="1171"/>
      <c r="AD60" s="1171"/>
      <c r="AE60" s="1171"/>
      <c r="AF60" s="1171"/>
      <c r="AG60" s="1171"/>
      <c r="AH60" s="1171"/>
      <c r="AI60" s="1171"/>
      <c r="AJ60" s="1171"/>
      <c r="AK60" s="1171"/>
      <c r="AL60" s="1171"/>
      <c r="AM60" s="1171"/>
    </row>
    <row r="61" spans="1:44" ht="39.75" customHeight="1">
      <c r="O61" s="49"/>
      <c r="T61" s="1171"/>
      <c r="U61" s="1171"/>
      <c r="V61" s="1171"/>
      <c r="W61" s="1171"/>
      <c r="X61" s="1171"/>
      <c r="Y61" s="1171"/>
      <c r="Z61" s="1171"/>
      <c r="AA61" s="1171"/>
      <c r="AB61" s="1171"/>
      <c r="AC61" s="1171"/>
      <c r="AD61" s="1171"/>
      <c r="AE61" s="1171"/>
      <c r="AF61" s="1171"/>
      <c r="AG61" s="1171"/>
      <c r="AH61" s="1171"/>
      <c r="AI61" s="1171"/>
      <c r="AJ61" s="1171"/>
      <c r="AK61" s="1171"/>
      <c r="AL61" s="1171"/>
      <c r="AM61" s="1171"/>
    </row>
    <row r="62" spans="1:44" ht="14.25" customHeight="1">
      <c r="O62" s="49"/>
    </row>
    <row r="63" spans="1:44" ht="19.5" customHeight="1">
      <c r="O63" s="49"/>
      <c r="S63" s="387"/>
      <c r="T63" s="1119"/>
      <c r="U63" s="1119"/>
      <c r="V63" s="1119"/>
      <c r="W63" s="1119"/>
      <c r="X63" s="1119"/>
      <c r="Y63" s="1119"/>
      <c r="Z63" s="1119"/>
      <c r="AA63" s="1119"/>
      <c r="AB63" s="1119"/>
      <c r="AC63" s="1119"/>
      <c r="AD63" s="1119"/>
      <c r="AE63" s="1119"/>
      <c r="AF63" s="1119"/>
      <c r="AG63" s="1119"/>
      <c r="AH63" s="1119"/>
      <c r="AI63" s="1119"/>
      <c r="AJ63" s="1119"/>
      <c r="AK63" s="1119"/>
      <c r="AL63" s="1119"/>
      <c r="AM63" s="1119"/>
    </row>
    <row r="64" spans="1:44" ht="27.75" customHeight="1">
      <c r="O64" s="49"/>
      <c r="T64" s="1171"/>
      <c r="U64" s="1171"/>
      <c r="V64" s="1171"/>
      <c r="W64" s="1171"/>
      <c r="X64" s="1171"/>
      <c r="Y64" s="1171"/>
      <c r="Z64" s="1171"/>
      <c r="AA64" s="1171"/>
      <c r="AB64" s="1171"/>
      <c r="AC64" s="1171"/>
      <c r="AD64" s="1171"/>
      <c r="AE64" s="1171"/>
      <c r="AF64" s="1171"/>
      <c r="AG64" s="1171"/>
      <c r="AH64" s="1171"/>
      <c r="AI64" s="1171"/>
      <c r="AJ64" s="1171"/>
      <c r="AK64" s="1171"/>
      <c r="AL64" s="1171"/>
      <c r="AM64" s="1171"/>
    </row>
    <row r="65" spans="20:39" ht="33.75" customHeight="1">
      <c r="T65" s="1171"/>
      <c r="U65" s="1171"/>
      <c r="V65" s="1171"/>
      <c r="W65" s="1171"/>
      <c r="X65" s="1171"/>
      <c r="Y65" s="1171"/>
      <c r="Z65" s="1171"/>
      <c r="AA65" s="1171"/>
      <c r="AB65" s="1171"/>
      <c r="AC65" s="1171"/>
      <c r="AD65" s="1171"/>
      <c r="AE65" s="1171"/>
      <c r="AF65" s="1171"/>
      <c r="AG65" s="1171"/>
      <c r="AH65" s="1171"/>
      <c r="AI65" s="1171"/>
      <c r="AJ65" s="1171"/>
      <c r="AK65" s="1171"/>
      <c r="AL65" s="1171"/>
      <c r="AM65" s="1171"/>
    </row>
  </sheetData>
  <mergeCells count="113">
    <mergeCell ref="T60:AM60"/>
    <mergeCell ref="T61:AM61"/>
    <mergeCell ref="T63:AM63"/>
    <mergeCell ref="T64:AM64"/>
    <mergeCell ref="T65:AM65"/>
    <mergeCell ref="AA49:AA50"/>
    <mergeCell ref="AB49:AB50"/>
    <mergeCell ref="AC49:AC50"/>
    <mergeCell ref="AH49:AH50"/>
    <mergeCell ref="AI49:AI50"/>
    <mergeCell ref="AJ49:AJ50"/>
    <mergeCell ref="AK49:AK50"/>
    <mergeCell ref="AM49:AM51"/>
    <mergeCell ref="T59:AM59"/>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S32:T32"/>
    <mergeCell ref="V32:AB32"/>
    <mergeCell ref="AD32:AJ32"/>
    <mergeCell ref="S34:T34"/>
    <mergeCell ref="V34:AB34"/>
    <mergeCell ref="AD34:AJ34"/>
    <mergeCell ref="S35:T35"/>
    <mergeCell ref="V35:AB35"/>
    <mergeCell ref="AD35:AJ35"/>
    <mergeCell ref="S26:AJ26"/>
    <mergeCell ref="S27:AJ27"/>
    <mergeCell ref="S29:T29"/>
    <mergeCell ref="V29:AB29"/>
    <mergeCell ref="AD29:AJ29"/>
    <mergeCell ref="S30:T30"/>
    <mergeCell ref="V30:AB30"/>
    <mergeCell ref="AD30:AJ30"/>
    <mergeCell ref="S31:T31"/>
    <mergeCell ref="V31:AB31"/>
    <mergeCell ref="AD31:AJ31"/>
    <mergeCell ref="AC8:AC9"/>
    <mergeCell ref="AH8:AH9"/>
    <mergeCell ref="AI8:AI9"/>
    <mergeCell ref="AJ8:AJ9"/>
    <mergeCell ref="AK8:AK9"/>
    <mergeCell ref="AM8:AM10"/>
    <mergeCell ref="AH17:AH18"/>
    <mergeCell ref="AI17:AI18"/>
    <mergeCell ref="AJ17:AJ18"/>
    <mergeCell ref="AK17:AK18"/>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s>
  <dataValidations count="3">
    <dataValidation allowBlank="1" showInputMessage="1" showErrorMessage="1" prompt="Для выбора выполните двойной щелчок левой клавиши мыши по соответствующей ячейке." sqref="AA8 AC8 AI8 AK8 AI17 AK17 AA49 AC49 AI49 AK49">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formula1>0</formula1>
      <formula2>0</formula2>
    </dataValidation>
    <dataValidation allowBlank="1" promptTitle="checkPeriodRange" sqref="Y9 AG9 AG18 Y50 AG50">
      <formula1>0</formula1>
      <formula2>0</formula2>
    </dataValidation>
  </dataValidations>
  <pageMargins left="0.7" right="0.7" top="0.625" bottom="0.62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R65"/>
  <sheetViews>
    <sheetView showGridLines="0" topLeftCell="Q25"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2" style="49" hidden="1" customWidth="1"/>
    <col min="10" max="10" width="9.85546875" style="49" hidden="1" customWidth="1"/>
    <col min="11" max="11" width="11.42578125" style="49" hidden="1" customWidth="1"/>
    <col min="12" max="12" width="19.140625" style="107" hidden="1" customWidth="1"/>
    <col min="13" max="14" width="12.28515625" style="57" hidden="1" customWidth="1"/>
    <col min="15" max="15" width="23.42578125" style="57" hidden="1" customWidth="1"/>
    <col min="16" max="16" width="3.7109375" style="56" hidden="1" customWidth="1"/>
    <col min="17" max="18" width="3.7109375" style="389" customWidth="1"/>
    <col min="19" max="19" width="12.7109375" style="254" customWidth="1"/>
    <col min="20" max="20" width="32" style="46" customWidth="1"/>
    <col min="21" max="21" width="0.140625" style="46" customWidth="1"/>
    <col min="22" max="22" width="24.7109375" style="46" hidden="1" customWidth="1"/>
    <col min="23" max="23" width="0.140625" style="46" hidden="1" customWidth="1"/>
    <col min="24" max="25" width="24.7109375" style="46" hidden="1" customWidth="1"/>
    <col min="26" max="26" width="11.7109375" style="46" hidden="1" customWidth="1"/>
    <col min="27" max="27" width="3.7109375" style="46" hidden="1" customWidth="1"/>
    <col min="28" max="28" width="11.7109375" style="46" hidden="1" customWidth="1"/>
    <col min="29" max="29" width="8.5703125" style="46" hidden="1" customWidth="1"/>
    <col min="30" max="30" width="24.7109375" style="46" customWidth="1"/>
    <col min="31" max="31" width="0.140625" style="46" customWidth="1"/>
    <col min="32" max="33" width="24.7109375" style="46" customWidth="1"/>
    <col min="34" max="34" width="11.7109375" style="46" customWidth="1"/>
    <col min="35" max="35" width="3.7109375" style="46" customWidth="1"/>
    <col min="36" max="36" width="11.7109375" style="46" customWidth="1"/>
    <col min="37" max="37" width="8.5703125" style="46" hidden="1" customWidth="1"/>
    <col min="38" max="38" width="4.7109375" style="46" customWidth="1"/>
    <col min="39" max="39" width="115.7109375" style="46" customWidth="1"/>
    <col min="40" max="41" width="10.5703125" style="53"/>
    <col min="42" max="42" width="11.140625" style="53" customWidth="1"/>
    <col min="43" max="44" width="10.5703125" style="53"/>
  </cols>
  <sheetData>
    <row r="1" spans="1:44" ht="14.25" hidden="1" customHeight="1"/>
    <row r="2" spans="1:44" ht="21"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c r="AD2" s="1154" t="e">
        <f>INDEX(PT_DIFFERENTIATION_NTAR,MATCH(A2,PT_DIFFERENTIATION_NTAR_ID,0))</f>
        <v>#N/A</v>
      </c>
      <c r="AE2" s="1154"/>
      <c r="AF2" s="1154"/>
      <c r="AG2" s="1154"/>
      <c r="AH2" s="1154"/>
      <c r="AI2" s="1154"/>
      <c r="AJ2" s="1154"/>
      <c r="AK2" s="1154"/>
      <c r="AL2" s="1154"/>
      <c r="AM2" s="397" t="s">
        <v>385</v>
      </c>
      <c r="AO2" s="121"/>
      <c r="AP2" s="121" t="str">
        <f t="shared" ref="AP2:AP15" si="0">IF(T2="","",T2)</f>
        <v>Наименование тарифа</v>
      </c>
      <c r="AQ2" s="121"/>
      <c r="AR2" s="121"/>
    </row>
    <row r="3" spans="1:44" ht="21"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c r="AD3" s="1154" t="e">
        <f>INDEX(PT_DIFFERENTIATION_TER,MATCH(B3,PT_DIFFERENTIATION_TER_ID,0))</f>
        <v>#N/A</v>
      </c>
      <c r="AE3" s="1154"/>
      <c r="AF3" s="1154"/>
      <c r="AG3" s="1154"/>
      <c r="AH3" s="1154"/>
      <c r="AI3" s="1154"/>
      <c r="AJ3" s="1154"/>
      <c r="AK3" s="1154"/>
      <c r="AL3" s="1154"/>
      <c r="AM3" s="397" t="s">
        <v>387</v>
      </c>
      <c r="AO3" s="121"/>
      <c r="AP3" s="121" t="str">
        <f t="shared" si="0"/>
        <v>Территория действия тарифа</v>
      </c>
      <c r="AQ3" s="121"/>
      <c r="AR3" s="121"/>
    </row>
    <row r="4" spans="1:44"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388</v>
      </c>
      <c r="U4" s="396"/>
      <c r="V4" s="1154"/>
      <c r="W4" s="1154"/>
      <c r="X4" s="1154"/>
      <c r="Y4" s="1154"/>
      <c r="Z4" s="1154"/>
      <c r="AA4" s="1154"/>
      <c r="AB4" s="1154"/>
      <c r="AC4" s="1154"/>
      <c r="AD4" s="1154" t="e">
        <f>INDEX(PT_DIFFERENTIATION_CS,MATCH(C4,PT_DIFFERENTIATION_CS_ID,0))</f>
        <v>#N/A</v>
      </c>
      <c r="AE4" s="1154"/>
      <c r="AF4" s="1154"/>
      <c r="AG4" s="1154"/>
      <c r="AH4" s="1154"/>
      <c r="AI4" s="1154"/>
      <c r="AJ4" s="1154"/>
      <c r="AK4" s="1154"/>
      <c r="AL4" s="1154"/>
      <c r="AM4" s="397" t="s">
        <v>389</v>
      </c>
      <c r="AO4" s="121"/>
      <c r="AP4" s="121" t="str">
        <f t="shared" si="0"/>
        <v xml:space="preserve">Наименование системы теплоснабжения </v>
      </c>
      <c r="AQ4" s="121"/>
      <c r="AR4" s="121"/>
    </row>
    <row r="5" spans="1:44" ht="21" hidden="1" customHeight="1">
      <c r="A5" s="390"/>
      <c r="B5" s="390"/>
      <c r="C5" s="390"/>
      <c r="D5" s="390"/>
      <c r="E5" s="1153"/>
      <c r="F5" s="1153"/>
      <c r="G5" s="1153"/>
      <c r="H5" s="1153">
        <v>1</v>
      </c>
      <c r="I5" s="390"/>
      <c r="J5" s="390"/>
      <c r="K5" s="390"/>
      <c r="L5" s="391"/>
      <c r="M5" s="392"/>
      <c r="N5" s="392"/>
      <c r="O5" s="392"/>
      <c r="P5" s="401"/>
      <c r="Q5" s="398"/>
      <c r="R5" s="399"/>
      <c r="S5" s="394" t="e">
        <f>INDEX(PT_DIFFERENTIATION_NUM_IST_TE,MATCH(D5,PT_DIFFERENTIATION_IST_TE_ID,0))</f>
        <v>#N/A</v>
      </c>
      <c r="T5" s="403" t="s">
        <v>390</v>
      </c>
      <c r="U5" s="396"/>
      <c r="V5" s="1154"/>
      <c r="W5" s="1154"/>
      <c r="X5" s="1154"/>
      <c r="Y5" s="1154"/>
      <c r="Z5" s="1154"/>
      <c r="AA5" s="1154"/>
      <c r="AB5" s="1154"/>
      <c r="AC5" s="1154"/>
      <c r="AD5" s="1154" t="e">
        <f>INDEX(PT_DIFFERENTIATION_IST_TE,MATCH(D5,PT_DIFFERENTIATION_IST_TE_ID,0))</f>
        <v>#N/A</v>
      </c>
      <c r="AE5" s="1154"/>
      <c r="AF5" s="1154"/>
      <c r="AG5" s="1154"/>
      <c r="AH5" s="1154"/>
      <c r="AI5" s="1154"/>
      <c r="AJ5" s="1154"/>
      <c r="AK5" s="1154"/>
      <c r="AL5" s="1154"/>
      <c r="AM5" s="397" t="s">
        <v>391</v>
      </c>
      <c r="AO5" s="121"/>
      <c r="AP5" s="121" t="str">
        <f t="shared" si="0"/>
        <v xml:space="preserve">Источник тепловой энергии  </v>
      </c>
      <c r="AQ5" s="121"/>
      <c r="AR5" s="121"/>
    </row>
    <row r="6" spans="1:44" ht="14.25" hidden="1" customHeight="1">
      <c r="A6" s="390"/>
      <c r="B6" s="390"/>
      <c r="C6" s="390"/>
      <c r="D6" s="390"/>
      <c r="E6" s="1153"/>
      <c r="F6" s="1153"/>
      <c r="G6" s="1153"/>
      <c r="H6" s="1153"/>
      <c r="I6" s="1155" t="e">
        <f>S5&amp;".1"</f>
        <v>#N/A</v>
      </c>
      <c r="J6" s="390"/>
      <c r="K6" s="390"/>
      <c r="L6" s="391" t="s">
        <v>392</v>
      </c>
      <c r="M6" s="49"/>
      <c r="P6" s="1156">
        <v>1</v>
      </c>
      <c r="Q6" s="124"/>
      <c r="R6" s="405"/>
      <c r="S6" s="280"/>
      <c r="T6" s="459"/>
      <c r="U6" s="460"/>
      <c r="V6" s="1175"/>
      <c r="W6" s="1175"/>
      <c r="X6" s="1175"/>
      <c r="Y6" s="1175"/>
      <c r="Z6" s="1175"/>
      <c r="AA6" s="1175"/>
      <c r="AB6" s="1175"/>
      <c r="AC6" s="1175"/>
      <c r="AD6" s="1175"/>
      <c r="AE6" s="1175"/>
      <c r="AF6" s="1175"/>
      <c r="AG6" s="1175"/>
      <c r="AH6" s="1175"/>
      <c r="AI6" s="1175"/>
      <c r="AJ6" s="1175"/>
      <c r="AK6" s="1175"/>
      <c r="AL6" s="1175"/>
      <c r="AM6" s="461"/>
      <c r="AO6" s="121"/>
      <c r="AP6" s="121" t="str">
        <f t="shared" si="0"/>
        <v/>
      </c>
      <c r="AQ6" s="121"/>
      <c r="AR6" s="121"/>
    </row>
    <row r="7" spans="1:44" ht="21" hidden="1" customHeight="1">
      <c r="A7" s="390"/>
      <c r="B7" s="390"/>
      <c r="C7" s="390"/>
      <c r="D7" s="390"/>
      <c r="E7" s="1153"/>
      <c r="F7" s="1153"/>
      <c r="G7" s="1153"/>
      <c r="H7" s="1153"/>
      <c r="I7" s="1155"/>
      <c r="J7" s="1155" t="e">
        <f>I6&amp;".1"</f>
        <v>#N/A</v>
      </c>
      <c r="K7" s="390"/>
      <c r="L7" s="391" t="s">
        <v>395</v>
      </c>
      <c r="M7" s="49"/>
      <c r="N7" s="49"/>
      <c r="P7" s="1156"/>
      <c r="Q7" s="1156">
        <v>1</v>
      </c>
      <c r="R7" s="408"/>
      <c r="S7" s="394" t="e">
        <f>$J7</f>
        <v>#N/A</v>
      </c>
      <c r="T7" s="409" t="s">
        <v>396</v>
      </c>
      <c r="U7" s="396"/>
      <c r="V7" s="1157"/>
      <c r="W7" s="1157"/>
      <c r="X7" s="1157"/>
      <c r="Y7" s="1157"/>
      <c r="Z7" s="1157"/>
      <c r="AA7" s="1157"/>
      <c r="AB7" s="1157"/>
      <c r="AC7" s="1157"/>
      <c r="AD7" s="1157"/>
      <c r="AE7" s="1157"/>
      <c r="AF7" s="1157"/>
      <c r="AG7" s="1157"/>
      <c r="AH7" s="1157"/>
      <c r="AI7" s="1157"/>
      <c r="AJ7" s="1157"/>
      <c r="AK7" s="1157"/>
      <c r="AL7" s="1157"/>
      <c r="AM7" s="397" t="s">
        <v>397</v>
      </c>
      <c r="AO7" s="121"/>
      <c r="AP7" s="121" t="str">
        <f t="shared" si="0"/>
        <v>Группа потребителей</v>
      </c>
      <c r="AQ7" s="121"/>
      <c r="AR7" s="121"/>
    </row>
    <row r="8" spans="1:44" ht="21" hidden="1" customHeight="1">
      <c r="A8" s="390"/>
      <c r="B8" s="390"/>
      <c r="C8" s="390"/>
      <c r="D8" s="390"/>
      <c r="E8" s="1153"/>
      <c r="F8" s="1153"/>
      <c r="G8" s="1153"/>
      <c r="H8" s="1153"/>
      <c r="I8" s="1155"/>
      <c r="J8" s="1155"/>
      <c r="K8" s="1155" t="e">
        <f>J7&amp;".1"</f>
        <v>#N/A</v>
      </c>
      <c r="L8" s="391" t="s">
        <v>398</v>
      </c>
      <c r="M8" s="49"/>
      <c r="N8" s="49"/>
      <c r="O8" s="49"/>
      <c r="P8" s="1156"/>
      <c r="Q8" s="1156"/>
      <c r="R8" s="408">
        <v>1</v>
      </c>
      <c r="S8" s="394" t="e">
        <f>$K8</f>
        <v>#N/A</v>
      </c>
      <c r="T8" s="410"/>
      <c r="U8" s="396"/>
      <c r="V8" s="411"/>
      <c r="W8" s="412"/>
      <c r="X8" s="411"/>
      <c r="Y8" s="413"/>
      <c r="Z8" s="1158"/>
      <c r="AA8" s="1105" t="s">
        <v>63</v>
      </c>
      <c r="AB8" s="1158"/>
      <c r="AC8" s="1105" t="s">
        <v>63</v>
      </c>
      <c r="AD8" s="411"/>
      <c r="AE8" s="412"/>
      <c r="AF8" s="411"/>
      <c r="AG8" s="413"/>
      <c r="AH8" s="1158"/>
      <c r="AI8" s="1105" t="s">
        <v>63</v>
      </c>
      <c r="AJ8" s="1158"/>
      <c r="AK8" s="1105" t="s">
        <v>63</v>
      </c>
      <c r="AL8" s="412"/>
      <c r="AM8" s="1159" t="s">
        <v>399</v>
      </c>
      <c r="AN8" s="53" t="e">
        <f ca="1">strcheckdate(V9:AL9)</f>
        <v>#NAME?</v>
      </c>
      <c r="AO8" s="121"/>
      <c r="AP8" s="121" t="str">
        <f t="shared" si="0"/>
        <v/>
      </c>
      <c r="AQ8" s="121"/>
      <c r="AR8" s="121"/>
    </row>
    <row r="9" spans="1:44" ht="14.25" hidden="1" customHeight="1">
      <c r="A9" s="390"/>
      <c r="B9" s="390"/>
      <c r="C9" s="390"/>
      <c r="D9" s="390"/>
      <c r="E9" s="1153"/>
      <c r="F9" s="1153"/>
      <c r="G9" s="1153"/>
      <c r="H9" s="1153"/>
      <c r="I9" s="1155"/>
      <c r="J9" s="1155"/>
      <c r="K9" s="1155"/>
      <c r="L9" s="391"/>
      <c r="M9" s="49"/>
      <c r="N9" s="49"/>
      <c r="O9" s="49"/>
      <c r="P9" s="1156"/>
      <c r="Q9" s="1156"/>
      <c r="R9" s="408"/>
      <c r="S9" s="370"/>
      <c r="T9" s="396"/>
      <c r="U9" s="396"/>
      <c r="V9" s="412"/>
      <c r="W9" s="412"/>
      <c r="X9" s="412"/>
      <c r="Y9" s="415" t="str">
        <f>Z8&amp;"-"&amp;AB8</f>
        <v>-</v>
      </c>
      <c r="Z9" s="1158"/>
      <c r="AA9" s="1105"/>
      <c r="AB9" s="1158"/>
      <c r="AC9" s="1105"/>
      <c r="AD9" s="412"/>
      <c r="AE9" s="412"/>
      <c r="AF9" s="412"/>
      <c r="AG9" s="415" t="str">
        <f>AH8&amp;"-"&amp;AJ8</f>
        <v>-</v>
      </c>
      <c r="AH9" s="1158"/>
      <c r="AI9" s="1105"/>
      <c r="AJ9" s="1158"/>
      <c r="AK9" s="1105"/>
      <c r="AL9" s="412"/>
      <c r="AM9" s="1159"/>
      <c r="AO9" s="121"/>
      <c r="AP9" s="121" t="str">
        <f t="shared" si="0"/>
        <v/>
      </c>
      <c r="AQ9" s="121"/>
      <c r="AR9" s="121"/>
    </row>
    <row r="10" spans="1:44" ht="15" hidden="1" customHeight="1">
      <c r="A10" s="390"/>
      <c r="B10" s="390"/>
      <c r="C10" s="390"/>
      <c r="D10" s="390"/>
      <c r="E10" s="1153"/>
      <c r="F10" s="1153"/>
      <c r="G10" s="1153"/>
      <c r="H10" s="1153"/>
      <c r="I10" s="1155"/>
      <c r="J10" s="1155"/>
      <c r="K10" s="390"/>
      <c r="L10" s="391"/>
      <c r="M10" s="49"/>
      <c r="N10" s="49"/>
      <c r="P10" s="1156"/>
      <c r="Q10" s="1156"/>
      <c r="R10" s="405"/>
      <c r="S10" s="416"/>
      <c r="T10" s="419" t="s">
        <v>400</v>
      </c>
      <c r="U10" s="186"/>
      <c r="V10" s="186"/>
      <c r="W10" s="186"/>
      <c r="X10" s="186"/>
      <c r="Y10" s="186"/>
      <c r="Z10" s="186"/>
      <c r="AA10" s="186"/>
      <c r="AB10" s="186"/>
      <c r="AC10" s="186"/>
      <c r="AD10" s="186"/>
      <c r="AE10" s="186"/>
      <c r="AF10" s="186"/>
      <c r="AG10" s="186"/>
      <c r="AH10" s="186"/>
      <c r="AI10" s="186"/>
      <c r="AJ10" s="186"/>
      <c r="AK10" s="186"/>
      <c r="AL10" s="418"/>
      <c r="AM10" s="1159"/>
      <c r="AO10" s="121"/>
      <c r="AP10" s="121" t="str">
        <f t="shared" si="0"/>
        <v>Добавить вид теплоносителя (параметры теплоносителя)</v>
      </c>
      <c r="AQ10" s="121"/>
      <c r="AR10" s="121"/>
    </row>
    <row r="11" spans="1:44" ht="11.25" hidden="1" customHeight="1">
      <c r="A11" s="390"/>
      <c r="B11" s="390"/>
      <c r="C11" s="390"/>
      <c r="D11" s="390"/>
      <c r="E11" s="1153"/>
      <c r="F11" s="1153"/>
      <c r="G11" s="1153"/>
      <c r="H11" s="1153"/>
      <c r="I11" s="1155"/>
      <c r="J11" s="390"/>
      <c r="K11" s="390"/>
      <c r="L11" s="391"/>
      <c r="M11" s="49"/>
      <c r="P11" s="1156"/>
      <c r="Q11" s="124"/>
      <c r="R11" s="405"/>
      <c r="S11" s="416"/>
      <c r="T11" s="423" t="s">
        <v>401</v>
      </c>
      <c r="U11" s="186"/>
      <c r="V11" s="186"/>
      <c r="W11" s="186"/>
      <c r="X11" s="186"/>
      <c r="Y11" s="186"/>
      <c r="Z11" s="186"/>
      <c r="AA11" s="186"/>
      <c r="AB11" s="186"/>
      <c r="AC11" s="420"/>
      <c r="AD11" s="186"/>
      <c r="AE11" s="186"/>
      <c r="AF11" s="186"/>
      <c r="AG11" s="186"/>
      <c r="AH11" s="186"/>
      <c r="AI11" s="186"/>
      <c r="AJ11" s="186"/>
      <c r="AK11" s="420"/>
      <c r="AL11" s="186"/>
      <c r="AM11" s="421"/>
      <c r="AO11" s="121"/>
      <c r="AP11" s="121" t="str">
        <f t="shared" si="0"/>
        <v>Добавить группу потребителей</v>
      </c>
      <c r="AQ11" s="121"/>
      <c r="AR11" s="121"/>
    </row>
    <row r="12" spans="1:44" ht="14.25" hidden="1" customHeight="1">
      <c r="A12" s="390"/>
      <c r="B12" s="390"/>
      <c r="C12" s="390"/>
      <c r="D12" s="390"/>
      <c r="E12" s="1153"/>
      <c r="F12" s="1153"/>
      <c r="G12" s="1153"/>
      <c r="H12" s="1153"/>
      <c r="I12" s="390"/>
      <c r="J12" s="390"/>
      <c r="K12" s="390"/>
      <c r="L12" s="391"/>
      <c r="M12" s="392"/>
      <c r="N12" s="392"/>
      <c r="O12" s="49"/>
      <c r="P12" s="134"/>
      <c r="Q12" s="422"/>
      <c r="R12" s="393"/>
      <c r="S12" s="462"/>
      <c r="T12" s="463"/>
      <c r="U12" s="464"/>
      <c r="V12" s="464"/>
      <c r="W12" s="464"/>
      <c r="X12" s="464"/>
      <c r="Y12" s="464"/>
      <c r="Z12" s="464"/>
      <c r="AA12" s="464"/>
      <c r="AB12" s="464"/>
      <c r="AC12" s="464"/>
      <c r="AD12" s="464"/>
      <c r="AE12" s="464"/>
      <c r="AF12" s="464"/>
      <c r="AG12" s="464"/>
      <c r="AH12" s="464"/>
      <c r="AI12" s="464"/>
      <c r="AJ12" s="464"/>
      <c r="AK12" s="464"/>
      <c r="AL12" s="464"/>
      <c r="AM12" s="465"/>
      <c r="AO12" s="121"/>
      <c r="AP12" s="121" t="str">
        <f t="shared" si="0"/>
        <v/>
      </c>
      <c r="AQ12" s="121"/>
      <c r="AR12" s="121"/>
    </row>
    <row r="13" spans="1:44" s="53" customFormat="1" ht="14.25" hidden="1" customHeight="1">
      <c r="A13" s="125"/>
      <c r="B13" s="125"/>
      <c r="C13" s="125"/>
      <c r="D13" s="125"/>
      <c r="E13" s="1153"/>
      <c r="F13" s="1153"/>
      <c r="G13" s="1153"/>
      <c r="H13" s="125"/>
      <c r="I13" s="125"/>
      <c r="J13" s="125"/>
      <c r="K13" s="125"/>
      <c r="L13" s="184"/>
      <c r="M13" s="375"/>
      <c r="N13" s="375"/>
      <c r="P13" s="158"/>
      <c r="Q13" s="424"/>
      <c r="R13" s="158"/>
      <c r="S13" s="425"/>
      <c r="T13" s="426" t="s">
        <v>403</v>
      </c>
      <c r="U13" s="427"/>
      <c r="V13" s="427"/>
      <c r="W13" s="427"/>
      <c r="X13" s="427"/>
      <c r="Y13" s="427"/>
      <c r="Z13" s="427"/>
      <c r="AA13" s="427"/>
      <c r="AB13" s="427"/>
      <c r="AC13" s="427"/>
      <c r="AD13" s="427"/>
      <c r="AE13" s="427"/>
      <c r="AF13" s="427"/>
      <c r="AG13" s="427"/>
      <c r="AH13" s="427"/>
      <c r="AI13" s="427"/>
      <c r="AJ13" s="427"/>
      <c r="AK13" s="427"/>
      <c r="AL13" s="427"/>
      <c r="AM13" s="427"/>
      <c r="AO13" s="121"/>
      <c r="AP13" s="121" t="str">
        <f t="shared" si="0"/>
        <v>Добавить источник для дифференциации</v>
      </c>
      <c r="AQ13" s="121"/>
      <c r="AR13" s="121"/>
    </row>
    <row r="14" spans="1:44" s="53" customFormat="1" ht="14.25" hidden="1" customHeight="1">
      <c r="A14" s="125"/>
      <c r="B14" s="125"/>
      <c r="C14" s="125"/>
      <c r="D14" s="125"/>
      <c r="E14" s="1153"/>
      <c r="F14" s="1153"/>
      <c r="G14" s="125"/>
      <c r="H14" s="125"/>
      <c r="I14" s="125"/>
      <c r="J14" s="125"/>
      <c r="K14" s="125"/>
      <c r="L14" s="184"/>
      <c r="M14" s="428"/>
      <c r="N14" s="428"/>
      <c r="P14" s="158"/>
      <c r="Q14" s="424"/>
      <c r="R14" s="158"/>
      <c r="S14" s="429"/>
      <c r="T14" s="430" t="s">
        <v>253</v>
      </c>
      <c r="U14" s="431"/>
      <c r="V14" s="431"/>
      <c r="W14" s="431"/>
      <c r="X14" s="431"/>
      <c r="Y14" s="431"/>
      <c r="Z14" s="431"/>
      <c r="AA14" s="431"/>
      <c r="AB14" s="431"/>
      <c r="AC14" s="431"/>
      <c r="AD14" s="431"/>
      <c r="AE14" s="431"/>
      <c r="AF14" s="431"/>
      <c r="AG14" s="431"/>
      <c r="AH14" s="431"/>
      <c r="AI14" s="431"/>
      <c r="AJ14" s="431"/>
      <c r="AK14" s="431"/>
      <c r="AL14" s="431"/>
      <c r="AM14" s="431"/>
      <c r="AO14" s="121"/>
      <c r="AP14" s="121" t="str">
        <f t="shared" si="0"/>
        <v>Добавить централизованную систему для дифференциации</v>
      </c>
      <c r="AQ14" s="121"/>
      <c r="AR14" s="121"/>
    </row>
    <row r="15" spans="1:44" s="53" customFormat="1" ht="14.25" hidden="1" customHeight="1">
      <c r="A15" s="125"/>
      <c r="B15" s="125"/>
      <c r="C15" s="125"/>
      <c r="D15" s="125"/>
      <c r="E15" s="1153"/>
      <c r="F15" s="125"/>
      <c r="G15" s="125"/>
      <c r="H15" s="125"/>
      <c r="I15" s="125"/>
      <c r="J15" s="125"/>
      <c r="K15" s="125"/>
      <c r="L15" s="184"/>
      <c r="M15" s="428"/>
      <c r="N15" s="428"/>
      <c r="P15" s="158"/>
      <c r="Q15" s="424"/>
      <c r="R15" s="158"/>
      <c r="S15" s="429"/>
      <c r="T15" s="432" t="s">
        <v>254</v>
      </c>
      <c r="U15" s="431"/>
      <c r="V15" s="431"/>
      <c r="W15" s="431"/>
      <c r="X15" s="431"/>
      <c r="Y15" s="431"/>
      <c r="Z15" s="431"/>
      <c r="AA15" s="431"/>
      <c r="AB15" s="431"/>
      <c r="AC15" s="431"/>
      <c r="AD15" s="431"/>
      <c r="AE15" s="431"/>
      <c r="AF15" s="431"/>
      <c r="AG15" s="431"/>
      <c r="AH15" s="431"/>
      <c r="AI15" s="431"/>
      <c r="AJ15" s="431"/>
      <c r="AK15" s="431"/>
      <c r="AL15" s="431"/>
      <c r="AM15" s="431"/>
      <c r="AO15" s="121"/>
      <c r="AP15" s="121" t="str">
        <f t="shared" si="0"/>
        <v>Добавить территорию для дифференциации</v>
      </c>
      <c r="AQ15" s="121"/>
      <c r="AR15" s="121"/>
    </row>
    <row r="16" spans="1:44" ht="14.25" hidden="1" customHeight="1"/>
    <row r="17" spans="1:44" ht="14.25" hidden="1" customHeight="1">
      <c r="AD17" s="433"/>
      <c r="AE17" s="433"/>
      <c r="AF17" s="433"/>
      <c r="AG17" s="434"/>
      <c r="AH17" s="1160"/>
      <c r="AI17" s="1161" t="s">
        <v>63</v>
      </c>
      <c r="AJ17" s="1160"/>
      <c r="AK17" s="1161" t="s">
        <v>63</v>
      </c>
    </row>
    <row r="18" spans="1:44" ht="14.25" hidden="1" customHeight="1">
      <c r="AD18" s="433"/>
      <c r="AE18" s="433"/>
      <c r="AF18" s="433"/>
      <c r="AG18" s="415" t="str">
        <f>AH17&amp;"-"&amp;AJ17</f>
        <v>-</v>
      </c>
      <c r="AH18" s="1160"/>
      <c r="AI18" s="1160"/>
      <c r="AJ18" s="1160"/>
      <c r="AK18" s="1160"/>
    </row>
    <row r="19" spans="1:44" ht="14.25" hidden="1" customHeight="1"/>
    <row r="20" spans="1:44" s="49" customFormat="1" ht="22.5" hidden="1" customHeight="1">
      <c r="L20" s="107"/>
      <c r="M20" s="57"/>
      <c r="N20" s="57"/>
      <c r="O20" s="435" t="s">
        <v>404</v>
      </c>
      <c r="P20" s="57"/>
      <c r="Q20" s="436"/>
      <c r="R20" s="436"/>
      <c r="S20" s="392"/>
      <c r="Z20" s="435"/>
      <c r="AB20" s="435"/>
      <c r="AH20" s="435"/>
      <c r="AJ20" s="435"/>
      <c r="AN20" s="53"/>
      <c r="AO20" s="53"/>
      <c r="AP20" s="53"/>
      <c r="AQ20" s="53"/>
      <c r="AR20" s="53"/>
    </row>
    <row r="21" spans="1:44" s="49" customFormat="1" ht="14.25" hidden="1" customHeight="1">
      <c r="L21" s="107"/>
      <c r="M21" s="57"/>
      <c r="N21" s="57"/>
      <c r="O21" s="57"/>
      <c r="P21" s="57"/>
      <c r="Q21" s="436"/>
      <c r="R21" s="436"/>
      <c r="S21" s="392"/>
      <c r="AN21" s="53"/>
      <c r="AO21" s="53"/>
      <c r="AP21" s="53"/>
      <c r="AQ21" s="53"/>
      <c r="AR21" s="53"/>
    </row>
    <row r="22" spans="1:44" s="49" customFormat="1" ht="14.25" hidden="1" customHeight="1">
      <c r="L22" s="107"/>
      <c r="M22" s="57"/>
      <c r="N22" s="57"/>
      <c r="O22" s="391" t="s">
        <v>405</v>
      </c>
      <c r="P22" s="57"/>
      <c r="Q22" s="436"/>
      <c r="R22" s="436"/>
      <c r="S22" s="392"/>
      <c r="T22" s="49" t="s">
        <v>406</v>
      </c>
      <c r="AA22" s="142" t="s">
        <v>407</v>
      </c>
      <c r="AC22" s="142" t="s">
        <v>408</v>
      </c>
      <c r="AD22" s="49" t="s">
        <v>406</v>
      </c>
      <c r="AI22" s="142" t="s">
        <v>409</v>
      </c>
      <c r="AK22" s="142" t="s">
        <v>408</v>
      </c>
      <c r="AN22" s="53"/>
      <c r="AO22" s="53"/>
      <c r="AP22" s="53"/>
      <c r="AQ22" s="53"/>
      <c r="AR22" s="53"/>
    </row>
    <row r="23" spans="1:44" ht="14.25" hidden="1" customHeight="1">
      <c r="O23" s="391"/>
    </row>
    <row r="24" spans="1:44" ht="14.25" hidden="1" customHeight="1">
      <c r="O24" s="391"/>
    </row>
    <row r="25" spans="1:44" ht="14.25" customHeight="1">
      <c r="Q25" s="437"/>
      <c r="R25" s="437"/>
      <c r="S25" s="438"/>
      <c r="T25" s="83"/>
      <c r="U25" s="83"/>
    </row>
    <row r="26" spans="1:44" ht="51" customHeight="1">
      <c r="Q26" s="437"/>
      <c r="R26" s="437"/>
      <c r="S26" s="110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06"/>
      <c r="U26" s="1106"/>
      <c r="V26" s="1106"/>
      <c r="W26" s="1106"/>
      <c r="X26" s="1106"/>
      <c r="Y26" s="1106"/>
      <c r="Z26" s="1106"/>
      <c r="AA26" s="1106"/>
      <c r="AB26" s="1106"/>
      <c r="AC26" s="1106"/>
      <c r="AD26" s="1106"/>
      <c r="AE26" s="1106"/>
      <c r="AF26" s="1106"/>
      <c r="AG26" s="1106"/>
      <c r="AH26" s="1106"/>
      <c r="AI26" s="1106"/>
      <c r="AJ26" s="1106"/>
      <c r="AK26" s="201"/>
    </row>
    <row r="27" spans="1:44" ht="14.25" customHeight="1">
      <c r="Q27" s="437"/>
      <c r="R27" s="437"/>
      <c r="S27" s="1127" t="str">
        <f>IF(org=0,"Не определено",org)</f>
        <v>Филиал ПАО "ОГК-2" - Серовская ГРЭС, г. Серов</v>
      </c>
      <c r="T27" s="1127"/>
      <c r="U27" s="1127"/>
      <c r="V27" s="1127"/>
      <c r="W27" s="1127"/>
      <c r="X27" s="1127"/>
      <c r="Y27" s="1127"/>
      <c r="Z27" s="1127"/>
      <c r="AA27" s="1127"/>
      <c r="AB27" s="1127"/>
      <c r="AC27" s="1127"/>
      <c r="AD27" s="1127"/>
      <c r="AE27" s="1127"/>
      <c r="AF27" s="1127"/>
      <c r="AG27" s="1127"/>
      <c r="AH27" s="1127"/>
      <c r="AI27" s="1127"/>
      <c r="AJ27" s="1127"/>
      <c r="AK27" s="201"/>
    </row>
    <row r="28" spans="1:44" ht="14.25" customHeight="1">
      <c r="Q28" s="437"/>
      <c r="R28" s="437"/>
      <c r="S28" s="438"/>
      <c r="T28" s="83"/>
      <c r="U28" s="83"/>
      <c r="V28" s="439"/>
      <c r="W28" s="439"/>
      <c r="X28" s="439"/>
      <c r="Y28" s="439"/>
      <c r="Z28" s="439"/>
      <c r="AA28" s="439"/>
      <c r="AB28" s="439"/>
      <c r="AC28" s="439"/>
      <c r="AD28" s="439"/>
      <c r="AE28" s="439"/>
      <c r="AF28" s="439"/>
      <c r="AG28" s="439"/>
      <c r="AH28" s="439"/>
      <c r="AI28" s="439"/>
      <c r="AJ28" s="439"/>
      <c r="AK28" s="439"/>
    </row>
    <row r="29" spans="1:44" s="174" customFormat="1" ht="25.5" customHeight="1">
      <c r="A29" s="142"/>
      <c r="B29" s="142"/>
      <c r="C29" s="142"/>
      <c r="D29" s="142"/>
      <c r="E29" s="142"/>
      <c r="F29" s="142"/>
      <c r="G29" s="142"/>
      <c r="H29" s="142"/>
      <c r="I29" s="142"/>
      <c r="J29" s="142"/>
      <c r="K29" s="142"/>
      <c r="L29" s="391"/>
      <c r="M29" s="142"/>
      <c r="N29" s="142"/>
      <c r="O29" s="142"/>
      <c r="S29" s="1162" t="s">
        <v>37</v>
      </c>
      <c r="T29" s="1162"/>
      <c r="U29" s="441"/>
      <c r="V29" s="1163" t="str">
        <f>IF(TITLE_NAME_OR_PR_CHANGE="",IF(TITLE_NAME_OR_PR="","",TITLE_NAME_OR_PR),TITLE_NAME_OR_PR_CHANGE)</f>
        <v>Региональная энергетическая комиссия Свердловской области</v>
      </c>
      <c r="W29" s="1163"/>
      <c r="X29" s="1163"/>
      <c r="Y29" s="1163"/>
      <c r="Z29" s="1163"/>
      <c r="AA29" s="1163"/>
      <c r="AB29" s="1163"/>
      <c r="AC29" s="46"/>
      <c r="AD29" s="1163" t="str">
        <f>IF(TITLE_NAME_OR_PR_CHANGE="",IF(TITLE_NAME_OR_PR="","",TITLE_NAME_OR_PR),TITLE_NAME_OR_PR_CHANGE)</f>
        <v>Региональная энергетическая комиссия Свердловской области</v>
      </c>
      <c r="AE29" s="1163"/>
      <c r="AF29" s="1163"/>
      <c r="AG29" s="1163"/>
      <c r="AH29" s="1163"/>
      <c r="AI29" s="1163"/>
      <c r="AJ29" s="1163"/>
      <c r="AK29" s="46"/>
      <c r="AL29" s="46"/>
      <c r="AM29" s="442"/>
      <c r="AN29" s="121"/>
      <c r="AO29" s="121"/>
      <c r="AP29" s="121"/>
      <c r="AQ29" s="121"/>
      <c r="AR29" s="121"/>
    </row>
    <row r="30" spans="1:44" s="174" customFormat="1" ht="18.75" customHeight="1">
      <c r="A30" s="142"/>
      <c r="B30" s="142"/>
      <c r="C30" s="142"/>
      <c r="D30" s="142"/>
      <c r="E30" s="142"/>
      <c r="F30" s="142"/>
      <c r="G30" s="142"/>
      <c r="H30" s="142"/>
      <c r="I30" s="142"/>
      <c r="J30" s="142"/>
      <c r="K30" s="142"/>
      <c r="L30" s="391"/>
      <c r="M30" s="142"/>
      <c r="N30" s="142"/>
      <c r="O30" s="142"/>
      <c r="S30" s="1162" t="s">
        <v>410</v>
      </c>
      <c r="T30" s="1162"/>
      <c r="U30" s="441"/>
      <c r="V30" s="1164">
        <f>IF(TITLE_DATE_PR_CHANGE="",IF(TITLE_DATE_PR="","",TITLE_DATE_PR),TITLE_DATE_PR_CHANGE)</f>
        <v>45266.462974536997</v>
      </c>
      <c r="W30" s="1164"/>
      <c r="X30" s="1164"/>
      <c r="Y30" s="1164"/>
      <c r="Z30" s="1164"/>
      <c r="AA30" s="1164"/>
      <c r="AB30" s="1164"/>
      <c r="AC30" s="46"/>
      <c r="AD30" s="1164">
        <f>IF(TITLE_DATE_PR_CHANGE="",IF(TITLE_DATE_PR="","",TITLE_DATE_PR),TITLE_DATE_PR_CHANGE)</f>
        <v>45266.462974536997</v>
      </c>
      <c r="AE30" s="1164"/>
      <c r="AF30" s="1164"/>
      <c r="AG30" s="1164"/>
      <c r="AH30" s="1164"/>
      <c r="AI30" s="1164"/>
      <c r="AJ30" s="1164"/>
      <c r="AK30" s="46"/>
      <c r="AL30" s="46"/>
      <c r="AM30" s="442"/>
      <c r="AN30" s="121"/>
      <c r="AO30" s="121"/>
      <c r="AP30" s="121"/>
      <c r="AQ30" s="121"/>
      <c r="AR30" s="121"/>
    </row>
    <row r="31" spans="1:44" s="174" customFormat="1" ht="18.75" customHeight="1">
      <c r="A31" s="142"/>
      <c r="B31" s="142"/>
      <c r="C31" s="142"/>
      <c r="D31" s="142"/>
      <c r="E31" s="142"/>
      <c r="F31" s="142"/>
      <c r="G31" s="142"/>
      <c r="H31" s="142"/>
      <c r="I31" s="142"/>
      <c r="J31" s="142"/>
      <c r="K31" s="142"/>
      <c r="L31" s="391"/>
      <c r="M31" s="142"/>
      <c r="N31" s="142"/>
      <c r="O31" s="142"/>
      <c r="S31" s="1162" t="s">
        <v>411</v>
      </c>
      <c r="T31" s="1162"/>
      <c r="U31" s="441"/>
      <c r="V31" s="1163" t="str">
        <f>IF(TITLE_NUMBER_PR_CHANGE="",IF(TITLE_NUMBER_PR="","",TITLE_NUMBER_PR),TITLE_NUMBER_PR_CHANGE)</f>
        <v>216-ПК</v>
      </c>
      <c r="W31" s="1163"/>
      <c r="X31" s="1163"/>
      <c r="Y31" s="1163"/>
      <c r="Z31" s="1163"/>
      <c r="AA31" s="1163"/>
      <c r="AB31" s="1163"/>
      <c r="AC31" s="46"/>
      <c r="AD31" s="1163" t="str">
        <f>IF(TITLE_NUMBER_PR_CHANGE="",IF(TITLE_NUMBER_PR="","",TITLE_NUMBER_PR),TITLE_NUMBER_PR_CHANGE)</f>
        <v>216-ПК</v>
      </c>
      <c r="AE31" s="1163"/>
      <c r="AF31" s="1163"/>
      <c r="AG31" s="1163"/>
      <c r="AH31" s="1163"/>
      <c r="AI31" s="1163"/>
      <c r="AJ31" s="1163"/>
      <c r="AK31" s="46"/>
      <c r="AL31" s="46"/>
      <c r="AM31" s="442"/>
      <c r="AN31" s="121"/>
      <c r="AO31" s="121"/>
      <c r="AP31" s="121"/>
      <c r="AQ31" s="121"/>
      <c r="AR31" s="121"/>
    </row>
    <row r="32" spans="1:44" s="174" customFormat="1" ht="18.75" customHeight="1">
      <c r="A32" s="142"/>
      <c r="B32" s="142"/>
      <c r="C32" s="142"/>
      <c r="D32" s="142"/>
      <c r="E32" s="142"/>
      <c r="F32" s="142"/>
      <c r="G32" s="142"/>
      <c r="H32" s="142"/>
      <c r="I32" s="142"/>
      <c r="J32" s="142"/>
      <c r="K32" s="142"/>
      <c r="L32" s="391"/>
      <c r="M32" s="142"/>
      <c r="N32" s="142"/>
      <c r="O32" s="142"/>
      <c r="S32" s="1162" t="s">
        <v>39</v>
      </c>
      <c r="T32" s="1162"/>
      <c r="U32" s="441"/>
      <c r="V32" s="1163" t="str">
        <f>IF(TITLE_IST_PUB_CHANGE="",IF(TITLE_IST_PUB="","",TITLE_IST_PUB),TITLE_IST_PUB_CHANGE)</f>
        <v>Региональная энергетическая комиссия Свердловской области</v>
      </c>
      <c r="W32" s="1163"/>
      <c r="X32" s="1163"/>
      <c r="Y32" s="1163"/>
      <c r="Z32" s="1163"/>
      <c r="AA32" s="1163"/>
      <c r="AB32" s="1163"/>
      <c r="AC32" s="46"/>
      <c r="AD32" s="1163" t="str">
        <f>IF(TITLE_IST_PUB_CHANGE="",IF(TITLE_IST_PUB="","",TITLE_IST_PUB),TITLE_IST_PUB_CHANGE)</f>
        <v>Региональная энергетическая комиссия Свердловской области</v>
      </c>
      <c r="AE32" s="1163"/>
      <c r="AF32" s="1163"/>
      <c r="AG32" s="1163"/>
      <c r="AH32" s="1163"/>
      <c r="AI32" s="1163"/>
      <c r="AJ32" s="1163"/>
      <c r="AK32" s="46"/>
      <c r="AL32" s="46"/>
      <c r="AM32" s="442"/>
      <c r="AN32" s="121"/>
      <c r="AO32" s="121"/>
      <c r="AP32" s="121"/>
      <c r="AQ32" s="121"/>
      <c r="AR32" s="121"/>
    </row>
    <row r="33" spans="1:44" ht="14.25" hidden="1" customHeight="1">
      <c r="Q33" s="437"/>
      <c r="R33" s="437"/>
      <c r="S33" s="438"/>
      <c r="T33" s="83"/>
      <c r="U33" s="83"/>
      <c r="V33" s="439"/>
      <c r="W33" s="439"/>
      <c r="X33" s="439"/>
      <c r="Y33" s="439"/>
      <c r="Z33" s="439"/>
      <c r="AA33" s="439"/>
      <c r="AB33" s="439"/>
      <c r="AC33" s="439"/>
      <c r="AD33" s="439"/>
      <c r="AE33" s="439"/>
      <c r="AF33" s="439"/>
      <c r="AG33" s="439"/>
      <c r="AH33" s="439"/>
      <c r="AI33" s="439"/>
      <c r="AJ33" s="439"/>
      <c r="AK33" s="439"/>
    </row>
    <row r="34" spans="1:44" s="174" customFormat="1" ht="18.75" hidden="1" customHeight="1">
      <c r="A34" s="142"/>
      <c r="B34" s="142"/>
      <c r="C34" s="142"/>
      <c r="D34" s="142"/>
      <c r="E34" s="142"/>
      <c r="F34" s="142"/>
      <c r="G34" s="142"/>
      <c r="H34" s="142"/>
      <c r="I34" s="142"/>
      <c r="J34" s="142"/>
      <c r="K34" s="142"/>
      <c r="L34" s="391"/>
      <c r="M34" s="142"/>
      <c r="N34" s="142"/>
      <c r="O34" s="142"/>
      <c r="S34" s="1162" t="s">
        <v>412</v>
      </c>
      <c r="T34" s="1162"/>
      <c r="U34" s="441"/>
      <c r="V34" s="1164">
        <f>IF(TITLE_DATE_PR_CHANGE="",IF(TITLE_DATE_PR="","",TITLE_DATE_PR),TITLE_DATE_PR_CHANGE)</f>
        <v>45266.462974536997</v>
      </c>
      <c r="W34" s="1164"/>
      <c r="X34" s="1164"/>
      <c r="Y34" s="1164"/>
      <c r="Z34" s="1164"/>
      <c r="AA34" s="1164"/>
      <c r="AB34" s="1164"/>
      <c r="AC34" s="46"/>
      <c r="AD34" s="1164">
        <f>IF(TITLE_DATE_PR_CHANGE="",IF(TITLE_DATE_PR="","",TITLE_DATE_PR),TITLE_DATE_PR_CHANGE)</f>
        <v>45266.462974536997</v>
      </c>
      <c r="AE34" s="1164"/>
      <c r="AF34" s="1164"/>
      <c r="AG34" s="1164"/>
      <c r="AH34" s="1164"/>
      <c r="AI34" s="1164"/>
      <c r="AJ34" s="1164"/>
      <c r="AK34" s="46"/>
      <c r="AL34" s="46"/>
      <c r="AM34" s="442"/>
      <c r="AN34" s="121"/>
      <c r="AO34" s="121"/>
      <c r="AP34" s="121"/>
      <c r="AQ34" s="121"/>
      <c r="AR34" s="121"/>
    </row>
    <row r="35" spans="1:44" s="174" customFormat="1" ht="25.5" hidden="1" customHeight="1">
      <c r="A35" s="142"/>
      <c r="B35" s="142"/>
      <c r="C35" s="142"/>
      <c r="D35" s="142"/>
      <c r="E35" s="142"/>
      <c r="F35" s="142"/>
      <c r="G35" s="142"/>
      <c r="H35" s="142"/>
      <c r="I35" s="142"/>
      <c r="J35" s="142"/>
      <c r="K35" s="142"/>
      <c r="L35" s="391"/>
      <c r="M35" s="142"/>
      <c r="N35" s="142"/>
      <c r="O35" s="142"/>
      <c r="S35" s="1162" t="s">
        <v>413</v>
      </c>
      <c r="T35" s="1162"/>
      <c r="U35" s="441"/>
      <c r="V35" s="1163" t="str">
        <f>IF(TITLE_NUMBER_PR_CHANGE="",IF(TITLE_NUMBER_PR="","",TITLE_NUMBER_PR),TITLE_NUMBER_PR_CHANGE)</f>
        <v>216-ПК</v>
      </c>
      <c r="W35" s="1163"/>
      <c r="X35" s="1163"/>
      <c r="Y35" s="1163"/>
      <c r="Z35" s="1163"/>
      <c r="AA35" s="1163"/>
      <c r="AB35" s="1163"/>
      <c r="AC35" s="46"/>
      <c r="AD35" s="1163" t="str">
        <f>IF(TITLE_NUMBER_PR_CHANGE="",IF(TITLE_NUMBER_PR="","",TITLE_NUMBER_PR),TITLE_NUMBER_PR_CHANGE)</f>
        <v>216-ПК</v>
      </c>
      <c r="AE35" s="1163"/>
      <c r="AF35" s="1163"/>
      <c r="AG35" s="1163"/>
      <c r="AH35" s="1163"/>
      <c r="AI35" s="1163"/>
      <c r="AJ35" s="1163"/>
      <c r="AK35" s="46"/>
      <c r="AL35" s="46"/>
      <c r="AM35" s="442"/>
      <c r="AN35" s="121"/>
      <c r="AO35" s="121"/>
      <c r="AP35" s="121"/>
      <c r="AQ35" s="121"/>
      <c r="AR35" s="121"/>
    </row>
    <row r="36" spans="1:44" s="174" customFormat="1" ht="11.25">
      <c r="A36" s="142"/>
      <c r="B36" s="142"/>
      <c r="C36" s="142"/>
      <c r="D36" s="142"/>
      <c r="E36" s="142"/>
      <c r="F36" s="142"/>
      <c r="G36" s="142"/>
      <c r="H36" s="142"/>
      <c r="I36" s="142"/>
      <c r="J36" s="142"/>
      <c r="K36" s="142"/>
      <c r="L36" s="391"/>
      <c r="M36" s="142"/>
      <c r="N36" s="142"/>
      <c r="O36" s="142"/>
      <c r="S36" s="46"/>
      <c r="T36" s="46"/>
      <c r="U36" s="131"/>
      <c r="V36" s="46"/>
      <c r="W36" s="46"/>
      <c r="X36" s="46"/>
      <c r="Y36" s="46"/>
      <c r="Z36" s="46"/>
      <c r="AA36" s="46"/>
      <c r="AB36" s="46"/>
      <c r="AC36" s="53" t="s">
        <v>414</v>
      </c>
      <c r="AD36" s="46"/>
      <c r="AE36" s="46"/>
      <c r="AF36" s="46"/>
      <c r="AG36" s="46"/>
      <c r="AH36" s="46"/>
      <c r="AI36" s="46"/>
      <c r="AJ36" s="46"/>
      <c r="AK36" s="53" t="s">
        <v>414</v>
      </c>
      <c r="AN36" s="121"/>
      <c r="AO36" s="121"/>
      <c r="AP36" s="121"/>
      <c r="AQ36" s="121"/>
      <c r="AR36" s="121"/>
    </row>
    <row r="37" spans="1:44" ht="14.25" customHeight="1">
      <c r="Q37" s="437"/>
      <c r="R37" s="437"/>
      <c r="S37" s="438"/>
      <c r="T37" s="83"/>
      <c r="U37" s="443"/>
      <c r="V37" s="1165"/>
      <c r="W37" s="1165"/>
      <c r="X37" s="1165"/>
      <c r="Y37" s="1165"/>
      <c r="Z37" s="1165"/>
      <c r="AA37" s="1165"/>
      <c r="AB37" s="1165"/>
      <c r="AC37" s="1165"/>
      <c r="AD37" s="1165"/>
      <c r="AE37" s="1165"/>
      <c r="AF37" s="1165"/>
      <c r="AG37" s="1165"/>
      <c r="AH37" s="1165"/>
      <c r="AI37" s="1165"/>
      <c r="AJ37" s="1165"/>
      <c r="AK37" s="1165"/>
    </row>
    <row r="38" spans="1:44" ht="14.25" customHeight="1">
      <c r="Q38" s="437"/>
      <c r="R38" s="437"/>
      <c r="S38" s="1087" t="s">
        <v>287</v>
      </c>
      <c r="T38" s="1087"/>
      <c r="U38" s="1087"/>
      <c r="V38" s="1087"/>
      <c r="W38" s="1087"/>
      <c r="X38" s="1087"/>
      <c r="Y38" s="1087"/>
      <c r="Z38" s="1087"/>
      <c r="AA38" s="1087"/>
      <c r="AB38" s="1087"/>
      <c r="AC38" s="1087"/>
      <c r="AD38" s="1087"/>
      <c r="AE38" s="1087"/>
      <c r="AF38" s="1087"/>
      <c r="AG38" s="1087"/>
      <c r="AH38" s="1087"/>
      <c r="AI38" s="1087"/>
      <c r="AJ38" s="1087"/>
      <c r="AK38" s="1087"/>
      <c r="AL38" s="1087"/>
      <c r="AM38" s="1087" t="s">
        <v>288</v>
      </c>
    </row>
    <row r="39" spans="1:44" ht="14.25" customHeight="1">
      <c r="Q39" s="437"/>
      <c r="R39" s="437"/>
      <c r="S39" s="1166" t="s">
        <v>84</v>
      </c>
      <c r="T39" s="1167" t="s">
        <v>415</v>
      </c>
      <c r="U39" s="444"/>
      <c r="V39" s="1140" t="s">
        <v>416</v>
      </c>
      <c r="W39" s="1140"/>
      <c r="X39" s="1140"/>
      <c r="Y39" s="1140"/>
      <c r="Z39" s="1140"/>
      <c r="AA39" s="1140"/>
      <c r="AB39" s="1140"/>
      <c r="AC39" s="1167" t="s">
        <v>417</v>
      </c>
      <c r="AD39" s="1140" t="s">
        <v>416</v>
      </c>
      <c r="AE39" s="1140"/>
      <c r="AF39" s="1140"/>
      <c r="AG39" s="1140"/>
      <c r="AH39" s="1140"/>
      <c r="AI39" s="1140"/>
      <c r="AJ39" s="1140"/>
      <c r="AK39" s="1167" t="s">
        <v>418</v>
      </c>
      <c r="AL39" s="1168" t="s">
        <v>419</v>
      </c>
      <c r="AM39" s="1087"/>
    </row>
    <row r="40" spans="1:44" ht="33.75" customHeight="1">
      <c r="Q40" s="437"/>
      <c r="R40" s="437"/>
      <c r="S40" s="1166"/>
      <c r="T40" s="1167"/>
      <c r="U40" s="445"/>
      <c r="V40" s="1169" t="s">
        <v>420</v>
      </c>
      <c r="W40" s="1155"/>
      <c r="X40" s="1087" t="s">
        <v>422</v>
      </c>
      <c r="Y40" s="1087"/>
      <c r="Z40" s="1087" t="s">
        <v>423</v>
      </c>
      <c r="AA40" s="1087"/>
      <c r="AB40" s="1087"/>
      <c r="AC40" s="1167"/>
      <c r="AD40" s="1169" t="s">
        <v>420</v>
      </c>
      <c r="AE40" s="1155"/>
      <c r="AF40" s="1087" t="s">
        <v>422</v>
      </c>
      <c r="AG40" s="1087"/>
      <c r="AH40" s="1087" t="s">
        <v>423</v>
      </c>
      <c r="AI40" s="1087"/>
      <c r="AJ40" s="1087"/>
      <c r="AK40" s="1167"/>
      <c r="AL40" s="1168"/>
      <c r="AM40" s="1087"/>
    </row>
    <row r="41" spans="1:44" ht="33.75" customHeight="1">
      <c r="A41" s="142"/>
      <c r="B41" s="142" t="s">
        <v>131</v>
      </c>
      <c r="C41" s="142" t="s">
        <v>132</v>
      </c>
      <c r="D41" s="142" t="s">
        <v>133</v>
      </c>
      <c r="E41" s="391" t="s">
        <v>424</v>
      </c>
      <c r="F41" s="391" t="s">
        <v>425</v>
      </c>
      <c r="G41" s="391" t="s">
        <v>426</v>
      </c>
      <c r="H41" s="391" t="s">
        <v>427</v>
      </c>
      <c r="I41" s="391" t="s">
        <v>428</v>
      </c>
      <c r="J41" s="391" t="s">
        <v>429</v>
      </c>
      <c r="K41" s="391" t="s">
        <v>430</v>
      </c>
      <c r="L41" s="391" t="s">
        <v>405</v>
      </c>
      <c r="Q41" s="437"/>
      <c r="R41" s="437"/>
      <c r="S41" s="1166"/>
      <c r="T41" s="1167"/>
      <c r="U41" s="446"/>
      <c r="V41" s="1169"/>
      <c r="W41" s="1155"/>
      <c r="X41" s="203" t="s">
        <v>431</v>
      </c>
      <c r="Y41" s="203" t="s">
        <v>432</v>
      </c>
      <c r="Z41" s="203" t="s">
        <v>433</v>
      </c>
      <c r="AA41" s="1108" t="s">
        <v>434</v>
      </c>
      <c r="AB41" s="1108"/>
      <c r="AC41" s="1167"/>
      <c r="AD41" s="1169"/>
      <c r="AE41" s="1155"/>
      <c r="AF41" s="203" t="s">
        <v>431</v>
      </c>
      <c r="AG41" s="203" t="s">
        <v>432</v>
      </c>
      <c r="AH41" s="203" t="s">
        <v>433</v>
      </c>
      <c r="AI41" s="1108" t="s">
        <v>434</v>
      </c>
      <c r="AJ41" s="1108"/>
      <c r="AK41" s="1167"/>
      <c r="AL41" s="1168"/>
      <c r="AM41" s="1087"/>
    </row>
    <row r="42" spans="1:44" s="123" customFormat="1" ht="11.25" hidden="1" customHeight="1">
      <c r="A42" s="142"/>
      <c r="B42" s="142"/>
      <c r="C42" s="142"/>
      <c r="D42" s="142"/>
      <c r="E42" s="142"/>
      <c r="F42" s="142"/>
      <c r="G42" s="142"/>
      <c r="H42" s="142"/>
      <c r="I42" s="142"/>
      <c r="J42" s="142"/>
      <c r="K42" s="142"/>
      <c r="L42" s="391"/>
      <c r="M42" s="57"/>
      <c r="N42" s="57"/>
      <c r="O42" s="57"/>
      <c r="P42" s="447"/>
      <c r="Q42" s="448"/>
      <c r="R42" s="449">
        <v>1</v>
      </c>
      <c r="S42" s="450" t="s">
        <v>105</v>
      </c>
      <c r="T42" s="451" t="s">
        <v>106</v>
      </c>
      <c r="U42" s="452" t="str">
        <f ca="1">OFFSET(U42,0,-1)</f>
        <v>2</v>
      </c>
      <c r="V42" s="453">
        <f ca="1">OFFSET(V42,0,-1)+1</f>
        <v>3</v>
      </c>
      <c r="W42" s="453"/>
      <c r="X42" s="453">
        <f ca="1">OFFSET(X42,0,-1)+1</f>
        <v>1</v>
      </c>
      <c r="Y42" s="453">
        <f ca="1">OFFSET(Y42,0,-1)+1</f>
        <v>2</v>
      </c>
      <c r="Z42" s="453">
        <f ca="1">OFFSET(Z42,0,-1)+1</f>
        <v>3</v>
      </c>
      <c r="AA42" s="1170">
        <f ca="1">OFFSET(AA42,0,-1)+1</f>
        <v>4</v>
      </c>
      <c r="AB42" s="1170"/>
      <c r="AC42" s="453">
        <f ca="1">OFFSET(AC42,0,-2)+1</f>
        <v>5</v>
      </c>
      <c r="AD42" s="453">
        <f ca="1">OFFSET(AD42,0,-1)+1</f>
        <v>6</v>
      </c>
      <c r="AE42" s="453"/>
      <c r="AF42" s="453">
        <f ca="1">OFFSET(AF42,0,-1)+1</f>
        <v>1</v>
      </c>
      <c r="AG42" s="453">
        <f ca="1">OFFSET(AG42,0,-1)+1</f>
        <v>2</v>
      </c>
      <c r="AH42" s="453">
        <f ca="1">OFFSET(AH42,0,-1)+1</f>
        <v>3</v>
      </c>
      <c r="AI42" s="1170">
        <f ca="1">OFFSET(AI42,0,-1)+1</f>
        <v>4</v>
      </c>
      <c r="AJ42" s="1170"/>
      <c r="AK42" s="453">
        <f ca="1">OFFSET(AK42,0,-2)+1</f>
        <v>5</v>
      </c>
      <c r="AL42" s="452">
        <f ca="1">OFFSET(AL42,0,-1)</f>
        <v>5</v>
      </c>
      <c r="AM42" s="453">
        <f ca="1">OFFSET(AM42,0,-1)+1</f>
        <v>6</v>
      </c>
      <c r="AN42" s="53"/>
      <c r="AO42" s="53"/>
      <c r="AP42" s="53"/>
      <c r="AQ42" s="53"/>
      <c r="AR42" s="53"/>
    </row>
    <row r="43" spans="1:44" ht="21" customHeight="1">
      <c r="A43" s="390" t="s">
        <v>182</v>
      </c>
      <c r="B43" s="390"/>
      <c r="C43" s="390"/>
      <c r="D43" s="390"/>
      <c r="E43" s="1153">
        <v>1</v>
      </c>
      <c r="F43" s="390"/>
      <c r="G43" s="390"/>
      <c r="H43" s="390"/>
      <c r="I43" s="390"/>
      <c r="J43" s="390"/>
      <c r="K43" s="390"/>
      <c r="L43" s="391"/>
      <c r="M43" s="392"/>
      <c r="N43" s="392"/>
      <c r="O43" s="392"/>
      <c r="Q43" s="134"/>
      <c r="R43" s="393"/>
      <c r="S43" s="394">
        <f>INDEX(PT_DIFFERENTIATION_NUM_NTAR,MATCH(A43,PT_DIFFERENTIATION_NTAR_ID,0))</f>
        <v>0</v>
      </c>
      <c r="T43" s="395" t="s">
        <v>119</v>
      </c>
      <c r="U43" s="396"/>
      <c r="V43" s="1154"/>
      <c r="W43" s="1154"/>
      <c r="X43" s="1154"/>
      <c r="Y43" s="1154"/>
      <c r="Z43" s="1154"/>
      <c r="AA43" s="1154"/>
      <c r="AB43" s="1154"/>
      <c r="AC43" s="1154"/>
      <c r="AD43" s="1154" t="str">
        <f>INDEX(PT_DIFFERENTIATION_NTAR,MATCH(A43,PT_DIFFERENTIATION_NTAR_ID,0))</f>
        <v/>
      </c>
      <c r="AE43" s="1154"/>
      <c r="AF43" s="1154"/>
      <c r="AG43" s="1154"/>
      <c r="AH43" s="1154"/>
      <c r="AI43" s="1154"/>
      <c r="AJ43" s="1154"/>
      <c r="AK43" s="1154"/>
      <c r="AL43" s="1154"/>
      <c r="AM43" s="39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t="shared" ref="AP43:AP57" si="1">IF(T43="","",T43)</f>
        <v>Наименование тарифа</v>
      </c>
      <c r="AQ43" s="121"/>
      <c r="AR43" s="121"/>
    </row>
    <row r="44" spans="1:44" ht="21" customHeight="1">
      <c r="A44" s="390" t="s">
        <v>182</v>
      </c>
      <c r="B44" s="390" t="s">
        <v>183</v>
      </c>
      <c r="C44" s="390"/>
      <c r="D44" s="390"/>
      <c r="E44" s="1153"/>
      <c r="F44" s="1153">
        <v>1</v>
      </c>
      <c r="G44" s="390"/>
      <c r="H44" s="390"/>
      <c r="I44" s="390"/>
      <c r="J44" s="390"/>
      <c r="K44" s="390"/>
      <c r="L44" s="391"/>
      <c r="M44" s="392"/>
      <c r="N44" s="392"/>
      <c r="O44" s="392"/>
      <c r="P44" s="47"/>
      <c r="Q44" s="398"/>
      <c r="R44" s="399"/>
      <c r="S44" s="394" t="str">
        <f>INDEX(PT_DIFFERENTIATION_NUM_TER,MATCH(B44,PT_DIFFERENTIATION_TER_ID,0))</f>
        <v>.</v>
      </c>
      <c r="T44" s="400" t="s">
        <v>386</v>
      </c>
      <c r="U44" s="396"/>
      <c r="V44" s="1154"/>
      <c r="W44" s="1154"/>
      <c r="X44" s="1154"/>
      <c r="Y44" s="1154"/>
      <c r="Z44" s="1154"/>
      <c r="AA44" s="1154"/>
      <c r="AB44" s="1154"/>
      <c r="AC44" s="1154"/>
      <c r="AD44" s="1154" t="str">
        <f>INDEX(PT_DIFFERENTIATION_TER,MATCH(B44,PT_DIFFERENTIATION_TER_ID,0))</f>
        <v/>
      </c>
      <c r="AE44" s="1154"/>
      <c r="AF44" s="1154"/>
      <c r="AG44" s="1154"/>
      <c r="AH44" s="1154"/>
      <c r="AI44" s="1154"/>
      <c r="AJ44" s="1154"/>
      <c r="AK44" s="1154"/>
      <c r="AL44" s="1154"/>
      <c r="AM44" s="397" t="s">
        <v>387</v>
      </c>
      <c r="AO44" s="121"/>
      <c r="AP44" s="121" t="str">
        <f t="shared" si="1"/>
        <v>Территория действия тарифа</v>
      </c>
      <c r="AQ44" s="121"/>
      <c r="AR44" s="121"/>
    </row>
    <row r="45" spans="1:44" ht="23.25" customHeight="1">
      <c r="A45" s="390" t="s">
        <v>182</v>
      </c>
      <c r="B45" s="390" t="s">
        <v>183</v>
      </c>
      <c r="C45" s="390" t="s">
        <v>184</v>
      </c>
      <c r="D45" s="390"/>
      <c r="E45" s="1153"/>
      <c r="F45" s="1153"/>
      <c r="G45" s="1153">
        <v>1</v>
      </c>
      <c r="H45" s="390"/>
      <c r="I45" s="390"/>
      <c r="J45" s="390"/>
      <c r="K45" s="390"/>
      <c r="L45" s="391"/>
      <c r="M45" s="392"/>
      <c r="N45" s="392"/>
      <c r="O45" s="392"/>
      <c r="P45" s="401"/>
      <c r="Q45" s="398"/>
      <c r="R45" s="399"/>
      <c r="S45" s="394" t="str">
        <f>INDEX(PT_DIFFERENTIATION_NUM_CS,MATCH(C45,PT_DIFFERENTIATION_CS_ID,0))</f>
        <v>..</v>
      </c>
      <c r="T45" s="402" t="s">
        <v>388</v>
      </c>
      <c r="U45" s="396"/>
      <c r="V45" s="1154"/>
      <c r="W45" s="1154"/>
      <c r="X45" s="1154"/>
      <c r="Y45" s="1154"/>
      <c r="Z45" s="1154"/>
      <c r="AA45" s="1154"/>
      <c r="AB45" s="1154"/>
      <c r="AC45" s="1154"/>
      <c r="AD45" s="1154" t="str">
        <f>INDEX(PT_DIFFERENTIATION_CS,MATCH(C45,PT_DIFFERENTIATION_CS_ID,0))</f>
        <v/>
      </c>
      <c r="AE45" s="1154"/>
      <c r="AF45" s="1154"/>
      <c r="AG45" s="1154"/>
      <c r="AH45" s="1154"/>
      <c r="AI45" s="1154"/>
      <c r="AJ45" s="1154"/>
      <c r="AK45" s="1154"/>
      <c r="AL45" s="1154"/>
      <c r="AM45" s="397" t="s">
        <v>389</v>
      </c>
      <c r="AO45" s="121"/>
      <c r="AP45" s="121" t="str">
        <f t="shared" si="1"/>
        <v xml:space="preserve">Наименование системы теплоснабжения </v>
      </c>
      <c r="AQ45" s="121"/>
      <c r="AR45" s="121"/>
    </row>
    <row r="46" spans="1:44" ht="21" customHeight="1">
      <c r="A46" s="390" t="s">
        <v>182</v>
      </c>
      <c r="B46" s="390" t="s">
        <v>183</v>
      </c>
      <c r="C46" s="390" t="s">
        <v>184</v>
      </c>
      <c r="D46" s="390" t="s">
        <v>185</v>
      </c>
      <c r="E46" s="1153"/>
      <c r="F46" s="1153"/>
      <c r="G46" s="1153"/>
      <c r="H46" s="1153">
        <v>1</v>
      </c>
      <c r="I46" s="390"/>
      <c r="J46" s="390"/>
      <c r="K46" s="390"/>
      <c r="L46" s="391"/>
      <c r="M46" s="392"/>
      <c r="N46" s="392"/>
      <c r="O46" s="392"/>
      <c r="P46" s="401"/>
      <c r="Q46" s="398"/>
      <c r="R46" s="399"/>
      <c r="S46" s="394" t="str">
        <f>INDEX(PT_DIFFERENTIATION_NUM_IST_TE,MATCH(D46,PT_DIFFERENTIATION_IST_TE_ID,0))</f>
        <v>...</v>
      </c>
      <c r="T46" s="403" t="s">
        <v>390</v>
      </c>
      <c r="U46" s="396"/>
      <c r="V46" s="1154"/>
      <c r="W46" s="1154"/>
      <c r="X46" s="1154"/>
      <c r="Y46" s="1154"/>
      <c r="Z46" s="1154"/>
      <c r="AA46" s="1154"/>
      <c r="AB46" s="1154"/>
      <c r="AC46" s="1154"/>
      <c r="AD46" s="1154" t="str">
        <f>INDEX(PT_DIFFERENTIATION_IST_TE,MATCH(D46,PT_DIFFERENTIATION_IST_TE_ID,0))</f>
        <v/>
      </c>
      <c r="AE46" s="1154"/>
      <c r="AF46" s="1154"/>
      <c r="AG46" s="1154"/>
      <c r="AH46" s="1154"/>
      <c r="AI46" s="1154"/>
      <c r="AJ46" s="1154"/>
      <c r="AK46" s="1154"/>
      <c r="AL46" s="1154"/>
      <c r="AM46" s="397" t="s">
        <v>391</v>
      </c>
      <c r="AO46" s="121"/>
      <c r="AP46" s="121" t="str">
        <f t="shared" si="1"/>
        <v xml:space="preserve">Источник тепловой энергии  </v>
      </c>
      <c r="AQ46" s="121"/>
      <c r="AR46" s="121"/>
    </row>
    <row r="47" spans="1:44" s="53" customFormat="1" ht="5.25">
      <c r="A47" s="125" t="s">
        <v>182</v>
      </c>
      <c r="B47" s="125" t="s">
        <v>183</v>
      </c>
      <c r="C47" s="125" t="s">
        <v>184</v>
      </c>
      <c r="D47" s="125" t="s">
        <v>185</v>
      </c>
      <c r="E47" s="1153"/>
      <c r="F47" s="1153"/>
      <c r="G47" s="1153"/>
      <c r="H47" s="1153"/>
      <c r="I47" s="1155" t="str">
        <f>S46&amp;".1"</f>
        <v>....1</v>
      </c>
      <c r="J47" s="125"/>
      <c r="K47" s="125"/>
      <c r="L47" s="184" t="s">
        <v>392</v>
      </c>
      <c r="M47" s="466"/>
      <c r="N47" s="466"/>
      <c r="O47" s="466"/>
      <c r="P47" s="1156">
        <v>1</v>
      </c>
      <c r="Q47" s="124"/>
      <c r="R47" s="405"/>
      <c r="S47" s="280"/>
      <c r="T47" s="459"/>
      <c r="U47" s="460"/>
      <c r="V47" s="1175"/>
      <c r="W47" s="1175"/>
      <c r="X47" s="1175"/>
      <c r="Y47" s="1175"/>
      <c r="Z47" s="1175"/>
      <c r="AA47" s="1175"/>
      <c r="AB47" s="1175"/>
      <c r="AC47" s="1175"/>
      <c r="AD47" s="1175"/>
      <c r="AE47" s="1175"/>
      <c r="AF47" s="1175"/>
      <c r="AG47" s="1175"/>
      <c r="AH47" s="1175"/>
      <c r="AI47" s="1175"/>
      <c r="AJ47" s="1175"/>
      <c r="AK47" s="1175"/>
      <c r="AL47" s="1175"/>
      <c r="AM47" s="461"/>
      <c r="AO47" s="121"/>
      <c r="AP47" s="121" t="str">
        <f t="shared" si="1"/>
        <v/>
      </c>
      <c r="AQ47" s="121"/>
      <c r="AR47" s="121"/>
    </row>
    <row r="48" spans="1:44" ht="21" customHeight="1">
      <c r="A48" s="390" t="s">
        <v>182</v>
      </c>
      <c r="B48" s="390" t="s">
        <v>183</v>
      </c>
      <c r="C48" s="390" t="s">
        <v>184</v>
      </c>
      <c r="D48" s="390" t="s">
        <v>185</v>
      </c>
      <c r="E48" s="1153"/>
      <c r="F48" s="1153"/>
      <c r="G48" s="1153"/>
      <c r="H48" s="1153"/>
      <c r="I48" s="1155"/>
      <c r="J48" s="1155" t="str">
        <f>S46&amp;".1"</f>
        <v>....1</v>
      </c>
      <c r="K48" s="390"/>
      <c r="L48" s="391" t="s">
        <v>395</v>
      </c>
      <c r="P48" s="1156"/>
      <c r="Q48" s="1156">
        <v>1</v>
      </c>
      <c r="R48" s="408"/>
      <c r="S48" s="394" t="str">
        <f>$J48</f>
        <v>....1</v>
      </c>
      <c r="T48" s="409" t="s">
        <v>396</v>
      </c>
      <c r="U48" s="396"/>
      <c r="V48" s="1157"/>
      <c r="W48" s="1157"/>
      <c r="X48" s="1157"/>
      <c r="Y48" s="1157"/>
      <c r="Z48" s="1157"/>
      <c r="AA48" s="1157"/>
      <c r="AB48" s="1157"/>
      <c r="AC48" s="1157"/>
      <c r="AD48" s="1157"/>
      <c r="AE48" s="1157"/>
      <c r="AF48" s="1157"/>
      <c r="AG48" s="1157"/>
      <c r="AH48" s="1157"/>
      <c r="AI48" s="1157"/>
      <c r="AJ48" s="1157"/>
      <c r="AK48" s="1157"/>
      <c r="AL48" s="1157"/>
      <c r="AM48" s="397" t="s">
        <v>397</v>
      </c>
      <c r="AO48" s="121"/>
      <c r="AP48" s="121" t="str">
        <f t="shared" si="1"/>
        <v>Группа потребителей</v>
      </c>
      <c r="AQ48" s="121"/>
      <c r="AR48" s="121"/>
    </row>
    <row r="49" spans="1:44" ht="21" customHeight="1">
      <c r="A49" s="390" t="s">
        <v>182</v>
      </c>
      <c r="B49" s="390" t="s">
        <v>183</v>
      </c>
      <c r="C49" s="390" t="s">
        <v>184</v>
      </c>
      <c r="D49" s="390" t="s">
        <v>185</v>
      </c>
      <c r="E49" s="1153"/>
      <c r="F49" s="1153"/>
      <c r="G49" s="1153"/>
      <c r="H49" s="1153"/>
      <c r="I49" s="1155"/>
      <c r="J49" s="1155"/>
      <c r="K49" s="1155" t="str">
        <f>J48&amp;".1"</f>
        <v>....1.1</v>
      </c>
      <c r="L49" s="391" t="s">
        <v>398</v>
      </c>
      <c r="P49" s="1156"/>
      <c r="Q49" s="1156"/>
      <c r="R49" s="408">
        <v>1</v>
      </c>
      <c r="S49" s="394" t="str">
        <f>$K49</f>
        <v>....1.1</v>
      </c>
      <c r="T49" s="410"/>
      <c r="U49" s="396"/>
      <c r="V49" s="411"/>
      <c r="W49" s="412"/>
      <c r="X49" s="411"/>
      <c r="Y49" s="413"/>
      <c r="Z49" s="1158"/>
      <c r="AA49" s="1105" t="s">
        <v>63</v>
      </c>
      <c r="AB49" s="1158"/>
      <c r="AC49" s="1105" t="s">
        <v>63</v>
      </c>
      <c r="AD49" s="411"/>
      <c r="AE49" s="412"/>
      <c r="AF49" s="411"/>
      <c r="AG49" s="413"/>
      <c r="AH49" s="1158"/>
      <c r="AI49" s="1105" t="s">
        <v>63</v>
      </c>
      <c r="AJ49" s="1158"/>
      <c r="AK49" s="1105" t="s">
        <v>63</v>
      </c>
      <c r="AL49" s="454"/>
      <c r="AM49" s="1159" t="s">
        <v>436</v>
      </c>
      <c r="AN49" s="53" t="e">
        <f ca="1">strcheckdate(V50:AL50)</f>
        <v>#NAME?</v>
      </c>
      <c r="AO49" s="121"/>
      <c r="AP49" s="121" t="str">
        <f t="shared" si="1"/>
        <v/>
      </c>
      <c r="AQ49" s="121"/>
      <c r="AR49" s="121"/>
    </row>
    <row r="50" spans="1:44" ht="11.25">
      <c r="A50" s="390" t="s">
        <v>182</v>
      </c>
      <c r="B50" s="390" t="s">
        <v>183</v>
      </c>
      <c r="C50" s="390" t="s">
        <v>184</v>
      </c>
      <c r="D50" s="390" t="s">
        <v>185</v>
      </c>
      <c r="E50" s="1153"/>
      <c r="F50" s="1153"/>
      <c r="G50" s="1153"/>
      <c r="H50" s="1153"/>
      <c r="I50" s="1155"/>
      <c r="J50" s="1155"/>
      <c r="K50" s="1155"/>
      <c r="L50" s="391"/>
      <c r="P50" s="1156"/>
      <c r="Q50" s="1156"/>
      <c r="R50" s="408"/>
      <c r="S50" s="370"/>
      <c r="T50" s="396"/>
      <c r="U50" s="396"/>
      <c r="V50" s="412"/>
      <c r="W50" s="412"/>
      <c r="X50" s="412"/>
      <c r="Y50" s="415" t="str">
        <f>Z49&amp;"-"&amp;AB49</f>
        <v>-</v>
      </c>
      <c r="Z50" s="1158"/>
      <c r="AA50" s="1105"/>
      <c r="AB50" s="1158"/>
      <c r="AC50" s="1105"/>
      <c r="AD50" s="412"/>
      <c r="AE50" s="412"/>
      <c r="AF50" s="412"/>
      <c r="AG50" s="415" t="str">
        <f>AH49&amp;"-"&amp;AJ49</f>
        <v>-</v>
      </c>
      <c r="AH50" s="1158"/>
      <c r="AI50" s="1105"/>
      <c r="AJ50" s="1158"/>
      <c r="AK50" s="1105"/>
      <c r="AL50" s="455"/>
      <c r="AM50" s="1159"/>
      <c r="AO50" s="121"/>
      <c r="AP50" s="121" t="str">
        <f t="shared" si="1"/>
        <v/>
      </c>
      <c r="AQ50" s="121"/>
      <c r="AR50" s="121"/>
    </row>
    <row r="51" spans="1:44" ht="11.25" customHeight="1">
      <c r="A51" s="390" t="s">
        <v>182</v>
      </c>
      <c r="B51" s="390" t="s">
        <v>183</v>
      </c>
      <c r="C51" s="390" t="s">
        <v>184</v>
      </c>
      <c r="D51" s="390" t="s">
        <v>185</v>
      </c>
      <c r="E51" s="1153"/>
      <c r="F51" s="1153"/>
      <c r="G51" s="1153"/>
      <c r="H51" s="1153"/>
      <c r="I51" s="1155"/>
      <c r="J51" s="1155"/>
      <c r="K51" s="390"/>
      <c r="L51" s="391"/>
      <c r="P51" s="1156"/>
      <c r="Q51" s="1156"/>
      <c r="R51" s="405"/>
      <c r="S51" s="416"/>
      <c r="T51" s="419" t="s">
        <v>400</v>
      </c>
      <c r="U51" s="186"/>
      <c r="V51" s="186"/>
      <c r="W51" s="186"/>
      <c r="X51" s="186"/>
      <c r="Y51" s="186"/>
      <c r="Z51" s="186"/>
      <c r="AA51" s="186"/>
      <c r="AB51" s="186"/>
      <c r="AC51" s="186"/>
      <c r="AD51" s="186"/>
      <c r="AE51" s="186"/>
      <c r="AF51" s="186"/>
      <c r="AG51" s="186"/>
      <c r="AH51" s="186"/>
      <c r="AI51" s="186"/>
      <c r="AJ51" s="186"/>
      <c r="AK51" s="186"/>
      <c r="AL51" s="418"/>
      <c r="AM51" s="1159"/>
      <c r="AO51" s="121"/>
      <c r="AP51" s="121" t="str">
        <f t="shared" si="1"/>
        <v>Добавить вид теплоносителя (параметры теплоносителя)</v>
      </c>
      <c r="AQ51" s="121"/>
      <c r="AR51" s="121"/>
    </row>
    <row r="52" spans="1:44" ht="11.25" customHeight="1">
      <c r="A52" s="390" t="s">
        <v>182</v>
      </c>
      <c r="B52" s="390" t="s">
        <v>183</v>
      </c>
      <c r="C52" s="390" t="s">
        <v>184</v>
      </c>
      <c r="D52" s="390" t="s">
        <v>185</v>
      </c>
      <c r="E52" s="1153"/>
      <c r="F52" s="1153"/>
      <c r="G52" s="1153"/>
      <c r="H52" s="1153"/>
      <c r="I52" s="1155"/>
      <c r="J52" s="390"/>
      <c r="K52" s="390"/>
      <c r="L52" s="391"/>
      <c r="P52" s="1156"/>
      <c r="Q52" s="124"/>
      <c r="R52" s="405"/>
      <c r="S52" s="416"/>
      <c r="T52" s="423" t="s">
        <v>401</v>
      </c>
      <c r="U52" s="186"/>
      <c r="V52" s="186"/>
      <c r="W52" s="186"/>
      <c r="X52" s="186"/>
      <c r="Y52" s="186"/>
      <c r="Z52" s="186"/>
      <c r="AA52" s="186"/>
      <c r="AB52" s="186"/>
      <c r="AC52" s="420"/>
      <c r="AD52" s="186"/>
      <c r="AE52" s="186"/>
      <c r="AF52" s="186"/>
      <c r="AG52" s="186"/>
      <c r="AH52" s="186"/>
      <c r="AI52" s="186"/>
      <c r="AJ52" s="186"/>
      <c r="AK52" s="420"/>
      <c r="AL52" s="186"/>
      <c r="AM52" s="421"/>
      <c r="AO52" s="121"/>
      <c r="AP52" s="121" t="str">
        <f t="shared" si="1"/>
        <v>Добавить группу потребителей</v>
      </c>
      <c r="AQ52" s="121"/>
      <c r="AR52" s="121"/>
    </row>
    <row r="53" spans="1:44">
      <c r="A53" s="390" t="s">
        <v>182</v>
      </c>
      <c r="B53" s="390" t="s">
        <v>183</v>
      </c>
      <c r="C53" s="390" t="s">
        <v>184</v>
      </c>
      <c r="D53" s="390" t="s">
        <v>185</v>
      </c>
      <c r="E53" s="1153"/>
      <c r="F53" s="1153"/>
      <c r="G53" s="1153"/>
      <c r="H53" s="1153"/>
      <c r="I53" s="390"/>
      <c r="J53" s="390"/>
      <c r="K53" s="390"/>
      <c r="L53" s="391"/>
      <c r="M53" s="392"/>
      <c r="N53" s="392"/>
      <c r="O53" s="49"/>
      <c r="P53" s="134"/>
      <c r="Q53" s="422"/>
      <c r="R53" s="393"/>
      <c r="S53" s="462"/>
      <c r="T53" s="463"/>
      <c r="U53" s="464"/>
      <c r="V53" s="464"/>
      <c r="W53" s="464"/>
      <c r="X53" s="464"/>
      <c r="Y53" s="464"/>
      <c r="Z53" s="464"/>
      <c r="AA53" s="464"/>
      <c r="AB53" s="464"/>
      <c r="AC53" s="464"/>
      <c r="AD53" s="464"/>
      <c r="AE53" s="464"/>
      <c r="AF53" s="464"/>
      <c r="AG53" s="464"/>
      <c r="AH53" s="464"/>
      <c r="AI53" s="464"/>
      <c r="AJ53" s="464"/>
      <c r="AK53" s="464"/>
      <c r="AL53" s="464"/>
      <c r="AM53" s="465"/>
      <c r="AO53" s="121"/>
      <c r="AP53" s="121" t="str">
        <f t="shared" si="1"/>
        <v/>
      </c>
      <c r="AQ53" s="121"/>
      <c r="AR53" s="121"/>
    </row>
    <row r="54" spans="1:44" s="53" customFormat="1" ht="5.25">
      <c r="A54" s="125" t="s">
        <v>182</v>
      </c>
      <c r="B54" s="125" t="s">
        <v>183</v>
      </c>
      <c r="C54" s="125" t="s">
        <v>184</v>
      </c>
      <c r="D54" s="125"/>
      <c r="E54" s="1153"/>
      <c r="F54" s="1153"/>
      <c r="G54" s="1153"/>
      <c r="H54" s="125"/>
      <c r="I54" s="125"/>
      <c r="J54" s="125"/>
      <c r="K54" s="125"/>
      <c r="L54" s="184"/>
      <c r="M54" s="375"/>
      <c r="N54" s="375"/>
      <c r="P54" s="158"/>
      <c r="Q54" s="424"/>
      <c r="R54" s="158"/>
      <c r="S54" s="429"/>
      <c r="T54" s="432" t="s">
        <v>403</v>
      </c>
      <c r="U54" s="431"/>
      <c r="V54" s="431"/>
      <c r="W54" s="431"/>
      <c r="X54" s="431"/>
      <c r="Y54" s="431"/>
      <c r="Z54" s="431"/>
      <c r="AA54" s="431"/>
      <c r="AB54" s="431"/>
      <c r="AC54" s="431"/>
      <c r="AD54" s="431"/>
      <c r="AE54" s="431"/>
      <c r="AF54" s="431"/>
      <c r="AG54" s="431"/>
      <c r="AH54" s="431"/>
      <c r="AI54" s="431"/>
      <c r="AJ54" s="431"/>
      <c r="AK54" s="431"/>
      <c r="AL54" s="431"/>
      <c r="AM54" s="431"/>
      <c r="AO54" s="121"/>
      <c r="AP54" s="121" t="str">
        <f t="shared" si="1"/>
        <v>Добавить источник для дифференциации</v>
      </c>
      <c r="AQ54" s="121"/>
      <c r="AR54" s="121"/>
    </row>
    <row r="55" spans="1:44" s="53" customFormat="1" ht="5.25">
      <c r="A55" s="125" t="s">
        <v>182</v>
      </c>
      <c r="B55" s="125" t="s">
        <v>183</v>
      </c>
      <c r="C55" s="125"/>
      <c r="D55" s="125"/>
      <c r="E55" s="1153"/>
      <c r="F55" s="1153"/>
      <c r="G55" s="125"/>
      <c r="H55" s="125"/>
      <c r="I55" s="125"/>
      <c r="J55" s="125"/>
      <c r="K55" s="125"/>
      <c r="L55" s="184"/>
      <c r="M55" s="428"/>
      <c r="N55" s="428"/>
      <c r="P55" s="158"/>
      <c r="Q55" s="424"/>
      <c r="R55" s="158"/>
      <c r="S55" s="429"/>
      <c r="T55" s="432" t="s">
        <v>253</v>
      </c>
      <c r="U55" s="431"/>
      <c r="V55" s="431"/>
      <c r="W55" s="431"/>
      <c r="X55" s="431"/>
      <c r="Y55" s="431"/>
      <c r="Z55" s="431"/>
      <c r="AA55" s="431"/>
      <c r="AB55" s="431"/>
      <c r="AC55" s="431"/>
      <c r="AD55" s="431"/>
      <c r="AE55" s="431"/>
      <c r="AF55" s="431"/>
      <c r="AG55" s="431"/>
      <c r="AH55" s="431"/>
      <c r="AI55" s="431"/>
      <c r="AJ55" s="431"/>
      <c r="AK55" s="431"/>
      <c r="AL55" s="431"/>
      <c r="AM55" s="431"/>
      <c r="AO55" s="121"/>
      <c r="AP55" s="121" t="str">
        <f t="shared" si="1"/>
        <v>Добавить централизованную систему для дифференциации</v>
      </c>
      <c r="AQ55" s="121"/>
      <c r="AR55" s="121"/>
    </row>
    <row r="56" spans="1:44" s="53" customFormat="1" ht="5.25">
      <c r="A56" s="125" t="s">
        <v>182</v>
      </c>
      <c r="B56" s="125"/>
      <c r="C56" s="125"/>
      <c r="D56" s="125"/>
      <c r="E56" s="1153"/>
      <c r="F56" s="125"/>
      <c r="G56" s="125"/>
      <c r="H56" s="125"/>
      <c r="I56" s="125"/>
      <c r="J56" s="125"/>
      <c r="K56" s="125"/>
      <c r="L56" s="184"/>
      <c r="M56" s="428"/>
      <c r="N56" s="428"/>
      <c r="P56" s="158"/>
      <c r="Q56" s="424"/>
      <c r="R56" s="158"/>
      <c r="S56" s="429"/>
      <c r="T56" s="432" t="s">
        <v>254</v>
      </c>
      <c r="U56" s="431"/>
      <c r="V56" s="431"/>
      <c r="W56" s="431"/>
      <c r="X56" s="431"/>
      <c r="Y56" s="431"/>
      <c r="Z56" s="431"/>
      <c r="AA56" s="431"/>
      <c r="AB56" s="431"/>
      <c r="AC56" s="431"/>
      <c r="AD56" s="431"/>
      <c r="AE56" s="431"/>
      <c r="AF56" s="431"/>
      <c r="AG56" s="431"/>
      <c r="AH56" s="431"/>
      <c r="AI56" s="431"/>
      <c r="AJ56" s="431"/>
      <c r="AK56" s="431"/>
      <c r="AL56" s="431"/>
      <c r="AM56" s="431"/>
      <c r="AO56" s="121"/>
      <c r="AP56" s="121" t="str">
        <f t="shared" si="1"/>
        <v>Добавить территорию для дифференциации</v>
      </c>
      <c r="AQ56" s="121"/>
      <c r="AR56" s="121"/>
    </row>
    <row r="57" spans="1:44" s="53" customFormat="1" ht="5.25" customHeight="1">
      <c r="A57" s="125"/>
      <c r="B57" s="125"/>
      <c r="C57" s="125"/>
      <c r="D57" s="125"/>
      <c r="E57" s="125"/>
      <c r="F57" s="125"/>
      <c r="G57" s="125"/>
      <c r="H57" s="125"/>
      <c r="I57" s="125"/>
      <c r="J57" s="125"/>
      <c r="K57" s="125"/>
      <c r="L57" s="184"/>
      <c r="M57" s="428"/>
      <c r="N57" s="428"/>
      <c r="P57" s="158"/>
      <c r="Q57" s="424"/>
      <c r="R57" s="158"/>
      <c r="S57" s="429"/>
      <c r="T57" s="432" t="s">
        <v>255</v>
      </c>
      <c r="U57" s="431"/>
      <c r="V57" s="431"/>
      <c r="W57" s="431"/>
      <c r="X57" s="431"/>
      <c r="Y57" s="431"/>
      <c r="Z57" s="431"/>
      <c r="AA57" s="431"/>
      <c r="AB57" s="431"/>
      <c r="AC57" s="431"/>
      <c r="AD57" s="431"/>
      <c r="AE57" s="431"/>
      <c r="AF57" s="431"/>
      <c r="AG57" s="431"/>
      <c r="AH57" s="431"/>
      <c r="AI57" s="431"/>
      <c r="AJ57" s="431"/>
      <c r="AK57" s="431"/>
      <c r="AL57" s="431"/>
      <c r="AM57" s="431"/>
      <c r="AO57" s="121"/>
      <c r="AP57" s="121" t="str">
        <f t="shared" si="1"/>
        <v>Добавить наименование тарифа</v>
      </c>
      <c r="AQ57" s="121"/>
      <c r="AR57" s="121"/>
    </row>
    <row r="58" spans="1:44" ht="11.25" customHeight="1">
      <c r="M58" s="49"/>
      <c r="N58" s="49"/>
      <c r="O58" s="49"/>
      <c r="P58" s="46"/>
      <c r="Q58" s="46"/>
      <c r="R58" s="46"/>
      <c r="S58" s="46"/>
      <c r="AN58" s="46"/>
      <c r="AO58" s="46"/>
      <c r="AP58" s="46"/>
      <c r="AQ58" s="46"/>
      <c r="AR58" s="46"/>
    </row>
    <row r="59" spans="1:44" ht="14.25" customHeight="1">
      <c r="O59" s="49"/>
      <c r="S59" s="387"/>
      <c r="T59" s="1171"/>
      <c r="U59" s="1171"/>
      <c r="V59" s="1171"/>
      <c r="W59" s="1171"/>
      <c r="X59" s="1171"/>
      <c r="Y59" s="1171"/>
      <c r="Z59" s="1171"/>
      <c r="AA59" s="1171"/>
      <c r="AB59" s="1171"/>
      <c r="AC59" s="1171"/>
      <c r="AD59" s="1171"/>
      <c r="AE59" s="1171"/>
      <c r="AF59" s="1171"/>
      <c r="AG59" s="1171"/>
      <c r="AH59" s="1171"/>
      <c r="AI59" s="1171"/>
      <c r="AJ59" s="1171"/>
      <c r="AK59" s="1171"/>
      <c r="AL59" s="1171"/>
      <c r="AM59" s="1171"/>
    </row>
    <row r="60" spans="1:44" ht="14.25" customHeight="1">
      <c r="O60" s="49"/>
      <c r="T60" s="1171"/>
      <c r="U60" s="1171"/>
      <c r="V60" s="1171"/>
      <c r="W60" s="1171"/>
      <c r="X60" s="1171"/>
      <c r="Y60" s="1171"/>
      <c r="Z60" s="1171"/>
      <c r="AA60" s="1171"/>
      <c r="AB60" s="1171"/>
      <c r="AC60" s="1171"/>
      <c r="AD60" s="1171"/>
      <c r="AE60" s="1171"/>
      <c r="AF60" s="1171"/>
      <c r="AG60" s="1171"/>
      <c r="AH60" s="1171"/>
      <c r="AI60" s="1171"/>
      <c r="AJ60" s="1171"/>
      <c r="AK60" s="1171"/>
      <c r="AL60" s="1171"/>
      <c r="AM60" s="1171"/>
    </row>
    <row r="61" spans="1:44" ht="14.25" customHeight="1">
      <c r="O61" s="49"/>
      <c r="T61" s="1171"/>
      <c r="U61" s="1171"/>
      <c r="V61" s="1171"/>
      <c r="W61" s="1171"/>
      <c r="X61" s="1171"/>
      <c r="Y61" s="1171"/>
      <c r="Z61" s="1171"/>
      <c r="AA61" s="1171"/>
      <c r="AB61" s="1171"/>
      <c r="AC61" s="1171"/>
      <c r="AD61" s="1171"/>
      <c r="AE61" s="1171"/>
      <c r="AF61" s="1171"/>
      <c r="AG61" s="1171"/>
      <c r="AH61" s="1171"/>
      <c r="AI61" s="1171"/>
      <c r="AJ61" s="1171"/>
      <c r="AK61" s="1171"/>
      <c r="AL61" s="1171"/>
      <c r="AM61" s="1171"/>
    </row>
    <row r="62" spans="1:44" ht="14.25" customHeight="1">
      <c r="O62" s="49"/>
    </row>
    <row r="63" spans="1:44" ht="14.25" customHeight="1">
      <c r="O63" s="49"/>
      <c r="S63" s="387"/>
      <c r="T63" s="1119"/>
      <c r="U63" s="1119"/>
      <c r="V63" s="1119"/>
      <c r="W63" s="1119"/>
      <c r="X63" s="1119"/>
      <c r="Y63" s="1119"/>
      <c r="Z63" s="1119"/>
      <c r="AA63" s="1119"/>
      <c r="AB63" s="1119"/>
      <c r="AC63" s="1119"/>
      <c r="AD63" s="1119"/>
      <c r="AE63" s="1119"/>
      <c r="AF63" s="1119"/>
      <c r="AG63" s="1119"/>
      <c r="AH63" s="1119"/>
      <c r="AI63" s="1119"/>
      <c r="AJ63" s="1119"/>
      <c r="AK63" s="1119"/>
      <c r="AL63" s="1119"/>
      <c r="AM63" s="1119"/>
    </row>
    <row r="64" spans="1:44" ht="14.25" customHeight="1">
      <c r="O64" s="49"/>
      <c r="T64" s="1171"/>
      <c r="U64" s="1171"/>
      <c r="V64" s="1171"/>
      <c r="W64" s="1171"/>
      <c r="X64" s="1171"/>
      <c r="Y64" s="1171"/>
      <c r="Z64" s="1171"/>
      <c r="AA64" s="1171"/>
      <c r="AB64" s="1171"/>
      <c r="AC64" s="1171"/>
      <c r="AD64" s="1171"/>
      <c r="AE64" s="1171"/>
      <c r="AF64" s="1171"/>
      <c r="AG64" s="1171"/>
      <c r="AH64" s="1171"/>
      <c r="AI64" s="1171"/>
      <c r="AJ64" s="1171"/>
      <c r="AK64" s="1171"/>
      <c r="AL64" s="1171"/>
      <c r="AM64" s="1171"/>
    </row>
    <row r="65" spans="20:39" ht="14.25" customHeight="1">
      <c r="T65" s="1171"/>
      <c r="U65" s="1171"/>
      <c r="V65" s="1171"/>
      <c r="W65" s="1171"/>
      <c r="X65" s="1171"/>
      <c r="Y65" s="1171"/>
      <c r="Z65" s="1171"/>
      <c r="AA65" s="1171"/>
      <c r="AB65" s="1171"/>
      <c r="AC65" s="1171"/>
      <c r="AD65" s="1171"/>
      <c r="AE65" s="1171"/>
      <c r="AF65" s="1171"/>
      <c r="AG65" s="1171"/>
      <c r="AH65" s="1171"/>
      <c r="AI65" s="1171"/>
      <c r="AJ65" s="1171"/>
      <c r="AK65" s="1171"/>
      <c r="AL65" s="1171"/>
      <c r="AM65" s="1171"/>
    </row>
  </sheetData>
  <mergeCells count="113">
    <mergeCell ref="T60:AM60"/>
    <mergeCell ref="T61:AM61"/>
    <mergeCell ref="T63:AM63"/>
    <mergeCell ref="T64:AM64"/>
    <mergeCell ref="T65:AM65"/>
    <mergeCell ref="AA49:AA50"/>
    <mergeCell ref="AB49:AB50"/>
    <mergeCell ref="AC49:AC50"/>
    <mergeCell ref="AH49:AH50"/>
    <mergeCell ref="AI49:AI50"/>
    <mergeCell ref="AJ49:AJ50"/>
    <mergeCell ref="AK49:AK50"/>
    <mergeCell ref="AM49:AM51"/>
    <mergeCell ref="T59:AM59"/>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S32:T32"/>
    <mergeCell ref="V32:AB32"/>
    <mergeCell ref="AD32:AJ32"/>
    <mergeCell ref="S34:T34"/>
    <mergeCell ref="V34:AB34"/>
    <mergeCell ref="AD34:AJ34"/>
    <mergeCell ref="S35:T35"/>
    <mergeCell ref="V35:AB35"/>
    <mergeCell ref="AD35:AJ35"/>
    <mergeCell ref="S26:AJ26"/>
    <mergeCell ref="S27:AJ27"/>
    <mergeCell ref="S29:T29"/>
    <mergeCell ref="V29:AB29"/>
    <mergeCell ref="AD29:AJ29"/>
    <mergeCell ref="S30:T30"/>
    <mergeCell ref="V30:AB30"/>
    <mergeCell ref="AD30:AJ30"/>
    <mergeCell ref="S31:T31"/>
    <mergeCell ref="V31:AB31"/>
    <mergeCell ref="AD31:AJ31"/>
    <mergeCell ref="AC8:AC9"/>
    <mergeCell ref="AH8:AH9"/>
    <mergeCell ref="AI8:AI9"/>
    <mergeCell ref="AJ8:AJ9"/>
    <mergeCell ref="AK8:AK9"/>
    <mergeCell ref="AM8:AM10"/>
    <mergeCell ref="AH17:AH18"/>
    <mergeCell ref="AI17:AI18"/>
    <mergeCell ref="AJ17:AJ18"/>
    <mergeCell ref="AK17:AK18"/>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s>
  <dataValidations count="3">
    <dataValidation allowBlank="1" showInputMessage="1" showErrorMessage="1" prompt="Для выбора выполните двойной щелчок левой клавиши мыши по соответствующей ячейке." sqref="AA8 AC8 AI8 AK8 AI17 AK17 AA49 AC49 AI49 AK49">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H8 AJ8 AH17 AJ17 Z49 AB49 AH49 AJ49">
      <formula1>0</formula1>
      <formula2>0</formula2>
    </dataValidation>
    <dataValidation allowBlank="1" promptTitle="checkPeriodRange" sqref="Y9 AG9 AG18 Y50 AG50">
      <formula1>0</formula1>
      <formula2>0</formula2>
    </dataValidation>
  </dataValidations>
  <pageMargins left="0.7" right="0.7" top="0.625" bottom="0.625" header="0.3" footer="0.3"/>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V71"/>
  <sheetViews>
    <sheetView showGridLines="0" topLeftCell="R29" zoomScale="90" zoomScaleNormal="90" workbookViewId="0"/>
  </sheetViews>
  <sheetFormatPr defaultColWidth="10.5703125" defaultRowHeight="14.25"/>
  <cols>
    <col min="1" max="1" width="10.5703125" style="46" hidden="1"/>
    <col min="2" max="2" width="11" style="46" hidden="1" customWidth="1"/>
    <col min="3" max="3" width="10.5703125" style="46" hidden="1"/>
    <col min="4" max="4" width="11.85546875" style="46" hidden="1" customWidth="1"/>
    <col min="5" max="5" width="10" style="46" hidden="1" customWidth="1"/>
    <col min="6" max="6" width="8.7109375" style="46" hidden="1" customWidth="1"/>
    <col min="7" max="7" width="7.5703125" style="46" hidden="1" customWidth="1"/>
    <col min="8" max="8" width="11.42578125" style="46" hidden="1" customWidth="1"/>
    <col min="9" max="9" width="12" style="46" hidden="1" customWidth="1"/>
    <col min="10" max="10" width="9.85546875" style="46" hidden="1" customWidth="1"/>
    <col min="11" max="12" width="11.42578125" style="46" hidden="1" customWidth="1"/>
    <col min="13" max="13" width="19.140625" style="47" hidden="1" customWidth="1"/>
    <col min="14" max="15" width="12.28515625" style="56" hidden="1" customWidth="1"/>
    <col min="16" max="16" width="23.42578125" style="56" hidden="1" customWidth="1"/>
    <col min="17" max="17" width="3.7109375" style="56" hidden="1" customWidth="1"/>
    <col min="18" max="20" width="3.7109375" style="389" customWidth="1"/>
    <col min="21" max="21" width="12.7109375" style="254" customWidth="1"/>
    <col min="22" max="22" width="32" style="46" customWidth="1"/>
    <col min="23" max="23" width="0.140625" style="46" customWidth="1"/>
    <col min="24" max="28" width="21.7109375" style="46" hidden="1" customWidth="1"/>
    <col min="29" max="29" width="11.7109375" style="46" hidden="1" customWidth="1"/>
    <col min="30" max="30" width="3.7109375" style="46" hidden="1" customWidth="1"/>
    <col min="31" max="31" width="11.7109375" style="46" hidden="1" customWidth="1"/>
    <col min="32" max="32" width="8.5703125" style="46" hidden="1" customWidth="1"/>
    <col min="33" max="37" width="21.7109375" style="46" customWidth="1"/>
    <col min="38" max="38" width="11.7109375" style="46" customWidth="1"/>
    <col min="39" max="39" width="3.7109375" style="46" customWidth="1"/>
    <col min="40" max="40" width="11.7109375" style="46" customWidth="1"/>
    <col min="41" max="41" width="8.5703125" style="46" customWidth="1"/>
    <col min="42" max="42" width="4.7109375" style="46" customWidth="1"/>
    <col min="43" max="43" width="115.7109375" style="46" customWidth="1"/>
    <col min="44" max="45" width="10.5703125" style="53"/>
    <col min="46" max="46" width="11.140625" style="53" customWidth="1"/>
    <col min="47" max="48" width="10.5703125" style="53"/>
  </cols>
  <sheetData>
    <row r="1" spans="1:48" ht="14.25" hidden="1" customHeight="1"/>
    <row r="2" spans="1:48" ht="21" hidden="1" customHeight="1">
      <c r="A2" s="214"/>
      <c r="B2" s="214"/>
      <c r="C2" s="214"/>
      <c r="D2" s="214"/>
      <c r="E2" s="1176">
        <v>1</v>
      </c>
      <c r="F2" s="214"/>
      <c r="G2" s="214"/>
      <c r="H2" s="214"/>
      <c r="I2" s="214"/>
      <c r="J2" s="214"/>
      <c r="K2" s="214"/>
      <c r="L2" s="214"/>
      <c r="M2" s="468"/>
      <c r="N2" s="254"/>
      <c r="O2" s="254"/>
      <c r="P2" s="254"/>
      <c r="R2" s="134"/>
      <c r="S2" s="134"/>
      <c r="T2" s="393"/>
      <c r="U2" s="394" t="e">
        <f>INDEX(PT_DIFFERENTIATION_NUM_NTAR,MATCH(A2,PT_DIFFERENTIATION_NTAR_ID,0))</f>
        <v>#N/A</v>
      </c>
      <c r="V2" s="395" t="s">
        <v>119</v>
      </c>
      <c r="W2" s="396"/>
      <c r="X2" s="1154"/>
      <c r="Y2" s="1154"/>
      <c r="Z2" s="1154"/>
      <c r="AA2" s="1154"/>
      <c r="AB2" s="1154"/>
      <c r="AC2" s="1154"/>
      <c r="AD2" s="1154"/>
      <c r="AE2" s="1154"/>
      <c r="AF2" s="1154"/>
      <c r="AG2" s="1154" t="e">
        <f>INDEX(PT_DIFFERENTIATION_NTAR,MATCH(A2,PT_DIFFERENTIATION_NTAR_ID,0))</f>
        <v>#N/A</v>
      </c>
      <c r="AH2" s="1154"/>
      <c r="AI2" s="1154"/>
      <c r="AJ2" s="1154"/>
      <c r="AK2" s="1154"/>
      <c r="AL2" s="1154"/>
      <c r="AM2" s="1154"/>
      <c r="AN2" s="1154"/>
      <c r="AO2" s="1154"/>
      <c r="AP2" s="1154"/>
      <c r="AQ2" s="397" t="s">
        <v>385</v>
      </c>
      <c r="AS2" s="121"/>
      <c r="AT2" s="121" t="str">
        <f t="shared" ref="AT2:AT8" si="0">IF(V2="","",V2)</f>
        <v>Наименование тарифа</v>
      </c>
      <c r="AU2" s="121"/>
      <c r="AV2" s="121"/>
    </row>
    <row r="3" spans="1:48" ht="21" hidden="1" customHeight="1">
      <c r="A3" s="214"/>
      <c r="B3" s="214"/>
      <c r="C3" s="214"/>
      <c r="D3" s="214"/>
      <c r="E3" s="1176"/>
      <c r="F3" s="1176">
        <v>1</v>
      </c>
      <c r="G3" s="214"/>
      <c r="H3" s="214"/>
      <c r="I3" s="214"/>
      <c r="J3" s="214"/>
      <c r="K3" s="214"/>
      <c r="L3" s="214"/>
      <c r="M3" s="468"/>
      <c r="N3" s="254"/>
      <c r="O3" s="254"/>
      <c r="P3" s="254"/>
      <c r="Q3" s="47"/>
      <c r="R3" s="398"/>
      <c r="S3" s="46"/>
      <c r="T3" s="399"/>
      <c r="U3" s="394" t="e">
        <f>INDEX(PT_DIFFERENTIATION_NUM_TER,MATCH(B3,PT_DIFFERENTIATION_TER_ID,0))</f>
        <v>#N/A</v>
      </c>
      <c r="V3" s="400" t="s">
        <v>386</v>
      </c>
      <c r="W3" s="396"/>
      <c r="X3" s="1154"/>
      <c r="Y3" s="1154"/>
      <c r="Z3" s="1154"/>
      <c r="AA3" s="1154"/>
      <c r="AB3" s="1154"/>
      <c r="AC3" s="1154"/>
      <c r="AD3" s="1154"/>
      <c r="AE3" s="1154"/>
      <c r="AF3" s="1154"/>
      <c r="AG3" s="1154" t="e">
        <f>INDEX(PT_DIFFERENTIATION_TER,MATCH(B3,PT_DIFFERENTIATION_TER_ID,0))</f>
        <v>#N/A</v>
      </c>
      <c r="AH3" s="1154"/>
      <c r="AI3" s="1154"/>
      <c r="AJ3" s="1154"/>
      <c r="AK3" s="1154"/>
      <c r="AL3" s="1154"/>
      <c r="AM3" s="1154"/>
      <c r="AN3" s="1154"/>
      <c r="AO3" s="1154"/>
      <c r="AP3" s="1154"/>
      <c r="AQ3" s="397" t="s">
        <v>387</v>
      </c>
      <c r="AS3" s="121"/>
      <c r="AT3" s="121" t="str">
        <f t="shared" si="0"/>
        <v>Территория действия тарифа</v>
      </c>
      <c r="AU3" s="121"/>
      <c r="AV3" s="121"/>
    </row>
    <row r="4" spans="1:48" ht="22.5" hidden="1" customHeight="1">
      <c r="A4" s="214"/>
      <c r="B4" s="214"/>
      <c r="C4" s="214"/>
      <c r="D4" s="214"/>
      <c r="E4" s="1176"/>
      <c r="F4" s="1176"/>
      <c r="G4" s="1176">
        <v>1</v>
      </c>
      <c r="H4" s="214"/>
      <c r="I4" s="214"/>
      <c r="J4" s="214"/>
      <c r="K4" s="214"/>
      <c r="L4" s="214"/>
      <c r="M4" s="468"/>
      <c r="N4" s="254"/>
      <c r="O4" s="254"/>
      <c r="P4" s="254"/>
      <c r="Q4" s="401"/>
      <c r="R4" s="398"/>
      <c r="S4" s="46"/>
      <c r="T4" s="399"/>
      <c r="U4" s="394" t="e">
        <f>INDEX(PT_DIFFERENTIATION_NUM_CS,MATCH(C4,PT_DIFFERENTIATION_CS_ID,0))</f>
        <v>#N/A</v>
      </c>
      <c r="V4" s="402" t="s">
        <v>388</v>
      </c>
      <c r="W4" s="396"/>
      <c r="X4" s="1154"/>
      <c r="Y4" s="1154"/>
      <c r="Z4" s="1154"/>
      <c r="AA4" s="1154"/>
      <c r="AB4" s="1154"/>
      <c r="AC4" s="1154"/>
      <c r="AD4" s="1154"/>
      <c r="AE4" s="1154"/>
      <c r="AF4" s="1154"/>
      <c r="AG4" s="1154" t="e">
        <f>INDEX(PT_DIFFERENTIATION_CS,MATCH(C4,PT_DIFFERENTIATION_CS_ID,0))</f>
        <v>#N/A</v>
      </c>
      <c r="AH4" s="1154"/>
      <c r="AI4" s="1154"/>
      <c r="AJ4" s="1154"/>
      <c r="AK4" s="1154"/>
      <c r="AL4" s="1154"/>
      <c r="AM4" s="1154"/>
      <c r="AN4" s="1154"/>
      <c r="AO4" s="1154"/>
      <c r="AP4" s="1154"/>
      <c r="AQ4" s="397" t="s">
        <v>389</v>
      </c>
      <c r="AS4" s="121"/>
      <c r="AT4" s="121" t="str">
        <f t="shared" si="0"/>
        <v xml:space="preserve">Наименование системы теплоснабжения </v>
      </c>
      <c r="AU4" s="121"/>
      <c r="AV4" s="121"/>
    </row>
    <row r="5" spans="1:48" ht="21" hidden="1" customHeight="1">
      <c r="A5" s="214"/>
      <c r="B5" s="214"/>
      <c r="C5" s="214"/>
      <c r="D5" s="214"/>
      <c r="E5" s="1176"/>
      <c r="F5" s="1176"/>
      <c r="G5" s="1176"/>
      <c r="H5" s="1176">
        <v>1</v>
      </c>
      <c r="I5" s="214"/>
      <c r="J5" s="214"/>
      <c r="K5" s="214"/>
      <c r="L5" s="214"/>
      <c r="M5" s="468"/>
      <c r="N5" s="254"/>
      <c r="O5" s="254"/>
      <c r="P5" s="254"/>
      <c r="Q5" s="401"/>
      <c r="R5" s="398"/>
      <c r="S5" s="46"/>
      <c r="T5" s="399"/>
      <c r="U5" s="394" t="e">
        <f>INDEX(PT_DIFFERENTIATION_NUM_IST_TE,MATCH(D5,PT_DIFFERENTIATION_IST_TE_ID,0))</f>
        <v>#N/A</v>
      </c>
      <c r="V5" s="403" t="s">
        <v>390</v>
      </c>
      <c r="W5" s="396"/>
      <c r="X5" s="1154"/>
      <c r="Y5" s="1154"/>
      <c r="Z5" s="1154"/>
      <c r="AA5" s="1154"/>
      <c r="AB5" s="1154"/>
      <c r="AC5" s="1154"/>
      <c r="AD5" s="1154"/>
      <c r="AE5" s="1154"/>
      <c r="AF5" s="1154"/>
      <c r="AG5" s="1154" t="e">
        <f>INDEX(PT_DIFFERENTIATION_IST_TE,MATCH(D5,PT_DIFFERENTIATION_IST_TE_ID,0))</f>
        <v>#N/A</v>
      </c>
      <c r="AH5" s="1154"/>
      <c r="AI5" s="1154"/>
      <c r="AJ5" s="1154"/>
      <c r="AK5" s="1154"/>
      <c r="AL5" s="1154"/>
      <c r="AM5" s="1154"/>
      <c r="AN5" s="1154"/>
      <c r="AO5" s="1154"/>
      <c r="AP5" s="1154"/>
      <c r="AQ5" s="397" t="s">
        <v>391</v>
      </c>
      <c r="AS5" s="121"/>
      <c r="AT5" s="121" t="str">
        <f t="shared" si="0"/>
        <v xml:space="preserve">Источник тепловой энергии  </v>
      </c>
      <c r="AU5" s="121"/>
      <c r="AV5" s="121"/>
    </row>
    <row r="6" spans="1:48" ht="14.25" hidden="1" customHeight="1">
      <c r="A6" s="214"/>
      <c r="B6" s="214"/>
      <c r="C6" s="214"/>
      <c r="D6" s="214"/>
      <c r="E6" s="1176"/>
      <c r="F6" s="1176"/>
      <c r="G6" s="1176"/>
      <c r="H6" s="1176"/>
      <c r="I6" s="1087" t="e">
        <f>U5&amp;".1"</f>
        <v>#N/A</v>
      </c>
      <c r="J6" s="214"/>
      <c r="K6" s="214"/>
      <c r="L6" s="214"/>
      <c r="M6" s="468" t="s">
        <v>392</v>
      </c>
      <c r="N6" s="46"/>
      <c r="Q6" s="1156">
        <v>1</v>
      </c>
      <c r="R6" s="124"/>
      <c r="S6" s="124"/>
      <c r="T6" s="405"/>
      <c r="U6" s="280"/>
      <c r="V6" s="459"/>
      <c r="W6" s="460"/>
      <c r="X6" s="1175"/>
      <c r="Y6" s="1175"/>
      <c r="Z6" s="1175"/>
      <c r="AA6" s="1175"/>
      <c r="AB6" s="1175"/>
      <c r="AC6" s="1175"/>
      <c r="AD6" s="1175"/>
      <c r="AE6" s="1175"/>
      <c r="AF6" s="1175"/>
      <c r="AG6" s="1175"/>
      <c r="AH6" s="1175"/>
      <c r="AI6" s="1175"/>
      <c r="AJ6" s="1175"/>
      <c r="AK6" s="1175"/>
      <c r="AL6" s="1175"/>
      <c r="AM6" s="1175"/>
      <c r="AN6" s="1175"/>
      <c r="AO6" s="1175"/>
      <c r="AP6" s="1175"/>
      <c r="AQ6" s="461"/>
      <c r="AS6" s="121"/>
      <c r="AT6" s="121" t="str">
        <f t="shared" si="0"/>
        <v/>
      </c>
      <c r="AU6" s="121"/>
      <c r="AV6" s="121"/>
    </row>
    <row r="7" spans="1:48" ht="21" hidden="1" customHeight="1">
      <c r="A7" s="214"/>
      <c r="B7" s="214"/>
      <c r="C7" s="214"/>
      <c r="D7" s="214"/>
      <c r="E7" s="1176"/>
      <c r="F7" s="1176"/>
      <c r="G7" s="1176"/>
      <c r="H7" s="1176"/>
      <c r="I7" s="1087"/>
      <c r="J7" s="1087" t="e">
        <f>I6&amp;".1"</f>
        <v>#N/A</v>
      </c>
      <c r="K7" s="214"/>
      <c r="L7" s="214"/>
      <c r="M7" s="468" t="s">
        <v>395</v>
      </c>
      <c r="N7" s="46"/>
      <c r="O7" s="46"/>
      <c r="Q7" s="1156"/>
      <c r="R7" s="1156">
        <v>1</v>
      </c>
      <c r="S7" s="53"/>
      <c r="T7" s="408"/>
      <c r="U7" s="394" t="e">
        <f>$J7</f>
        <v>#N/A</v>
      </c>
      <c r="V7" s="409" t="s">
        <v>396</v>
      </c>
      <c r="W7" s="396"/>
      <c r="X7" s="1157"/>
      <c r="Y7" s="1157"/>
      <c r="Z7" s="1157"/>
      <c r="AA7" s="1157"/>
      <c r="AB7" s="1157"/>
      <c r="AC7" s="1157"/>
      <c r="AD7" s="1157"/>
      <c r="AE7" s="1157"/>
      <c r="AF7" s="1157"/>
      <c r="AG7" s="1157"/>
      <c r="AH7" s="1157"/>
      <c r="AI7" s="1157"/>
      <c r="AJ7" s="1157"/>
      <c r="AK7" s="1157"/>
      <c r="AL7" s="1157"/>
      <c r="AM7" s="1157"/>
      <c r="AN7" s="1157"/>
      <c r="AO7" s="1157"/>
      <c r="AP7" s="1157"/>
      <c r="AQ7" s="397" t="s">
        <v>397</v>
      </c>
      <c r="AS7" s="121"/>
      <c r="AT7" s="121" t="str">
        <f t="shared" si="0"/>
        <v>Группа потребителей</v>
      </c>
      <c r="AU7" s="121"/>
      <c r="AV7" s="121"/>
    </row>
    <row r="8" spans="1:48" ht="21" hidden="1" customHeight="1">
      <c r="A8" s="214"/>
      <c r="B8" s="214"/>
      <c r="C8" s="214"/>
      <c r="D8" s="214"/>
      <c r="E8" s="1176"/>
      <c r="F8" s="1176"/>
      <c r="G8" s="1176"/>
      <c r="H8" s="1176"/>
      <c r="I8" s="1087"/>
      <c r="J8" s="1087"/>
      <c r="K8" s="1087" t="e">
        <f>J7&amp;".1"</f>
        <v>#N/A</v>
      </c>
      <c r="L8" s="47"/>
      <c r="M8" s="468" t="s">
        <v>398</v>
      </c>
      <c r="N8" s="46"/>
      <c r="O8" s="46"/>
      <c r="P8" s="46"/>
      <c r="Q8" s="1156"/>
      <c r="R8" s="1156"/>
      <c r="S8" s="1156">
        <v>1</v>
      </c>
      <c r="T8" s="408"/>
      <c r="U8" s="394" t="e">
        <f>$K8</f>
        <v>#N/A</v>
      </c>
      <c r="V8" s="410"/>
      <c r="W8" s="396"/>
      <c r="X8" s="411"/>
      <c r="Y8" s="411"/>
      <c r="Z8" s="411"/>
      <c r="AA8" s="411"/>
      <c r="AB8" s="469"/>
      <c r="AC8" s="1158"/>
      <c r="AD8" s="1105" t="s">
        <v>63</v>
      </c>
      <c r="AE8" s="1158"/>
      <c r="AF8" s="1105" t="s">
        <v>63</v>
      </c>
      <c r="AG8" s="470"/>
      <c r="AH8" s="411"/>
      <c r="AI8" s="411"/>
      <c r="AJ8" s="411"/>
      <c r="AK8" s="413"/>
      <c r="AL8" s="1158"/>
      <c r="AM8" s="1105" t="s">
        <v>63</v>
      </c>
      <c r="AN8" s="1158"/>
      <c r="AO8" s="1105" t="s">
        <v>63</v>
      </c>
      <c r="AP8" s="412"/>
      <c r="AQ8" s="471" t="s">
        <v>437</v>
      </c>
      <c r="AR8" s="53" t="e">
        <f ca="1">strcheckdate(X10:AP10)</f>
        <v>#NAME?</v>
      </c>
      <c r="AS8" s="121"/>
      <c r="AT8" s="121" t="str">
        <f t="shared" si="0"/>
        <v/>
      </c>
      <c r="AU8" s="121"/>
      <c r="AV8" s="121"/>
    </row>
    <row r="9" spans="1:48" ht="21" hidden="1" customHeight="1">
      <c r="A9" s="214"/>
      <c r="B9" s="214"/>
      <c r="C9" s="214"/>
      <c r="D9" s="214"/>
      <c r="E9" s="1176"/>
      <c r="F9" s="1176"/>
      <c r="G9" s="1176"/>
      <c r="H9" s="1176"/>
      <c r="I9" s="1087"/>
      <c r="J9" s="1087"/>
      <c r="K9" s="1087"/>
      <c r="L9" s="1087" t="e">
        <f>K8&amp;".1"</f>
        <v>#N/A</v>
      </c>
      <c r="M9" s="468"/>
      <c r="N9" s="46"/>
      <c r="O9" s="46"/>
      <c r="P9" s="46"/>
      <c r="Q9" s="1156"/>
      <c r="R9" s="1156"/>
      <c r="S9" s="1156"/>
      <c r="T9" s="408"/>
      <c r="U9" s="394" t="e">
        <f>$L9</f>
        <v>#N/A</v>
      </c>
      <c r="V9" s="472"/>
      <c r="W9" s="396"/>
      <c r="X9" s="412"/>
      <c r="Y9" s="411"/>
      <c r="Z9" s="411"/>
      <c r="AA9" s="411"/>
      <c r="AB9" s="469"/>
      <c r="AC9" s="1158"/>
      <c r="AD9" s="1105"/>
      <c r="AE9" s="1158"/>
      <c r="AF9" s="1105"/>
      <c r="AG9" s="470"/>
      <c r="AH9" s="411"/>
      <c r="AI9" s="411"/>
      <c r="AJ9" s="411"/>
      <c r="AK9" s="413"/>
      <c r="AL9" s="1158"/>
      <c r="AM9" s="1105"/>
      <c r="AN9" s="1158"/>
      <c r="AO9" s="1105"/>
      <c r="AP9" s="412"/>
      <c r="AQ9" s="1159" t="s">
        <v>438</v>
      </c>
      <c r="AS9" s="121"/>
      <c r="AT9" s="121"/>
      <c r="AU9" s="121"/>
      <c r="AV9" s="121"/>
    </row>
    <row r="10" spans="1:48" ht="14.25" hidden="1" customHeight="1">
      <c r="A10" s="214"/>
      <c r="B10" s="214"/>
      <c r="C10" s="214"/>
      <c r="D10" s="214"/>
      <c r="E10" s="1176"/>
      <c r="F10" s="1176"/>
      <c r="G10" s="1176"/>
      <c r="H10" s="1176"/>
      <c r="I10" s="1087"/>
      <c r="J10" s="1087"/>
      <c r="K10" s="1087"/>
      <c r="L10" s="1087"/>
      <c r="M10" s="468"/>
      <c r="N10" s="46"/>
      <c r="O10" s="46"/>
      <c r="P10" s="46"/>
      <c r="Q10" s="1156"/>
      <c r="R10" s="1156"/>
      <c r="S10" s="1156"/>
      <c r="T10" s="408"/>
      <c r="U10" s="370"/>
      <c r="V10" s="396"/>
      <c r="W10" s="396"/>
      <c r="X10" s="412"/>
      <c r="Y10" s="412"/>
      <c r="Z10" s="412"/>
      <c r="AA10" s="412"/>
      <c r="AB10" s="473" t="str">
        <f>AC8&amp;"-"&amp;AE8</f>
        <v>-</v>
      </c>
      <c r="AC10" s="1158"/>
      <c r="AD10" s="1105"/>
      <c r="AE10" s="1158"/>
      <c r="AF10" s="1105"/>
      <c r="AG10" s="474"/>
      <c r="AH10" s="412"/>
      <c r="AI10" s="412"/>
      <c r="AJ10" s="412"/>
      <c r="AK10" s="415" t="str">
        <f>AL8&amp;"-"&amp;AN8</f>
        <v>-</v>
      </c>
      <c r="AL10" s="1158"/>
      <c r="AM10" s="1105"/>
      <c r="AN10" s="1158"/>
      <c r="AO10" s="1105"/>
      <c r="AP10" s="412"/>
      <c r="AQ10" s="1159"/>
      <c r="AS10" s="121"/>
      <c r="AT10" s="121" t="str">
        <f>IF(V10="","",V10)</f>
        <v/>
      </c>
      <c r="AU10" s="121"/>
      <c r="AV10" s="121"/>
    </row>
    <row r="11" spans="1:48" ht="11.25" hidden="1" customHeight="1">
      <c r="A11" s="214"/>
      <c r="B11" s="214"/>
      <c r="C11" s="214"/>
      <c r="D11" s="214"/>
      <c r="E11" s="1176"/>
      <c r="F11" s="1176"/>
      <c r="G11" s="1176"/>
      <c r="H11" s="1176"/>
      <c r="I11" s="1087"/>
      <c r="J11" s="1087"/>
      <c r="K11" s="1087"/>
      <c r="L11" s="214"/>
      <c r="M11" s="468"/>
      <c r="N11" s="46"/>
      <c r="O11" s="46"/>
      <c r="P11" s="46"/>
      <c r="Q11" s="1156"/>
      <c r="R11" s="1156"/>
      <c r="S11" s="1156"/>
      <c r="T11" s="408"/>
      <c r="U11" s="416"/>
      <c r="V11" s="417" t="s">
        <v>439</v>
      </c>
      <c r="W11" s="475"/>
      <c r="X11" s="476"/>
      <c r="Y11" s="476"/>
      <c r="Z11" s="476"/>
      <c r="AA11" s="476"/>
      <c r="AB11" s="477"/>
      <c r="AC11" s="1158"/>
      <c r="AD11" s="1105"/>
      <c r="AE11" s="1158"/>
      <c r="AF11" s="1105"/>
      <c r="AG11" s="476"/>
      <c r="AH11" s="476"/>
      <c r="AI11" s="476"/>
      <c r="AJ11" s="476"/>
      <c r="AK11" s="477"/>
      <c r="AL11" s="1158"/>
      <c r="AM11" s="1105"/>
      <c r="AN11" s="1158"/>
      <c r="AO11" s="1105"/>
      <c r="AP11" s="478"/>
      <c r="AQ11" s="1159"/>
      <c r="AS11" s="121"/>
      <c r="AT11" s="121"/>
      <c r="AU11" s="121"/>
      <c r="AV11" s="121"/>
    </row>
    <row r="12" spans="1:48" ht="15" hidden="1" customHeight="1">
      <c r="A12" s="214"/>
      <c r="B12" s="214"/>
      <c r="C12" s="214"/>
      <c r="D12" s="214"/>
      <c r="E12" s="1176"/>
      <c r="F12" s="1176"/>
      <c r="G12" s="1176"/>
      <c r="H12" s="1176"/>
      <c r="I12" s="1087"/>
      <c r="J12" s="1087"/>
      <c r="K12" s="214"/>
      <c r="L12" s="214"/>
      <c r="M12" s="468"/>
      <c r="N12" s="46"/>
      <c r="O12" s="46"/>
      <c r="Q12" s="1156"/>
      <c r="R12" s="1156"/>
      <c r="S12" s="124"/>
      <c r="T12" s="405"/>
      <c r="U12" s="416"/>
      <c r="V12" s="419" t="s">
        <v>400</v>
      </c>
      <c r="W12" s="186"/>
      <c r="X12" s="186"/>
      <c r="Y12" s="186"/>
      <c r="Z12" s="186"/>
      <c r="AA12" s="186"/>
      <c r="AB12" s="186"/>
      <c r="AC12" s="479"/>
      <c r="AD12" s="479"/>
      <c r="AE12" s="479"/>
      <c r="AF12" s="479"/>
      <c r="AG12" s="186"/>
      <c r="AH12" s="186"/>
      <c r="AI12" s="186"/>
      <c r="AJ12" s="186"/>
      <c r="AK12" s="186"/>
      <c r="AL12" s="186"/>
      <c r="AM12" s="186"/>
      <c r="AN12" s="186"/>
      <c r="AO12" s="186"/>
      <c r="AP12" s="418"/>
      <c r="AQ12" s="1159"/>
      <c r="AS12" s="121"/>
      <c r="AT12" s="121" t="str">
        <f t="shared" ref="AT12:AT17" si="1">IF(V12="","",V12)</f>
        <v>Добавить вид теплоносителя (параметры теплоносителя)</v>
      </c>
      <c r="AU12" s="121"/>
      <c r="AV12" s="121"/>
    </row>
    <row r="13" spans="1:48" ht="11.25" hidden="1" customHeight="1">
      <c r="A13" s="214"/>
      <c r="B13" s="214"/>
      <c r="C13" s="214"/>
      <c r="D13" s="214"/>
      <c r="E13" s="1176"/>
      <c r="F13" s="1176"/>
      <c r="G13" s="1176"/>
      <c r="H13" s="1176"/>
      <c r="I13" s="1087"/>
      <c r="J13" s="214"/>
      <c r="K13" s="214"/>
      <c r="L13" s="214"/>
      <c r="M13" s="468"/>
      <c r="N13" s="46"/>
      <c r="Q13" s="1156"/>
      <c r="R13" s="124"/>
      <c r="S13" s="124"/>
      <c r="T13" s="405"/>
      <c r="U13" s="416"/>
      <c r="V13" s="423" t="s">
        <v>401</v>
      </c>
      <c r="W13" s="186"/>
      <c r="X13" s="186"/>
      <c r="Y13" s="186"/>
      <c r="Z13" s="186"/>
      <c r="AA13" s="186"/>
      <c r="AB13" s="186"/>
      <c r="AC13" s="186"/>
      <c r="AD13" s="186"/>
      <c r="AE13" s="186"/>
      <c r="AF13" s="420"/>
      <c r="AG13" s="186"/>
      <c r="AH13" s="186"/>
      <c r="AI13" s="186"/>
      <c r="AJ13" s="186"/>
      <c r="AK13" s="186"/>
      <c r="AL13" s="186"/>
      <c r="AM13" s="186"/>
      <c r="AN13" s="186"/>
      <c r="AO13" s="420"/>
      <c r="AP13" s="186"/>
      <c r="AQ13" s="421"/>
      <c r="AS13" s="121"/>
      <c r="AT13" s="121" t="str">
        <f t="shared" si="1"/>
        <v>Добавить группу потребителей</v>
      </c>
      <c r="AU13" s="121"/>
      <c r="AV13" s="121"/>
    </row>
    <row r="14" spans="1:48" ht="14.25" hidden="1" customHeight="1">
      <c r="A14" s="214"/>
      <c r="B14" s="214"/>
      <c r="C14" s="214"/>
      <c r="D14" s="214"/>
      <c r="E14" s="1176"/>
      <c r="F14" s="1176"/>
      <c r="G14" s="1176"/>
      <c r="H14" s="1176"/>
      <c r="I14" s="214"/>
      <c r="J14" s="214"/>
      <c r="K14" s="214"/>
      <c r="L14" s="214"/>
      <c r="M14" s="468"/>
      <c r="N14" s="254"/>
      <c r="O14" s="254"/>
      <c r="P14" s="46"/>
      <c r="Q14" s="134"/>
      <c r="R14" s="422"/>
      <c r="S14" s="393"/>
      <c r="T14" s="134"/>
      <c r="U14" s="462"/>
      <c r="V14" s="463"/>
      <c r="W14" s="464"/>
      <c r="X14" s="464"/>
      <c r="Y14" s="464"/>
      <c r="Z14" s="464"/>
      <c r="AA14" s="464"/>
      <c r="AB14" s="464"/>
      <c r="AC14" s="464"/>
      <c r="AD14" s="464"/>
      <c r="AE14" s="464"/>
      <c r="AF14" s="464"/>
      <c r="AG14" s="464"/>
      <c r="AH14" s="464"/>
      <c r="AI14" s="464"/>
      <c r="AJ14" s="464"/>
      <c r="AK14" s="464"/>
      <c r="AL14" s="464"/>
      <c r="AM14" s="464"/>
      <c r="AN14" s="464"/>
      <c r="AO14" s="464"/>
      <c r="AP14" s="464"/>
      <c r="AQ14" s="465"/>
      <c r="AS14" s="121"/>
      <c r="AT14" s="121" t="str">
        <f t="shared" si="1"/>
        <v/>
      </c>
      <c r="AU14" s="121"/>
      <c r="AV14" s="121"/>
    </row>
    <row r="15" spans="1:48" s="53" customFormat="1" ht="14.25" hidden="1" customHeight="1">
      <c r="A15" s="480"/>
      <c r="B15" s="480"/>
      <c r="C15" s="480"/>
      <c r="D15" s="480"/>
      <c r="E15" s="1176"/>
      <c r="F15" s="1176"/>
      <c r="G15" s="1176"/>
      <c r="H15" s="480"/>
      <c r="I15" s="480"/>
      <c r="J15" s="480"/>
      <c r="K15" s="480"/>
      <c r="L15" s="480"/>
      <c r="M15" s="481"/>
      <c r="N15" s="482"/>
      <c r="O15" s="482"/>
      <c r="P15" s="123"/>
      <c r="Q15" s="158"/>
      <c r="R15" s="424"/>
      <c r="S15" s="158"/>
      <c r="T15" s="158"/>
      <c r="U15" s="425"/>
      <c r="V15" s="426" t="s">
        <v>403</v>
      </c>
      <c r="W15" s="427"/>
      <c r="X15" s="427"/>
      <c r="Y15" s="427"/>
      <c r="Z15" s="427"/>
      <c r="AA15" s="427"/>
      <c r="AB15" s="427"/>
      <c r="AC15" s="427"/>
      <c r="AD15" s="427"/>
      <c r="AE15" s="427"/>
      <c r="AF15" s="427"/>
      <c r="AG15" s="427"/>
      <c r="AH15" s="427"/>
      <c r="AI15" s="427"/>
      <c r="AJ15" s="427"/>
      <c r="AK15" s="427"/>
      <c r="AL15" s="427"/>
      <c r="AM15" s="427"/>
      <c r="AN15" s="427"/>
      <c r="AO15" s="427"/>
      <c r="AP15" s="427"/>
      <c r="AQ15" s="427"/>
      <c r="AS15" s="121"/>
      <c r="AT15" s="121" t="str">
        <f t="shared" si="1"/>
        <v>Добавить источник для дифференциации</v>
      </c>
      <c r="AU15" s="121"/>
      <c r="AV15" s="121"/>
    </row>
    <row r="16" spans="1:48" s="53" customFormat="1" ht="14.25" hidden="1" customHeight="1">
      <c r="A16" s="480"/>
      <c r="B16" s="480"/>
      <c r="C16" s="480"/>
      <c r="D16" s="480"/>
      <c r="E16" s="1176"/>
      <c r="F16" s="1176"/>
      <c r="G16" s="480"/>
      <c r="H16" s="480"/>
      <c r="I16" s="480"/>
      <c r="J16" s="480"/>
      <c r="K16" s="480"/>
      <c r="L16" s="480"/>
      <c r="M16" s="481"/>
      <c r="N16" s="483"/>
      <c r="O16" s="483"/>
      <c r="P16" s="123"/>
      <c r="Q16" s="158"/>
      <c r="R16" s="424"/>
      <c r="S16" s="158"/>
      <c r="T16" s="158"/>
      <c r="U16" s="429"/>
      <c r="V16" s="430" t="s">
        <v>253</v>
      </c>
      <c r="W16" s="431"/>
      <c r="X16" s="431"/>
      <c r="Y16" s="431"/>
      <c r="Z16" s="431"/>
      <c r="AA16" s="431"/>
      <c r="AB16" s="431"/>
      <c r="AC16" s="431"/>
      <c r="AD16" s="431"/>
      <c r="AE16" s="431"/>
      <c r="AF16" s="431"/>
      <c r="AG16" s="431"/>
      <c r="AH16" s="431"/>
      <c r="AI16" s="431"/>
      <c r="AJ16" s="431"/>
      <c r="AK16" s="431"/>
      <c r="AL16" s="431"/>
      <c r="AM16" s="431"/>
      <c r="AN16" s="431"/>
      <c r="AO16" s="431"/>
      <c r="AP16" s="431"/>
      <c r="AQ16" s="431"/>
      <c r="AS16" s="121"/>
      <c r="AT16" s="121" t="str">
        <f t="shared" si="1"/>
        <v>Добавить централизованную систему для дифференциации</v>
      </c>
      <c r="AU16" s="121"/>
      <c r="AV16" s="121"/>
    </row>
    <row r="17" spans="1:48" s="53" customFormat="1" ht="14.25" hidden="1" customHeight="1">
      <c r="A17" s="480"/>
      <c r="B17" s="480"/>
      <c r="C17" s="480"/>
      <c r="D17" s="480"/>
      <c r="E17" s="1176"/>
      <c r="F17" s="480"/>
      <c r="G17" s="480"/>
      <c r="H17" s="480"/>
      <c r="I17" s="480"/>
      <c r="J17" s="480"/>
      <c r="K17" s="480"/>
      <c r="L17" s="480"/>
      <c r="M17" s="481"/>
      <c r="N17" s="483"/>
      <c r="O17" s="483"/>
      <c r="P17" s="123"/>
      <c r="Q17" s="158"/>
      <c r="R17" s="424"/>
      <c r="S17" s="158"/>
      <c r="T17" s="158"/>
      <c r="U17" s="429"/>
      <c r="V17" s="432" t="s">
        <v>254</v>
      </c>
      <c r="W17" s="431"/>
      <c r="X17" s="431"/>
      <c r="Y17" s="431"/>
      <c r="Z17" s="431"/>
      <c r="AA17" s="431"/>
      <c r="AB17" s="431"/>
      <c r="AC17" s="431"/>
      <c r="AD17" s="431"/>
      <c r="AE17" s="431"/>
      <c r="AF17" s="431"/>
      <c r="AG17" s="431"/>
      <c r="AH17" s="431"/>
      <c r="AI17" s="431"/>
      <c r="AJ17" s="431"/>
      <c r="AK17" s="431"/>
      <c r="AL17" s="431"/>
      <c r="AM17" s="431"/>
      <c r="AN17" s="431"/>
      <c r="AO17" s="431"/>
      <c r="AP17" s="431"/>
      <c r="AQ17" s="431"/>
      <c r="AS17" s="121"/>
      <c r="AT17" s="121" t="str">
        <f t="shared" si="1"/>
        <v>Добавить территорию для дифференциации</v>
      </c>
      <c r="AU17" s="121"/>
      <c r="AV17" s="121"/>
    </row>
    <row r="18" spans="1:48" ht="14.25" hidden="1" customHeight="1"/>
    <row r="19" spans="1:48" ht="14.25" hidden="1" customHeight="1">
      <c r="AG19" s="433"/>
      <c r="AH19" s="433"/>
      <c r="AI19" s="433"/>
      <c r="AJ19" s="433"/>
      <c r="AK19" s="434"/>
      <c r="AL19" s="1160"/>
      <c r="AM19" s="1161" t="s">
        <v>63</v>
      </c>
      <c r="AN19" s="1160"/>
      <c r="AO19" s="1161" t="s">
        <v>63</v>
      </c>
    </row>
    <row r="20" spans="1:48" ht="14.25" hidden="1" customHeight="1">
      <c r="AG20" s="433"/>
      <c r="AH20" s="433"/>
      <c r="AI20" s="433"/>
      <c r="AJ20" s="433"/>
      <c r="AK20" s="434"/>
      <c r="AL20" s="1160"/>
      <c r="AM20" s="1161"/>
      <c r="AN20" s="1160"/>
      <c r="AO20" s="1161"/>
    </row>
    <row r="21" spans="1:48" ht="14.25" hidden="1" customHeight="1">
      <c r="AG21" s="433"/>
      <c r="AH21" s="433"/>
      <c r="AI21" s="433"/>
      <c r="AJ21" s="433"/>
      <c r="AK21" s="434"/>
      <c r="AL21" s="1160"/>
      <c r="AM21" s="1161"/>
      <c r="AN21" s="1160"/>
      <c r="AO21" s="1161"/>
    </row>
    <row r="22" spans="1:48" ht="14.25" hidden="1" customHeight="1">
      <c r="AG22" s="433"/>
      <c r="AH22" s="433"/>
      <c r="AI22" s="433"/>
      <c r="AJ22" s="433"/>
      <c r="AK22" s="415" t="str">
        <f>AL19&amp;"-"&amp;AN19</f>
        <v>-</v>
      </c>
      <c r="AL22" s="1160"/>
      <c r="AM22" s="1160"/>
      <c r="AN22" s="1160"/>
      <c r="AO22" s="1160"/>
    </row>
    <row r="23" spans="1:48" ht="14.25" hidden="1" customHeight="1"/>
    <row r="24" spans="1:48" s="49" customFormat="1" ht="22.5" hidden="1" customHeight="1">
      <c r="A24" s="46"/>
      <c r="B24" s="46"/>
      <c r="C24" s="46"/>
      <c r="D24" s="46"/>
      <c r="E24" s="46"/>
      <c r="F24" s="46"/>
      <c r="G24" s="46"/>
      <c r="H24" s="46"/>
      <c r="I24" s="46"/>
      <c r="J24" s="46"/>
      <c r="K24" s="46"/>
      <c r="L24" s="46"/>
      <c r="M24" s="47"/>
      <c r="N24" s="56"/>
      <c r="O24" s="56"/>
      <c r="P24" s="484" t="s">
        <v>404</v>
      </c>
      <c r="Q24" s="57"/>
      <c r="R24" s="436"/>
      <c r="S24" s="436"/>
      <c r="T24" s="436"/>
      <c r="U24" s="392"/>
      <c r="AC24" s="435"/>
      <c r="AE24" s="435"/>
      <c r="AL24" s="435"/>
      <c r="AN24" s="435"/>
      <c r="AR24" s="53"/>
      <c r="AS24" s="53"/>
      <c r="AT24" s="53"/>
      <c r="AU24" s="53"/>
      <c r="AV24" s="53"/>
    </row>
    <row r="25" spans="1:48" s="49" customFormat="1" ht="14.25" hidden="1" customHeight="1">
      <c r="A25" s="46"/>
      <c r="B25" s="46"/>
      <c r="C25" s="46"/>
      <c r="D25" s="46"/>
      <c r="E25" s="46"/>
      <c r="F25" s="46"/>
      <c r="G25" s="46"/>
      <c r="H25" s="46"/>
      <c r="I25" s="46"/>
      <c r="J25" s="46"/>
      <c r="K25" s="46"/>
      <c r="L25" s="46"/>
      <c r="M25" s="47"/>
      <c r="N25" s="56"/>
      <c r="O25" s="56"/>
      <c r="P25" s="56"/>
      <c r="Q25" s="57"/>
      <c r="R25" s="436"/>
      <c r="S25" s="436"/>
      <c r="T25" s="436"/>
      <c r="U25" s="392"/>
      <c r="AR25" s="53"/>
      <c r="AS25" s="53"/>
      <c r="AT25" s="53"/>
      <c r="AU25" s="53"/>
      <c r="AV25" s="53"/>
    </row>
    <row r="26" spans="1:48" s="49" customFormat="1" ht="14.25" hidden="1" customHeight="1">
      <c r="A26" s="46"/>
      <c r="B26" s="46"/>
      <c r="C26" s="46"/>
      <c r="D26" s="46"/>
      <c r="E26" s="46"/>
      <c r="F26" s="46"/>
      <c r="G26" s="46"/>
      <c r="H26" s="46"/>
      <c r="I26" s="46"/>
      <c r="J26" s="46"/>
      <c r="K26" s="46"/>
      <c r="L26" s="46"/>
      <c r="M26" s="47"/>
      <c r="N26" s="56"/>
      <c r="O26" s="56"/>
      <c r="P26" s="468" t="s">
        <v>405</v>
      </c>
      <c r="Q26" s="57"/>
      <c r="R26" s="436"/>
      <c r="S26" s="436"/>
      <c r="T26" s="436"/>
      <c r="U26" s="392"/>
      <c r="V26" s="49" t="s">
        <v>406</v>
      </c>
      <c r="AD26" s="142" t="s">
        <v>407</v>
      </c>
      <c r="AF26" s="142" t="s">
        <v>408</v>
      </c>
      <c r="AG26" s="49" t="s">
        <v>406</v>
      </c>
      <c r="AM26" s="142" t="s">
        <v>409</v>
      </c>
      <c r="AO26" s="142" t="s">
        <v>408</v>
      </c>
      <c r="AR26" s="53"/>
      <c r="AS26" s="53"/>
      <c r="AT26" s="53"/>
      <c r="AU26" s="53"/>
      <c r="AV26" s="53"/>
    </row>
    <row r="27" spans="1:48" ht="14.25" hidden="1" customHeight="1">
      <c r="P27" s="468"/>
    </row>
    <row r="28" spans="1:48" ht="14.25" hidden="1" customHeight="1">
      <c r="P28" s="468"/>
    </row>
    <row r="29" spans="1:48" ht="14.25" customHeight="1">
      <c r="R29" s="437"/>
      <c r="S29" s="437"/>
      <c r="T29" s="437"/>
      <c r="U29" s="438"/>
      <c r="V29" s="83"/>
      <c r="W29" s="83"/>
    </row>
    <row r="30" spans="1:48" ht="54" customHeight="1">
      <c r="R30" s="437"/>
      <c r="S30" s="437"/>
      <c r="T30" s="437"/>
      <c r="U30" s="110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106"/>
      <c r="W30" s="1106"/>
      <c r="X30" s="1106"/>
      <c r="Y30" s="1106"/>
      <c r="Z30" s="1106"/>
      <c r="AA30" s="1106"/>
      <c r="AB30" s="1106"/>
      <c r="AC30" s="1106"/>
      <c r="AD30" s="1106"/>
      <c r="AE30" s="1106"/>
      <c r="AF30" s="1106"/>
      <c r="AG30" s="1106"/>
      <c r="AH30" s="1106"/>
      <c r="AI30" s="1106"/>
      <c r="AJ30" s="1106"/>
      <c r="AK30" s="1106"/>
      <c r="AL30" s="1106"/>
      <c r="AM30" s="1106"/>
      <c r="AN30" s="1106"/>
      <c r="AO30" s="201"/>
    </row>
    <row r="31" spans="1:48" ht="14.25" customHeight="1">
      <c r="R31" s="437"/>
      <c r="S31" s="437"/>
      <c r="T31" s="437"/>
      <c r="U31" s="1127" t="str">
        <f>IF(org=0,"Не определено",org)</f>
        <v>Филиал ПАО "ОГК-2" - Серовская ГРЭС, г. Серов</v>
      </c>
      <c r="V31" s="1127"/>
      <c r="W31" s="1127"/>
      <c r="X31" s="1127"/>
      <c r="Y31" s="1127"/>
      <c r="Z31" s="1127"/>
      <c r="AA31" s="1127"/>
      <c r="AB31" s="1127"/>
      <c r="AC31" s="1127"/>
      <c r="AD31" s="1127"/>
      <c r="AE31" s="1127"/>
      <c r="AF31" s="1127"/>
      <c r="AG31" s="1127"/>
      <c r="AH31" s="1127"/>
      <c r="AI31" s="1127"/>
      <c r="AJ31" s="1127"/>
      <c r="AK31" s="1127"/>
      <c r="AL31" s="1127"/>
      <c r="AM31" s="1127"/>
      <c r="AN31" s="1127"/>
      <c r="AO31" s="201"/>
    </row>
    <row r="32" spans="1:48" ht="14.25" customHeight="1">
      <c r="R32" s="437"/>
      <c r="S32" s="437"/>
      <c r="T32" s="437"/>
      <c r="U32" s="438"/>
      <c r="V32" s="83"/>
      <c r="W32" s="83"/>
      <c r="X32" s="439"/>
      <c r="Y32" s="439"/>
      <c r="Z32" s="439"/>
      <c r="AA32" s="439"/>
      <c r="AB32" s="439"/>
      <c r="AC32" s="439"/>
      <c r="AD32" s="439"/>
      <c r="AE32" s="439"/>
      <c r="AF32" s="439"/>
      <c r="AG32" s="439"/>
      <c r="AH32" s="439"/>
      <c r="AI32" s="439"/>
      <c r="AJ32" s="439"/>
      <c r="AK32" s="439"/>
      <c r="AL32" s="439"/>
      <c r="AM32" s="439"/>
      <c r="AN32" s="439"/>
      <c r="AO32" s="439"/>
    </row>
    <row r="33" spans="1:48" s="174" customFormat="1" ht="25.5" customHeight="1">
      <c r="A33" s="100"/>
      <c r="B33" s="100"/>
      <c r="C33" s="100"/>
      <c r="D33" s="100"/>
      <c r="E33" s="100"/>
      <c r="F33" s="100"/>
      <c r="G33" s="100"/>
      <c r="H33" s="100"/>
      <c r="I33" s="100"/>
      <c r="J33" s="100"/>
      <c r="K33" s="100"/>
      <c r="L33" s="100"/>
      <c r="M33" s="468"/>
      <c r="N33" s="100"/>
      <c r="O33" s="100"/>
      <c r="P33" s="100"/>
      <c r="U33" s="1162" t="s">
        <v>37</v>
      </c>
      <c r="V33" s="1162"/>
      <c r="W33" s="441"/>
      <c r="X33" s="1163" t="str">
        <f>IF(TITLE_NAME_OR_PR_CHANGE="",IF(TITLE_NAME_OR_PR="","",TITLE_NAME_OR_PR),TITLE_NAME_OR_PR_CHANGE)</f>
        <v>Региональная энергетическая комиссия Свердловской области</v>
      </c>
      <c r="Y33" s="1163"/>
      <c r="Z33" s="1163"/>
      <c r="AA33" s="1163"/>
      <c r="AB33" s="1163"/>
      <c r="AC33" s="1163"/>
      <c r="AD33" s="1163"/>
      <c r="AE33" s="1163"/>
      <c r="AF33" s="46"/>
      <c r="AG33" s="1163" t="str">
        <f>IF(TITLE_NAME_OR_PR_CHANGE="",IF(TITLE_NAME_OR_PR="","",TITLE_NAME_OR_PR),TITLE_NAME_OR_PR_CHANGE)</f>
        <v>Региональная энергетическая комиссия Свердловской области</v>
      </c>
      <c r="AH33" s="1163"/>
      <c r="AI33" s="1163"/>
      <c r="AJ33" s="1163"/>
      <c r="AK33" s="1163"/>
      <c r="AL33" s="1163"/>
      <c r="AM33" s="1163"/>
      <c r="AN33" s="1163"/>
      <c r="AO33" s="46"/>
      <c r="AP33" s="46"/>
      <c r="AQ33" s="442"/>
      <c r="AR33" s="121"/>
      <c r="AS33" s="121"/>
      <c r="AT33" s="121"/>
      <c r="AU33" s="121"/>
      <c r="AV33" s="121"/>
    </row>
    <row r="34" spans="1:48" s="174" customFormat="1" ht="18.75" customHeight="1">
      <c r="A34" s="100"/>
      <c r="B34" s="100"/>
      <c r="C34" s="100"/>
      <c r="D34" s="100"/>
      <c r="E34" s="100"/>
      <c r="F34" s="100"/>
      <c r="G34" s="100"/>
      <c r="H34" s="100"/>
      <c r="I34" s="100"/>
      <c r="J34" s="100"/>
      <c r="K34" s="100"/>
      <c r="L34" s="100"/>
      <c r="M34" s="468"/>
      <c r="N34" s="100"/>
      <c r="O34" s="100"/>
      <c r="P34" s="100"/>
      <c r="U34" s="1162" t="s">
        <v>410</v>
      </c>
      <c r="V34" s="1162"/>
      <c r="W34" s="441"/>
      <c r="X34" s="1164">
        <f>IF(TITLE_DATE_PR_CHANGE="",IF(TITLE_DATE_PR="","",TITLE_DATE_PR),TITLE_DATE_PR_CHANGE)</f>
        <v>45266.462974536997</v>
      </c>
      <c r="Y34" s="1164"/>
      <c r="Z34" s="1164"/>
      <c r="AA34" s="1164"/>
      <c r="AB34" s="1164"/>
      <c r="AC34" s="1164"/>
      <c r="AD34" s="1164"/>
      <c r="AE34" s="1164"/>
      <c r="AF34" s="46"/>
      <c r="AG34" s="1164">
        <f>IF(TITLE_DATE_PR_CHANGE="",IF(TITLE_DATE_PR="","",TITLE_DATE_PR),TITLE_DATE_PR_CHANGE)</f>
        <v>45266.462974536997</v>
      </c>
      <c r="AH34" s="1164"/>
      <c r="AI34" s="1164"/>
      <c r="AJ34" s="1164"/>
      <c r="AK34" s="1164"/>
      <c r="AL34" s="1164"/>
      <c r="AM34" s="1164"/>
      <c r="AN34" s="1164"/>
      <c r="AO34" s="46"/>
      <c r="AP34" s="46"/>
      <c r="AQ34" s="442"/>
      <c r="AR34" s="121"/>
      <c r="AS34" s="121"/>
      <c r="AT34" s="121"/>
      <c r="AU34" s="121"/>
      <c r="AV34" s="121"/>
    </row>
    <row r="35" spans="1:48" s="174" customFormat="1" ht="18.75" customHeight="1">
      <c r="A35" s="100"/>
      <c r="B35" s="100"/>
      <c r="C35" s="100"/>
      <c r="D35" s="100"/>
      <c r="E35" s="100"/>
      <c r="F35" s="100"/>
      <c r="G35" s="100"/>
      <c r="H35" s="100"/>
      <c r="I35" s="100"/>
      <c r="J35" s="100"/>
      <c r="K35" s="100"/>
      <c r="L35" s="100"/>
      <c r="M35" s="468"/>
      <c r="N35" s="100"/>
      <c r="O35" s="100"/>
      <c r="P35" s="100"/>
      <c r="U35" s="1162" t="s">
        <v>411</v>
      </c>
      <c r="V35" s="1162"/>
      <c r="W35" s="441"/>
      <c r="X35" s="1163" t="str">
        <f>IF(TITLE_NUMBER_PR_CHANGE="",IF(TITLE_NUMBER_PR="","",TITLE_NUMBER_PR),TITLE_NUMBER_PR_CHANGE)</f>
        <v>216-ПК</v>
      </c>
      <c r="Y35" s="1163"/>
      <c r="Z35" s="1163"/>
      <c r="AA35" s="1163"/>
      <c r="AB35" s="1163"/>
      <c r="AC35" s="1163"/>
      <c r="AD35" s="1163"/>
      <c r="AE35" s="1163"/>
      <c r="AF35" s="46"/>
      <c r="AG35" s="1163" t="str">
        <f>IF(TITLE_NUMBER_PR_CHANGE="",IF(TITLE_NUMBER_PR="","",TITLE_NUMBER_PR),TITLE_NUMBER_PR_CHANGE)</f>
        <v>216-ПК</v>
      </c>
      <c r="AH35" s="1163"/>
      <c r="AI35" s="1163"/>
      <c r="AJ35" s="1163"/>
      <c r="AK35" s="1163"/>
      <c r="AL35" s="1163"/>
      <c r="AM35" s="1163"/>
      <c r="AN35" s="1163"/>
      <c r="AO35" s="46"/>
      <c r="AP35" s="46"/>
      <c r="AQ35" s="442"/>
      <c r="AR35" s="121"/>
      <c r="AS35" s="121"/>
      <c r="AT35" s="121"/>
      <c r="AU35" s="121"/>
      <c r="AV35" s="121"/>
    </row>
    <row r="36" spans="1:48" s="174" customFormat="1" ht="18.75" customHeight="1">
      <c r="A36" s="100"/>
      <c r="B36" s="100"/>
      <c r="C36" s="100"/>
      <c r="D36" s="100"/>
      <c r="E36" s="100"/>
      <c r="F36" s="100"/>
      <c r="G36" s="100"/>
      <c r="H36" s="100"/>
      <c r="I36" s="100"/>
      <c r="J36" s="100"/>
      <c r="K36" s="100"/>
      <c r="L36" s="100"/>
      <c r="M36" s="468"/>
      <c r="N36" s="100"/>
      <c r="O36" s="100"/>
      <c r="P36" s="100"/>
      <c r="U36" s="1162" t="s">
        <v>39</v>
      </c>
      <c r="V36" s="1162"/>
      <c r="W36" s="441"/>
      <c r="X36" s="1163" t="str">
        <f>IF(TITLE_IST_PUB_CHANGE="",IF(TITLE_IST_PUB="","",TITLE_IST_PUB),TITLE_IST_PUB_CHANGE)</f>
        <v>Региональная энергетическая комиссия Свердловской области</v>
      </c>
      <c r="Y36" s="1163"/>
      <c r="Z36" s="1163"/>
      <c r="AA36" s="1163"/>
      <c r="AB36" s="1163"/>
      <c r="AC36" s="1163"/>
      <c r="AD36" s="1163"/>
      <c r="AE36" s="1163"/>
      <c r="AF36" s="46"/>
      <c r="AG36" s="1163" t="str">
        <f>IF(TITLE_IST_PUB_CHANGE="",IF(TITLE_IST_PUB="","",TITLE_IST_PUB),TITLE_IST_PUB_CHANGE)</f>
        <v>Региональная энергетическая комиссия Свердловской области</v>
      </c>
      <c r="AH36" s="1163"/>
      <c r="AI36" s="1163"/>
      <c r="AJ36" s="1163"/>
      <c r="AK36" s="1163"/>
      <c r="AL36" s="1163"/>
      <c r="AM36" s="1163"/>
      <c r="AN36" s="1163"/>
      <c r="AO36" s="46"/>
      <c r="AP36" s="46"/>
      <c r="AQ36" s="442"/>
      <c r="AR36" s="121"/>
      <c r="AS36" s="121"/>
      <c r="AT36" s="121"/>
      <c r="AU36" s="121"/>
      <c r="AV36" s="121"/>
    </row>
    <row r="37" spans="1:48" ht="14.25" hidden="1" customHeight="1">
      <c r="R37" s="437"/>
      <c r="S37" s="437"/>
      <c r="T37" s="437"/>
      <c r="U37" s="438"/>
      <c r="V37" s="83"/>
      <c r="W37" s="83"/>
      <c r="X37" s="439"/>
      <c r="Y37" s="439"/>
      <c r="Z37" s="439"/>
      <c r="AA37" s="439"/>
      <c r="AB37" s="439"/>
      <c r="AC37" s="439"/>
      <c r="AD37" s="439"/>
      <c r="AE37" s="439"/>
      <c r="AF37" s="439"/>
      <c r="AG37" s="439"/>
      <c r="AH37" s="439"/>
      <c r="AI37" s="439"/>
      <c r="AJ37" s="439"/>
      <c r="AK37" s="439"/>
      <c r="AL37" s="439"/>
      <c r="AM37" s="439"/>
      <c r="AN37" s="439"/>
      <c r="AO37" s="439"/>
    </row>
    <row r="38" spans="1:48" s="174" customFormat="1" ht="18.75" hidden="1" customHeight="1">
      <c r="A38" s="100"/>
      <c r="B38" s="100"/>
      <c r="C38" s="100"/>
      <c r="D38" s="100"/>
      <c r="E38" s="100"/>
      <c r="F38" s="100"/>
      <c r="G38" s="100"/>
      <c r="H38" s="100"/>
      <c r="I38" s="100"/>
      <c r="J38" s="100"/>
      <c r="K38" s="100"/>
      <c r="L38" s="100"/>
      <c r="M38" s="468"/>
      <c r="N38" s="100"/>
      <c r="O38" s="100"/>
      <c r="P38" s="100"/>
      <c r="U38" s="1162" t="s">
        <v>412</v>
      </c>
      <c r="V38" s="1162"/>
      <c r="W38" s="441"/>
      <c r="X38" s="1164">
        <f>IF(TITLE_DATE_PR_CHANGE="",IF(TITLE_DATE_PR="","",TITLE_DATE_PR),TITLE_DATE_PR_CHANGE)</f>
        <v>45266.462974536997</v>
      </c>
      <c r="Y38" s="1164"/>
      <c r="Z38" s="1164"/>
      <c r="AA38" s="1164"/>
      <c r="AB38" s="1164"/>
      <c r="AC38" s="1164"/>
      <c r="AD38" s="1164"/>
      <c r="AE38" s="1164"/>
      <c r="AF38" s="46"/>
      <c r="AG38" s="1164">
        <f>IF(TITLE_DATE_PR_CHANGE="",IF(TITLE_DATE_PR="","",TITLE_DATE_PR),TITLE_DATE_PR_CHANGE)</f>
        <v>45266.462974536997</v>
      </c>
      <c r="AH38" s="1164"/>
      <c r="AI38" s="1164"/>
      <c r="AJ38" s="1164"/>
      <c r="AK38" s="1164"/>
      <c r="AL38" s="1164"/>
      <c r="AM38" s="1164"/>
      <c r="AN38" s="1164"/>
      <c r="AO38" s="46"/>
      <c r="AP38" s="46"/>
      <c r="AQ38" s="442"/>
      <c r="AR38" s="121"/>
      <c r="AS38" s="121"/>
      <c r="AT38" s="121"/>
      <c r="AU38" s="121"/>
      <c r="AV38" s="121"/>
    </row>
    <row r="39" spans="1:48" s="174" customFormat="1" ht="18.75" hidden="1" customHeight="1">
      <c r="A39" s="100"/>
      <c r="B39" s="100"/>
      <c r="C39" s="100"/>
      <c r="D39" s="100"/>
      <c r="E39" s="100"/>
      <c r="F39" s="100"/>
      <c r="G39" s="100"/>
      <c r="H39" s="100"/>
      <c r="I39" s="100"/>
      <c r="J39" s="100"/>
      <c r="K39" s="100"/>
      <c r="L39" s="100"/>
      <c r="M39" s="468"/>
      <c r="N39" s="100"/>
      <c r="O39" s="100"/>
      <c r="P39" s="100"/>
      <c r="U39" s="1162" t="s">
        <v>413</v>
      </c>
      <c r="V39" s="1162"/>
      <c r="W39" s="441"/>
      <c r="X39" s="1163" t="str">
        <f>IF(TITLE_NUMBER_PR_CHANGE="",IF(TITLE_NUMBER_PR="","",TITLE_NUMBER_PR),TITLE_NUMBER_PR_CHANGE)</f>
        <v>216-ПК</v>
      </c>
      <c r="Y39" s="1163"/>
      <c r="Z39" s="1163"/>
      <c r="AA39" s="1163"/>
      <c r="AB39" s="1163"/>
      <c r="AC39" s="1163"/>
      <c r="AD39" s="1163"/>
      <c r="AE39" s="1163"/>
      <c r="AF39" s="46"/>
      <c r="AG39" s="1163" t="str">
        <f>IF(TITLE_NUMBER_PR_CHANGE="",IF(TITLE_NUMBER_PR="","",TITLE_NUMBER_PR),TITLE_NUMBER_PR_CHANGE)</f>
        <v>216-ПК</v>
      </c>
      <c r="AH39" s="1163"/>
      <c r="AI39" s="1163"/>
      <c r="AJ39" s="1163"/>
      <c r="AK39" s="1163"/>
      <c r="AL39" s="1163"/>
      <c r="AM39" s="1163"/>
      <c r="AN39" s="1163"/>
      <c r="AO39" s="46"/>
      <c r="AP39" s="46"/>
      <c r="AQ39" s="442"/>
      <c r="AR39" s="121"/>
      <c r="AS39" s="121"/>
      <c r="AT39" s="121"/>
      <c r="AU39" s="121"/>
      <c r="AV39" s="121"/>
    </row>
    <row r="40" spans="1:48" s="174" customFormat="1" ht="11.25">
      <c r="A40" s="100"/>
      <c r="B40" s="100"/>
      <c r="C40" s="100"/>
      <c r="D40" s="100"/>
      <c r="E40" s="100"/>
      <c r="F40" s="100"/>
      <c r="G40" s="100"/>
      <c r="H40" s="100"/>
      <c r="I40" s="100"/>
      <c r="J40" s="100"/>
      <c r="K40" s="100"/>
      <c r="L40" s="100"/>
      <c r="M40" s="468"/>
      <c r="N40" s="100"/>
      <c r="O40" s="100"/>
      <c r="P40" s="100"/>
      <c r="U40" s="46"/>
      <c r="V40" s="46"/>
      <c r="W40" s="131"/>
      <c r="X40" s="46"/>
      <c r="Y40" s="46"/>
      <c r="Z40" s="46"/>
      <c r="AA40" s="46"/>
      <c r="AB40" s="46"/>
      <c r="AC40" s="46"/>
      <c r="AD40" s="46"/>
      <c r="AE40" s="46"/>
      <c r="AF40" s="53" t="s">
        <v>414</v>
      </c>
      <c r="AG40" s="46"/>
      <c r="AH40" s="46"/>
      <c r="AI40" s="46"/>
      <c r="AJ40" s="46"/>
      <c r="AK40" s="46"/>
      <c r="AL40" s="46"/>
      <c r="AM40" s="46"/>
      <c r="AN40" s="46"/>
      <c r="AO40" s="53" t="s">
        <v>414</v>
      </c>
      <c r="AR40" s="121"/>
      <c r="AS40" s="121"/>
      <c r="AT40" s="121"/>
      <c r="AU40" s="121"/>
      <c r="AV40" s="121"/>
    </row>
    <row r="41" spans="1:48" ht="14.25" customHeight="1">
      <c r="R41" s="437"/>
      <c r="S41" s="437"/>
      <c r="T41" s="437"/>
      <c r="U41" s="438"/>
      <c r="V41" s="83"/>
      <c r="W41" s="443"/>
      <c r="X41" s="1165"/>
      <c r="Y41" s="1165"/>
      <c r="Z41" s="1165"/>
      <c r="AA41" s="1165"/>
      <c r="AB41" s="1165"/>
      <c r="AC41" s="1165"/>
      <c r="AD41" s="1165"/>
      <c r="AE41" s="1165"/>
      <c r="AF41" s="1165"/>
      <c r="AG41" s="1165"/>
      <c r="AH41" s="1165"/>
      <c r="AI41" s="1165"/>
      <c r="AJ41" s="1165"/>
      <c r="AK41" s="1165"/>
      <c r="AL41" s="1165"/>
      <c r="AM41" s="1165"/>
      <c r="AN41" s="1165"/>
      <c r="AO41" s="1165"/>
    </row>
    <row r="42" spans="1:48" ht="14.25" customHeight="1">
      <c r="R42" s="437"/>
      <c r="S42" s="437"/>
      <c r="T42" s="437"/>
      <c r="U42" s="1087" t="s">
        <v>287</v>
      </c>
      <c r="V42" s="1087"/>
      <c r="W42" s="1087"/>
      <c r="X42" s="1087"/>
      <c r="Y42" s="1087"/>
      <c r="Z42" s="1087"/>
      <c r="AA42" s="1087"/>
      <c r="AB42" s="1087"/>
      <c r="AC42" s="1087"/>
      <c r="AD42" s="1087"/>
      <c r="AE42" s="1087"/>
      <c r="AF42" s="1087"/>
      <c r="AG42" s="1087"/>
      <c r="AH42" s="1087"/>
      <c r="AI42" s="1087"/>
      <c r="AJ42" s="1087"/>
      <c r="AK42" s="1087"/>
      <c r="AL42" s="1087"/>
      <c r="AM42" s="1087"/>
      <c r="AN42" s="1087"/>
      <c r="AO42" s="1087"/>
      <c r="AP42" s="1087"/>
      <c r="AQ42" s="1087" t="s">
        <v>288</v>
      </c>
    </row>
    <row r="43" spans="1:48" ht="14.25" customHeight="1">
      <c r="R43" s="437"/>
      <c r="S43" s="437"/>
      <c r="T43" s="437"/>
      <c r="U43" s="1166" t="s">
        <v>84</v>
      </c>
      <c r="V43" s="1167" t="s">
        <v>415</v>
      </c>
      <c r="W43" s="444"/>
      <c r="X43" s="1140" t="s">
        <v>416</v>
      </c>
      <c r="Y43" s="1140"/>
      <c r="Z43" s="1140"/>
      <c r="AA43" s="1140"/>
      <c r="AB43" s="1140"/>
      <c r="AC43" s="1140"/>
      <c r="AD43" s="1140"/>
      <c r="AE43" s="1140"/>
      <c r="AF43" s="1167" t="s">
        <v>417</v>
      </c>
      <c r="AG43" s="1140" t="s">
        <v>416</v>
      </c>
      <c r="AH43" s="1140"/>
      <c r="AI43" s="1140"/>
      <c r="AJ43" s="1140"/>
      <c r="AK43" s="1140"/>
      <c r="AL43" s="1140"/>
      <c r="AM43" s="1140"/>
      <c r="AN43" s="1140"/>
      <c r="AO43" s="1167" t="s">
        <v>418</v>
      </c>
      <c r="AP43" s="1168" t="s">
        <v>419</v>
      </c>
      <c r="AQ43" s="1087"/>
    </row>
    <row r="44" spans="1:48" ht="33.75" customHeight="1">
      <c r="R44" s="437"/>
      <c r="S44" s="437"/>
      <c r="T44" s="437"/>
      <c r="U44" s="1166"/>
      <c r="V44" s="1167"/>
      <c r="W44" s="445"/>
      <c r="X44" s="1173" t="s">
        <v>440</v>
      </c>
      <c r="Y44" s="1087" t="s">
        <v>441</v>
      </c>
      <c r="Z44" s="1087"/>
      <c r="AA44" s="1087"/>
      <c r="AB44" s="1087"/>
      <c r="AC44" s="1087" t="s">
        <v>423</v>
      </c>
      <c r="AD44" s="1087"/>
      <c r="AE44" s="1087"/>
      <c r="AF44" s="1167"/>
      <c r="AG44" s="1173" t="s">
        <v>440</v>
      </c>
      <c r="AH44" s="1087" t="s">
        <v>441</v>
      </c>
      <c r="AI44" s="1087"/>
      <c r="AJ44" s="1087"/>
      <c r="AK44" s="1087"/>
      <c r="AL44" s="1087" t="s">
        <v>423</v>
      </c>
      <c r="AM44" s="1087"/>
      <c r="AN44" s="1087"/>
      <c r="AO44" s="1167"/>
      <c r="AP44" s="1168"/>
      <c r="AQ44" s="1087"/>
    </row>
    <row r="45" spans="1:48" ht="14.25" customHeight="1">
      <c r="R45" s="437"/>
      <c r="S45" s="437"/>
      <c r="T45" s="437"/>
      <c r="U45" s="1166"/>
      <c r="V45" s="1167"/>
      <c r="W45" s="445"/>
      <c r="X45" s="1173"/>
      <c r="Y45" s="1108" t="s">
        <v>442</v>
      </c>
      <c r="Z45" s="1108" t="s">
        <v>443</v>
      </c>
      <c r="AA45" s="1108"/>
      <c r="AB45" s="1108"/>
      <c r="AC45" s="1087"/>
      <c r="AD45" s="1087"/>
      <c r="AE45" s="1087"/>
      <c r="AF45" s="1167"/>
      <c r="AG45" s="1173"/>
      <c r="AH45" s="1108" t="s">
        <v>442</v>
      </c>
      <c r="AI45" s="1108" t="s">
        <v>443</v>
      </c>
      <c r="AJ45" s="1108"/>
      <c r="AK45" s="1108"/>
      <c r="AL45" s="1087"/>
      <c r="AM45" s="1087"/>
      <c r="AN45" s="1087"/>
      <c r="AO45" s="1167"/>
      <c r="AP45" s="1168"/>
      <c r="AQ45" s="1087"/>
    </row>
    <row r="46" spans="1:48" ht="25.5" customHeight="1">
      <c r="R46" s="437"/>
      <c r="S46" s="437"/>
      <c r="T46" s="437"/>
      <c r="U46" s="1166"/>
      <c r="V46" s="1167"/>
      <c r="W46" s="445"/>
      <c r="X46" s="1173"/>
      <c r="Y46" s="1108"/>
      <c r="Z46" s="1108" t="s">
        <v>444</v>
      </c>
      <c r="AA46" s="1108" t="s">
        <v>445</v>
      </c>
      <c r="AB46" s="1108"/>
      <c r="AC46" s="1108" t="s">
        <v>433</v>
      </c>
      <c r="AD46" s="1108" t="s">
        <v>434</v>
      </c>
      <c r="AE46" s="1108"/>
      <c r="AF46" s="1167"/>
      <c r="AG46" s="1173"/>
      <c r="AH46" s="1108"/>
      <c r="AI46" s="1108" t="s">
        <v>444</v>
      </c>
      <c r="AJ46" s="1108" t="s">
        <v>445</v>
      </c>
      <c r="AK46" s="1108"/>
      <c r="AL46" s="1108" t="s">
        <v>433</v>
      </c>
      <c r="AM46" s="1108" t="s">
        <v>434</v>
      </c>
      <c r="AN46" s="1108"/>
      <c r="AO46" s="1167"/>
      <c r="AP46" s="1168"/>
      <c r="AQ46" s="1087"/>
    </row>
    <row r="47" spans="1:48" ht="62.25" customHeight="1">
      <c r="A47" s="100"/>
      <c r="B47" s="100" t="s">
        <v>131</v>
      </c>
      <c r="C47" s="100" t="s">
        <v>132</v>
      </c>
      <c r="D47" s="100" t="s">
        <v>133</v>
      </c>
      <c r="E47" s="468" t="s">
        <v>424</v>
      </c>
      <c r="F47" s="468" t="s">
        <v>425</v>
      </c>
      <c r="G47" s="468" t="s">
        <v>426</v>
      </c>
      <c r="H47" s="468" t="s">
        <v>427</v>
      </c>
      <c r="I47" s="468" t="s">
        <v>428</v>
      </c>
      <c r="J47" s="468" t="s">
        <v>429</v>
      </c>
      <c r="K47" s="468" t="s">
        <v>430</v>
      </c>
      <c r="L47" s="468" t="s">
        <v>446</v>
      </c>
      <c r="M47" s="468" t="s">
        <v>405</v>
      </c>
      <c r="R47" s="437"/>
      <c r="S47" s="437"/>
      <c r="T47" s="437"/>
      <c r="U47" s="1166"/>
      <c r="V47" s="1167"/>
      <c r="W47" s="446"/>
      <c r="X47" s="1173"/>
      <c r="Y47" s="1108"/>
      <c r="Z47" s="1108"/>
      <c r="AA47" s="203" t="s">
        <v>447</v>
      </c>
      <c r="AB47" s="203" t="s">
        <v>448</v>
      </c>
      <c r="AC47" s="1108"/>
      <c r="AD47" s="1108"/>
      <c r="AE47" s="1108"/>
      <c r="AF47" s="1167"/>
      <c r="AG47" s="1173"/>
      <c r="AH47" s="1108"/>
      <c r="AI47" s="1108"/>
      <c r="AJ47" s="203" t="s">
        <v>447</v>
      </c>
      <c r="AK47" s="203" t="s">
        <v>448</v>
      </c>
      <c r="AL47" s="1108"/>
      <c r="AM47" s="1108"/>
      <c r="AN47" s="1108"/>
      <c r="AO47" s="1167"/>
      <c r="AP47" s="1168"/>
      <c r="AQ47" s="1087"/>
    </row>
    <row r="48" spans="1:48" s="123" customFormat="1" ht="11.25" hidden="1" customHeight="1">
      <c r="A48" s="100"/>
      <c r="B48" s="100"/>
      <c r="C48" s="100"/>
      <c r="D48" s="100"/>
      <c r="E48" s="100"/>
      <c r="F48" s="100"/>
      <c r="G48" s="100"/>
      <c r="H48" s="100"/>
      <c r="I48" s="100"/>
      <c r="J48" s="100"/>
      <c r="K48" s="100"/>
      <c r="L48" s="100"/>
      <c r="M48" s="468"/>
      <c r="N48" s="56"/>
      <c r="O48" s="56"/>
      <c r="P48" s="56"/>
      <c r="Q48" s="447"/>
      <c r="R48" s="448"/>
      <c r="S48" s="449">
        <v>1</v>
      </c>
      <c r="T48" s="449"/>
      <c r="U48" s="450" t="s">
        <v>105</v>
      </c>
      <c r="V48" s="451" t="s">
        <v>106</v>
      </c>
      <c r="W48" s="452" t="str">
        <f ca="1">OFFSET(W48,0,-1)</f>
        <v>2</v>
      </c>
      <c r="X48" s="453">
        <f ca="1">OFFSET(X48,0,-1)+1</f>
        <v>3</v>
      </c>
      <c r="Y48" s="343"/>
      <c r="Z48" s="343"/>
      <c r="AA48" s="343">
        <f ca="1">OFFSET(AA48,0,-1)+1</f>
        <v>1</v>
      </c>
      <c r="AB48" s="343">
        <f ca="1">OFFSET(AB48,0,-1)+1</f>
        <v>2</v>
      </c>
      <c r="AC48" s="453">
        <f ca="1">OFFSET(AC48,0,-1)+1</f>
        <v>3</v>
      </c>
      <c r="AD48" s="1170">
        <f ca="1">OFFSET(AD48,0,-1)+1</f>
        <v>4</v>
      </c>
      <c r="AE48" s="1170"/>
      <c r="AF48" s="453">
        <f ca="1">OFFSET(AF48,0,-2)+1</f>
        <v>5</v>
      </c>
      <c r="AG48" s="453">
        <f ca="1">OFFSET(AG48,0,-1)+1</f>
        <v>6</v>
      </c>
      <c r="AH48" s="453"/>
      <c r="AI48" s="453"/>
      <c r="AJ48" s="453">
        <f ca="1">OFFSET(AJ48,0,-1)+1</f>
        <v>1</v>
      </c>
      <c r="AK48" s="453">
        <f ca="1">OFFSET(AK48,0,-1)+1</f>
        <v>2</v>
      </c>
      <c r="AL48" s="453">
        <f ca="1">OFFSET(AL48,0,-1)+1</f>
        <v>3</v>
      </c>
      <c r="AM48" s="1170">
        <f ca="1">OFFSET(AM48,0,-1)+1</f>
        <v>4</v>
      </c>
      <c r="AN48" s="1170"/>
      <c r="AO48" s="453">
        <f ca="1">OFFSET(AO48,0,-2)+1</f>
        <v>5</v>
      </c>
      <c r="AP48" s="452">
        <f ca="1">OFFSET(AP48,0,-1)</f>
        <v>5</v>
      </c>
      <c r="AQ48" s="453">
        <f ca="1">OFFSET(AQ48,0,-1)+1</f>
        <v>6</v>
      </c>
      <c r="AR48" s="53"/>
      <c r="AS48" s="53"/>
      <c r="AT48" s="53"/>
      <c r="AU48" s="53"/>
      <c r="AV48" s="53"/>
    </row>
    <row r="49" spans="1:48" ht="21" customHeight="1">
      <c r="A49" s="214" t="s">
        <v>170</v>
      </c>
      <c r="B49" s="214"/>
      <c r="C49" s="214"/>
      <c r="D49" s="214"/>
      <c r="E49" s="1176">
        <v>1</v>
      </c>
      <c r="F49" s="214"/>
      <c r="G49" s="214"/>
      <c r="H49" s="214"/>
      <c r="I49" s="214"/>
      <c r="J49" s="214"/>
      <c r="K49" s="214"/>
      <c r="L49" s="214"/>
      <c r="M49" s="468"/>
      <c r="N49" s="254"/>
      <c r="O49" s="254"/>
      <c r="P49" s="254"/>
      <c r="R49" s="134"/>
      <c r="S49" s="134"/>
      <c r="T49" s="393"/>
      <c r="U49" s="394">
        <f>INDEX(PT_DIFFERENTIATION_NUM_NTAR,MATCH(A49,PT_DIFFERENTIATION_NTAR_ID,0))</f>
        <v>0</v>
      </c>
      <c r="V49" s="395" t="s">
        <v>119</v>
      </c>
      <c r="W49" s="396"/>
      <c r="X49" s="1154"/>
      <c r="Y49" s="1154"/>
      <c r="Z49" s="1154"/>
      <c r="AA49" s="1154"/>
      <c r="AB49" s="1154"/>
      <c r="AC49" s="1154"/>
      <c r="AD49" s="1154"/>
      <c r="AE49" s="1154"/>
      <c r="AF49" s="1154"/>
      <c r="AG49" s="1154" t="str">
        <f>INDEX(PT_DIFFERENTIATION_NTAR,MATCH(A49,PT_DIFFERENTIATION_NTAR_ID,0))</f>
        <v/>
      </c>
      <c r="AH49" s="1154"/>
      <c r="AI49" s="1154"/>
      <c r="AJ49" s="1154"/>
      <c r="AK49" s="1154"/>
      <c r="AL49" s="1154"/>
      <c r="AM49" s="1154"/>
      <c r="AN49" s="1154"/>
      <c r="AO49" s="1154"/>
      <c r="AP49" s="1154"/>
      <c r="AQ49" s="39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21"/>
      <c r="AT49" s="121" t="str">
        <f t="shared" ref="AT49:AT65" si="2">IF(V49="","",V49)</f>
        <v>Наименование тарифа</v>
      </c>
      <c r="AU49" s="121"/>
      <c r="AV49" s="121"/>
    </row>
    <row r="50" spans="1:48" ht="21" customHeight="1">
      <c r="A50" s="214" t="s">
        <v>170</v>
      </c>
      <c r="B50" s="214" t="s">
        <v>171</v>
      </c>
      <c r="C50" s="214"/>
      <c r="D50" s="214"/>
      <c r="E50" s="1176"/>
      <c r="F50" s="1176">
        <v>1</v>
      </c>
      <c r="G50" s="214"/>
      <c r="H50" s="214"/>
      <c r="I50" s="214"/>
      <c r="J50" s="214"/>
      <c r="K50" s="214"/>
      <c r="L50" s="214"/>
      <c r="M50" s="468"/>
      <c r="N50" s="254"/>
      <c r="O50" s="254"/>
      <c r="P50" s="254"/>
      <c r="Q50" s="47"/>
      <c r="R50" s="398"/>
      <c r="S50" s="46"/>
      <c r="T50" s="399"/>
      <c r="U50" s="394" t="str">
        <f>INDEX(PT_DIFFERENTIATION_NUM_TER,MATCH(B50,PT_DIFFERENTIATION_TER_ID,0))</f>
        <v>.</v>
      </c>
      <c r="V50" s="400" t="s">
        <v>386</v>
      </c>
      <c r="W50" s="396"/>
      <c r="X50" s="1154"/>
      <c r="Y50" s="1154"/>
      <c r="Z50" s="1154"/>
      <c r="AA50" s="1154"/>
      <c r="AB50" s="1154"/>
      <c r="AC50" s="1154"/>
      <c r="AD50" s="1154"/>
      <c r="AE50" s="1154"/>
      <c r="AF50" s="1154"/>
      <c r="AG50" s="1154" t="str">
        <f>INDEX(PT_DIFFERENTIATION_TER,MATCH(B50,PT_DIFFERENTIATION_TER_ID,0))</f>
        <v/>
      </c>
      <c r="AH50" s="1154"/>
      <c r="AI50" s="1154"/>
      <c r="AJ50" s="1154"/>
      <c r="AK50" s="1154"/>
      <c r="AL50" s="1154"/>
      <c r="AM50" s="1154"/>
      <c r="AN50" s="1154"/>
      <c r="AO50" s="1154"/>
      <c r="AP50" s="1154"/>
      <c r="AQ50" s="397" t="s">
        <v>387</v>
      </c>
      <c r="AS50" s="121"/>
      <c r="AT50" s="121" t="str">
        <f t="shared" si="2"/>
        <v>Территория действия тарифа</v>
      </c>
      <c r="AU50" s="121"/>
      <c r="AV50" s="121"/>
    </row>
    <row r="51" spans="1:48" ht="22.5" customHeight="1">
      <c r="A51" s="214" t="s">
        <v>170</v>
      </c>
      <c r="B51" s="214" t="s">
        <v>171</v>
      </c>
      <c r="C51" s="214" t="s">
        <v>172</v>
      </c>
      <c r="D51" s="214"/>
      <c r="E51" s="1176"/>
      <c r="F51" s="1176"/>
      <c r="G51" s="1176">
        <v>1</v>
      </c>
      <c r="H51" s="214"/>
      <c r="I51" s="214"/>
      <c r="J51" s="214"/>
      <c r="K51" s="214"/>
      <c r="L51" s="214"/>
      <c r="M51" s="468"/>
      <c r="N51" s="254"/>
      <c r="O51" s="254"/>
      <c r="P51" s="254"/>
      <c r="Q51" s="401"/>
      <c r="R51" s="398"/>
      <c r="S51" s="46"/>
      <c r="T51" s="399"/>
      <c r="U51" s="394" t="str">
        <f>INDEX(PT_DIFFERENTIATION_NUM_CS,MATCH(C51,PT_DIFFERENTIATION_CS_ID,0))</f>
        <v>..</v>
      </c>
      <c r="V51" s="402" t="s">
        <v>388</v>
      </c>
      <c r="W51" s="396"/>
      <c r="X51" s="1154"/>
      <c r="Y51" s="1154"/>
      <c r="Z51" s="1154"/>
      <c r="AA51" s="1154"/>
      <c r="AB51" s="1154"/>
      <c r="AC51" s="1154"/>
      <c r="AD51" s="1154"/>
      <c r="AE51" s="1154"/>
      <c r="AF51" s="1154"/>
      <c r="AG51" s="1154" t="str">
        <f>INDEX(PT_DIFFERENTIATION_CS,MATCH(C51,PT_DIFFERENTIATION_CS_ID,0))</f>
        <v/>
      </c>
      <c r="AH51" s="1154"/>
      <c r="AI51" s="1154"/>
      <c r="AJ51" s="1154"/>
      <c r="AK51" s="1154"/>
      <c r="AL51" s="1154"/>
      <c r="AM51" s="1154"/>
      <c r="AN51" s="1154"/>
      <c r="AO51" s="1154"/>
      <c r="AP51" s="1154"/>
      <c r="AQ51" s="397" t="s">
        <v>389</v>
      </c>
      <c r="AS51" s="121"/>
      <c r="AT51" s="121" t="str">
        <f t="shared" si="2"/>
        <v xml:space="preserve">Наименование системы теплоснабжения </v>
      </c>
      <c r="AU51" s="121"/>
      <c r="AV51" s="121"/>
    </row>
    <row r="52" spans="1:48" ht="21" customHeight="1">
      <c r="A52" s="214" t="s">
        <v>170</v>
      </c>
      <c r="B52" s="214" t="s">
        <v>171</v>
      </c>
      <c r="C52" s="214" t="s">
        <v>172</v>
      </c>
      <c r="D52" s="214" t="s">
        <v>173</v>
      </c>
      <c r="E52" s="1176"/>
      <c r="F52" s="1176"/>
      <c r="G52" s="1176"/>
      <c r="H52" s="1176">
        <v>1</v>
      </c>
      <c r="I52" s="214"/>
      <c r="J52" s="214"/>
      <c r="K52" s="214"/>
      <c r="L52" s="214"/>
      <c r="M52" s="468"/>
      <c r="N52" s="254"/>
      <c r="O52" s="254"/>
      <c r="P52" s="254"/>
      <c r="Q52" s="401"/>
      <c r="R52" s="398"/>
      <c r="S52" s="46"/>
      <c r="T52" s="399"/>
      <c r="U52" s="394" t="str">
        <f>INDEX(PT_DIFFERENTIATION_NUM_IST_TE,MATCH(D52,PT_DIFFERENTIATION_IST_TE_ID,0))</f>
        <v>...</v>
      </c>
      <c r="V52" s="403" t="s">
        <v>390</v>
      </c>
      <c r="W52" s="396"/>
      <c r="X52" s="1154"/>
      <c r="Y52" s="1154"/>
      <c r="Z52" s="1154"/>
      <c r="AA52" s="1154"/>
      <c r="AB52" s="1154"/>
      <c r="AC52" s="1154"/>
      <c r="AD52" s="1154"/>
      <c r="AE52" s="1154"/>
      <c r="AF52" s="1154"/>
      <c r="AG52" s="1154" t="str">
        <f>INDEX(PT_DIFFERENTIATION_IST_TE,MATCH(D52,PT_DIFFERENTIATION_IST_TE_ID,0))</f>
        <v/>
      </c>
      <c r="AH52" s="1154"/>
      <c r="AI52" s="1154"/>
      <c r="AJ52" s="1154"/>
      <c r="AK52" s="1154"/>
      <c r="AL52" s="1154"/>
      <c r="AM52" s="1154"/>
      <c r="AN52" s="1154"/>
      <c r="AO52" s="1154"/>
      <c r="AP52" s="1154"/>
      <c r="AQ52" s="397" t="s">
        <v>391</v>
      </c>
      <c r="AS52" s="121"/>
      <c r="AT52" s="121" t="str">
        <f t="shared" si="2"/>
        <v xml:space="preserve">Источник тепловой энергии  </v>
      </c>
      <c r="AU52" s="121"/>
      <c r="AV52" s="121"/>
    </row>
    <row r="53" spans="1:48" s="53" customFormat="1" ht="5.25">
      <c r="A53" s="480" t="s">
        <v>170</v>
      </c>
      <c r="B53" s="480" t="s">
        <v>171</v>
      </c>
      <c r="C53" s="480" t="s">
        <v>172</v>
      </c>
      <c r="D53" s="480" t="s">
        <v>173</v>
      </c>
      <c r="E53" s="1176"/>
      <c r="F53" s="1176"/>
      <c r="G53" s="1176"/>
      <c r="H53" s="1176"/>
      <c r="I53" s="1087" t="str">
        <f>U52&amp;".1"</f>
        <v>....1</v>
      </c>
      <c r="J53" s="480"/>
      <c r="K53" s="480"/>
      <c r="L53" s="480"/>
      <c r="M53" s="481" t="s">
        <v>392</v>
      </c>
      <c r="N53" s="447"/>
      <c r="O53" s="447"/>
      <c r="P53" s="447"/>
      <c r="Q53" s="1156">
        <v>1</v>
      </c>
      <c r="R53" s="124"/>
      <c r="S53" s="124"/>
      <c r="T53" s="405"/>
      <c r="U53" s="280"/>
      <c r="V53" s="459"/>
      <c r="W53" s="460"/>
      <c r="X53" s="1175"/>
      <c r="Y53" s="1175"/>
      <c r="Z53" s="1175"/>
      <c r="AA53" s="1175"/>
      <c r="AB53" s="1175"/>
      <c r="AC53" s="1175"/>
      <c r="AD53" s="1175"/>
      <c r="AE53" s="1175"/>
      <c r="AF53" s="1175"/>
      <c r="AG53" s="1175"/>
      <c r="AH53" s="1175"/>
      <c r="AI53" s="1175"/>
      <c r="AJ53" s="1175"/>
      <c r="AK53" s="1175"/>
      <c r="AL53" s="1175"/>
      <c r="AM53" s="1175"/>
      <c r="AN53" s="1175"/>
      <c r="AO53" s="1175"/>
      <c r="AP53" s="1175"/>
      <c r="AQ53" s="461"/>
      <c r="AS53" s="121"/>
      <c r="AT53" s="121" t="str">
        <f t="shared" si="2"/>
        <v/>
      </c>
      <c r="AU53" s="121"/>
      <c r="AV53" s="121"/>
    </row>
    <row r="54" spans="1:48" ht="21" customHeight="1">
      <c r="A54" s="214" t="s">
        <v>170</v>
      </c>
      <c r="B54" s="214" t="s">
        <v>171</v>
      </c>
      <c r="C54" s="214" t="s">
        <v>172</v>
      </c>
      <c r="D54" s="214" t="s">
        <v>173</v>
      </c>
      <c r="E54" s="1176"/>
      <c r="F54" s="1176"/>
      <c r="G54" s="1176"/>
      <c r="H54" s="1176"/>
      <c r="I54" s="1087"/>
      <c r="J54" s="1087" t="str">
        <f>I53&amp;".1"</f>
        <v>....1.1</v>
      </c>
      <c r="K54" s="214"/>
      <c r="L54" s="214"/>
      <c r="M54" s="468" t="s">
        <v>395</v>
      </c>
      <c r="Q54" s="1156"/>
      <c r="R54" s="1156">
        <v>1</v>
      </c>
      <c r="S54" s="53"/>
      <c r="T54" s="408"/>
      <c r="U54" s="394" t="str">
        <f>$J54</f>
        <v>....1.1</v>
      </c>
      <c r="V54" s="409" t="s">
        <v>396</v>
      </c>
      <c r="W54" s="396"/>
      <c r="X54" s="1157"/>
      <c r="Y54" s="1157"/>
      <c r="Z54" s="1157"/>
      <c r="AA54" s="1157"/>
      <c r="AB54" s="1157"/>
      <c r="AC54" s="1157"/>
      <c r="AD54" s="1157"/>
      <c r="AE54" s="1157"/>
      <c r="AF54" s="1157"/>
      <c r="AG54" s="1157"/>
      <c r="AH54" s="1157"/>
      <c r="AI54" s="1157"/>
      <c r="AJ54" s="1157"/>
      <c r="AK54" s="1157"/>
      <c r="AL54" s="1157"/>
      <c r="AM54" s="1157"/>
      <c r="AN54" s="1157"/>
      <c r="AO54" s="1157"/>
      <c r="AP54" s="1157"/>
      <c r="AQ54" s="397" t="s">
        <v>397</v>
      </c>
      <c r="AS54" s="121"/>
      <c r="AT54" s="121" t="str">
        <f t="shared" si="2"/>
        <v>Группа потребителей</v>
      </c>
      <c r="AU54" s="121"/>
      <c r="AV54" s="121"/>
    </row>
    <row r="55" spans="1:48" ht="21" customHeight="1">
      <c r="A55" s="214" t="s">
        <v>170</v>
      </c>
      <c r="B55" s="214" t="s">
        <v>171</v>
      </c>
      <c r="C55" s="214" t="s">
        <v>172</v>
      </c>
      <c r="D55" s="214" t="s">
        <v>173</v>
      </c>
      <c r="E55" s="1176"/>
      <c r="F55" s="1176"/>
      <c r="G55" s="1176"/>
      <c r="H55" s="1176"/>
      <c r="I55" s="1087"/>
      <c r="J55" s="1087"/>
      <c r="K55" s="1087" t="str">
        <f>J54&amp;".1"</f>
        <v>....1.1.1</v>
      </c>
      <c r="L55" s="47"/>
      <c r="M55" s="468" t="s">
        <v>398</v>
      </c>
      <c r="Q55" s="1156"/>
      <c r="R55" s="1156"/>
      <c r="S55" s="53">
        <v>1</v>
      </c>
      <c r="T55" s="408"/>
      <c r="U55" s="394" t="str">
        <f>$K55</f>
        <v>....1.1.1</v>
      </c>
      <c r="V55" s="410"/>
      <c r="W55" s="396"/>
      <c r="X55" s="411"/>
      <c r="Y55" s="411"/>
      <c r="Z55" s="411"/>
      <c r="AA55" s="411"/>
      <c r="AB55" s="469"/>
      <c r="AC55" s="1158"/>
      <c r="AD55" s="1105" t="s">
        <v>63</v>
      </c>
      <c r="AE55" s="1158"/>
      <c r="AF55" s="1105" t="s">
        <v>63</v>
      </c>
      <c r="AG55" s="470"/>
      <c r="AH55" s="411"/>
      <c r="AI55" s="411"/>
      <c r="AJ55" s="411"/>
      <c r="AK55" s="413"/>
      <c r="AL55" s="1158"/>
      <c r="AM55" s="1105" t="s">
        <v>63</v>
      </c>
      <c r="AN55" s="1158"/>
      <c r="AO55" s="1105" t="s">
        <v>63</v>
      </c>
      <c r="AP55" s="454"/>
      <c r="AQ55" s="471" t="s">
        <v>437</v>
      </c>
      <c r="AR55" s="53" t="e">
        <f ca="1">strcheckdate(X57:AP57)</f>
        <v>#NAME?</v>
      </c>
      <c r="AS55" s="121"/>
      <c r="AT55" s="121" t="str">
        <f t="shared" si="2"/>
        <v/>
      </c>
      <c r="AU55" s="121"/>
      <c r="AV55" s="121"/>
    </row>
    <row r="56" spans="1:48" ht="11.25" customHeight="1">
      <c r="A56" s="214" t="s">
        <v>170</v>
      </c>
      <c r="B56" s="214" t="s">
        <v>171</v>
      </c>
      <c r="C56" s="214" t="s">
        <v>172</v>
      </c>
      <c r="D56" s="214" t="s">
        <v>173</v>
      </c>
      <c r="E56" s="1176"/>
      <c r="F56" s="1176"/>
      <c r="G56" s="1176"/>
      <c r="H56" s="1176"/>
      <c r="I56" s="1087"/>
      <c r="J56" s="1087"/>
      <c r="K56" s="1087"/>
      <c r="L56" s="1087" t="str">
        <f>K55&amp;".1"</f>
        <v>....1.1.1.1</v>
      </c>
      <c r="M56" s="468"/>
      <c r="Q56" s="1156"/>
      <c r="R56" s="1156"/>
      <c r="S56" s="53">
        <v>1</v>
      </c>
      <c r="T56" s="408"/>
      <c r="U56" s="394" t="str">
        <f>$L56</f>
        <v>....1.1.1.1</v>
      </c>
      <c r="V56" s="472"/>
      <c r="W56" s="396"/>
      <c r="X56" s="412"/>
      <c r="Y56" s="411"/>
      <c r="Z56" s="411"/>
      <c r="AA56" s="411"/>
      <c r="AB56" s="469"/>
      <c r="AC56" s="1158"/>
      <c r="AD56" s="1105"/>
      <c r="AE56" s="1158"/>
      <c r="AF56" s="1105"/>
      <c r="AG56" s="470"/>
      <c r="AH56" s="411"/>
      <c r="AI56" s="411"/>
      <c r="AJ56" s="411"/>
      <c r="AK56" s="413"/>
      <c r="AL56" s="1158"/>
      <c r="AM56" s="1105"/>
      <c r="AN56" s="1158"/>
      <c r="AO56" s="1105"/>
      <c r="AP56" s="454"/>
      <c r="AQ56" s="1159" t="s">
        <v>438</v>
      </c>
      <c r="AR56" s="53" t="e">
        <f ca="1">strcheckdate(X58:AP58)</f>
        <v>#NAME?</v>
      </c>
      <c r="AS56" s="121"/>
      <c r="AT56" s="121" t="str">
        <f t="shared" si="2"/>
        <v/>
      </c>
      <c r="AU56" s="121"/>
      <c r="AV56" s="121"/>
    </row>
    <row r="57" spans="1:48" ht="11.25">
      <c r="A57" s="214" t="s">
        <v>170</v>
      </c>
      <c r="B57" s="214" t="s">
        <v>171</v>
      </c>
      <c r="C57" s="214" t="s">
        <v>172</v>
      </c>
      <c r="D57" s="214" t="s">
        <v>173</v>
      </c>
      <c r="E57" s="1176"/>
      <c r="F57" s="1176"/>
      <c r="G57" s="1176"/>
      <c r="H57" s="1176"/>
      <c r="I57" s="1087"/>
      <c r="J57" s="1087"/>
      <c r="K57" s="1087"/>
      <c r="L57" s="1087"/>
      <c r="M57" s="468"/>
      <c r="Q57" s="1156"/>
      <c r="R57" s="1156"/>
      <c r="S57" s="53"/>
      <c r="T57" s="408"/>
      <c r="U57" s="370"/>
      <c r="V57" s="396"/>
      <c r="W57" s="396"/>
      <c r="X57" s="412"/>
      <c r="Y57" s="412"/>
      <c r="Z57" s="412"/>
      <c r="AA57" s="412"/>
      <c r="AB57" s="473" t="str">
        <f>AC55&amp;"-"&amp;AE55</f>
        <v>-</v>
      </c>
      <c r="AC57" s="1158"/>
      <c r="AD57" s="1105"/>
      <c r="AE57" s="1158"/>
      <c r="AF57" s="1105"/>
      <c r="AG57" s="474"/>
      <c r="AH57" s="412"/>
      <c r="AI57" s="412"/>
      <c r="AJ57" s="412"/>
      <c r="AK57" s="415" t="str">
        <f>AL55&amp;"-"&amp;AN55</f>
        <v>-</v>
      </c>
      <c r="AL57" s="1158"/>
      <c r="AM57" s="1105"/>
      <c r="AN57" s="1158"/>
      <c r="AO57" s="1105"/>
      <c r="AP57" s="455"/>
      <c r="AQ57" s="1159"/>
      <c r="AS57" s="121"/>
      <c r="AT57" s="121" t="str">
        <f t="shared" si="2"/>
        <v/>
      </c>
      <c r="AU57" s="121"/>
      <c r="AV57" s="121"/>
    </row>
    <row r="58" spans="1:48" ht="11.25" customHeight="1">
      <c r="A58" s="214" t="s">
        <v>170</v>
      </c>
      <c r="B58" s="214" t="s">
        <v>171</v>
      </c>
      <c r="C58" s="214" t="s">
        <v>172</v>
      </c>
      <c r="D58" s="214" t="s">
        <v>173</v>
      </c>
      <c r="E58" s="1176"/>
      <c r="F58" s="1176"/>
      <c r="G58" s="1176"/>
      <c r="H58" s="1176"/>
      <c r="I58" s="1087"/>
      <c r="J58" s="1087"/>
      <c r="K58" s="1087"/>
      <c r="L58" s="214"/>
      <c r="M58" s="468"/>
      <c r="Q58" s="1156"/>
      <c r="R58" s="1156"/>
      <c r="S58" s="124"/>
      <c r="T58" s="405"/>
      <c r="U58" s="416"/>
      <c r="V58" s="417" t="s">
        <v>439</v>
      </c>
      <c r="W58" s="186"/>
      <c r="X58" s="186"/>
      <c r="Y58" s="186"/>
      <c r="Z58" s="186"/>
      <c r="AA58" s="186"/>
      <c r="AB58" s="186"/>
      <c r="AC58" s="1158"/>
      <c r="AD58" s="1105"/>
      <c r="AE58" s="1158"/>
      <c r="AF58" s="1105"/>
      <c r="AG58" s="186"/>
      <c r="AH58" s="186"/>
      <c r="AI58" s="186"/>
      <c r="AJ58" s="186"/>
      <c r="AK58" s="186"/>
      <c r="AL58" s="1158"/>
      <c r="AM58" s="1105"/>
      <c r="AN58" s="1158"/>
      <c r="AO58" s="1105"/>
      <c r="AP58" s="418"/>
      <c r="AQ58" s="1159"/>
      <c r="AS58" s="121"/>
      <c r="AT58" s="121" t="str">
        <f t="shared" si="2"/>
        <v>Добавить наименование поставщика</v>
      </c>
      <c r="AU58" s="121"/>
      <c r="AV58" s="121"/>
    </row>
    <row r="59" spans="1:48" ht="11.25" customHeight="1">
      <c r="A59" s="214" t="s">
        <v>170</v>
      </c>
      <c r="B59" s="214" t="s">
        <v>171</v>
      </c>
      <c r="C59" s="214" t="s">
        <v>172</v>
      </c>
      <c r="D59" s="214" t="s">
        <v>173</v>
      </c>
      <c r="E59" s="1176"/>
      <c r="F59" s="1176"/>
      <c r="G59" s="1176"/>
      <c r="H59" s="1176"/>
      <c r="I59" s="1087"/>
      <c r="J59" s="1087"/>
      <c r="K59" s="214"/>
      <c r="L59" s="214"/>
      <c r="M59" s="468"/>
      <c r="Q59" s="1156"/>
      <c r="R59" s="1156"/>
      <c r="S59" s="124"/>
      <c r="T59" s="405"/>
      <c r="U59" s="416"/>
      <c r="V59" s="419" t="s">
        <v>400</v>
      </c>
      <c r="W59" s="186"/>
      <c r="X59" s="186"/>
      <c r="Y59" s="186"/>
      <c r="Z59" s="186"/>
      <c r="AA59" s="186"/>
      <c r="AB59" s="186"/>
      <c r="AC59" s="479"/>
      <c r="AD59" s="479"/>
      <c r="AE59" s="479"/>
      <c r="AF59" s="479"/>
      <c r="AG59" s="186"/>
      <c r="AH59" s="186"/>
      <c r="AI59" s="186"/>
      <c r="AJ59" s="186"/>
      <c r="AK59" s="186"/>
      <c r="AL59" s="186"/>
      <c r="AM59" s="186"/>
      <c r="AN59" s="186"/>
      <c r="AO59" s="186"/>
      <c r="AP59" s="418"/>
      <c r="AQ59" s="1159"/>
      <c r="AS59" s="121"/>
      <c r="AT59" s="121" t="str">
        <f t="shared" si="2"/>
        <v>Добавить вид теплоносителя (параметры теплоносителя)</v>
      </c>
      <c r="AU59" s="121"/>
      <c r="AV59" s="121"/>
    </row>
    <row r="60" spans="1:48" ht="11.25" customHeight="1">
      <c r="A60" s="214" t="s">
        <v>170</v>
      </c>
      <c r="B60" s="214" t="s">
        <v>171</v>
      </c>
      <c r="C60" s="214" t="s">
        <v>172</v>
      </c>
      <c r="D60" s="214" t="s">
        <v>173</v>
      </c>
      <c r="E60" s="1176"/>
      <c r="F60" s="1176"/>
      <c r="G60" s="1176"/>
      <c r="H60" s="1176"/>
      <c r="I60" s="1087"/>
      <c r="J60" s="214"/>
      <c r="K60" s="214"/>
      <c r="L60" s="214"/>
      <c r="M60" s="468"/>
      <c r="Q60" s="1156"/>
      <c r="R60" s="124"/>
      <c r="S60" s="124"/>
      <c r="T60" s="405"/>
      <c r="U60" s="416"/>
      <c r="V60" s="423" t="s">
        <v>401</v>
      </c>
      <c r="W60" s="186"/>
      <c r="X60" s="186"/>
      <c r="Y60" s="186"/>
      <c r="Z60" s="186"/>
      <c r="AA60" s="186"/>
      <c r="AB60" s="186"/>
      <c r="AC60" s="186"/>
      <c r="AD60" s="186"/>
      <c r="AE60" s="186"/>
      <c r="AF60" s="420"/>
      <c r="AG60" s="186"/>
      <c r="AH60" s="186"/>
      <c r="AI60" s="186"/>
      <c r="AJ60" s="186"/>
      <c r="AK60" s="186"/>
      <c r="AL60" s="186"/>
      <c r="AM60" s="186"/>
      <c r="AN60" s="186"/>
      <c r="AO60" s="420"/>
      <c r="AP60" s="186"/>
      <c r="AQ60" s="421"/>
      <c r="AS60" s="121"/>
      <c r="AT60" s="121" t="str">
        <f t="shared" si="2"/>
        <v>Добавить группу потребителей</v>
      </c>
      <c r="AU60" s="121"/>
      <c r="AV60" s="121"/>
    </row>
    <row r="61" spans="1:48">
      <c r="A61" s="214" t="s">
        <v>170</v>
      </c>
      <c r="B61" s="214" t="s">
        <v>171</v>
      </c>
      <c r="C61" s="214" t="s">
        <v>172</v>
      </c>
      <c r="D61" s="214" t="s">
        <v>173</v>
      </c>
      <c r="E61" s="1176"/>
      <c r="F61" s="1176"/>
      <c r="G61" s="1176"/>
      <c r="H61" s="1176"/>
      <c r="I61" s="214"/>
      <c r="J61" s="214"/>
      <c r="K61" s="214"/>
      <c r="L61" s="214"/>
      <c r="M61" s="468"/>
      <c r="N61" s="254"/>
      <c r="O61" s="254"/>
      <c r="P61" s="46"/>
      <c r="Q61" s="134"/>
      <c r="R61" s="422"/>
      <c r="S61" s="393"/>
      <c r="T61" s="134"/>
      <c r="U61" s="462"/>
      <c r="V61" s="463"/>
      <c r="W61" s="464"/>
      <c r="X61" s="464"/>
      <c r="Y61" s="464"/>
      <c r="Z61" s="464"/>
      <c r="AA61" s="464"/>
      <c r="AB61" s="464"/>
      <c r="AC61" s="464"/>
      <c r="AD61" s="464"/>
      <c r="AE61" s="464"/>
      <c r="AF61" s="464"/>
      <c r="AG61" s="464"/>
      <c r="AH61" s="464"/>
      <c r="AI61" s="464"/>
      <c r="AJ61" s="464"/>
      <c r="AK61" s="464"/>
      <c r="AL61" s="464"/>
      <c r="AM61" s="464"/>
      <c r="AN61" s="464"/>
      <c r="AO61" s="464"/>
      <c r="AP61" s="464"/>
      <c r="AQ61" s="465"/>
      <c r="AS61" s="121"/>
      <c r="AT61" s="121" t="str">
        <f t="shared" si="2"/>
        <v/>
      </c>
      <c r="AU61" s="121"/>
      <c r="AV61" s="121"/>
    </row>
    <row r="62" spans="1:48" s="53" customFormat="1" ht="5.25">
      <c r="A62" s="480" t="s">
        <v>170</v>
      </c>
      <c r="B62" s="480" t="s">
        <v>171</v>
      </c>
      <c r="C62" s="480" t="s">
        <v>172</v>
      </c>
      <c r="D62" s="480"/>
      <c r="E62" s="1176"/>
      <c r="F62" s="1176"/>
      <c r="G62" s="1176"/>
      <c r="H62" s="480"/>
      <c r="I62" s="480"/>
      <c r="J62" s="480"/>
      <c r="K62" s="480"/>
      <c r="L62" s="480"/>
      <c r="M62" s="481"/>
      <c r="N62" s="482"/>
      <c r="O62" s="482"/>
      <c r="P62" s="123"/>
      <c r="Q62" s="158"/>
      <c r="R62" s="424"/>
      <c r="S62" s="158"/>
      <c r="T62" s="158"/>
      <c r="U62" s="429"/>
      <c r="V62" s="432" t="s">
        <v>403</v>
      </c>
      <c r="W62" s="431"/>
      <c r="X62" s="431"/>
      <c r="Y62" s="431"/>
      <c r="Z62" s="431"/>
      <c r="AA62" s="431"/>
      <c r="AB62" s="431"/>
      <c r="AC62" s="431"/>
      <c r="AD62" s="431"/>
      <c r="AE62" s="431"/>
      <c r="AF62" s="431"/>
      <c r="AG62" s="431"/>
      <c r="AH62" s="431"/>
      <c r="AI62" s="431"/>
      <c r="AJ62" s="431"/>
      <c r="AK62" s="431"/>
      <c r="AL62" s="431"/>
      <c r="AM62" s="431"/>
      <c r="AN62" s="431"/>
      <c r="AO62" s="431"/>
      <c r="AP62" s="431"/>
      <c r="AQ62" s="431"/>
      <c r="AS62" s="121"/>
      <c r="AT62" s="121" t="str">
        <f t="shared" si="2"/>
        <v>Добавить источник для дифференциации</v>
      </c>
      <c r="AU62" s="121"/>
      <c r="AV62" s="121"/>
    </row>
    <row r="63" spans="1:48" s="53" customFormat="1" ht="5.25">
      <c r="A63" s="480" t="s">
        <v>170</v>
      </c>
      <c r="B63" s="480" t="s">
        <v>171</v>
      </c>
      <c r="C63" s="480"/>
      <c r="D63" s="480"/>
      <c r="E63" s="1176"/>
      <c r="F63" s="1176"/>
      <c r="G63" s="480"/>
      <c r="H63" s="480"/>
      <c r="I63" s="480"/>
      <c r="J63" s="480"/>
      <c r="K63" s="480"/>
      <c r="L63" s="480"/>
      <c r="M63" s="481"/>
      <c r="N63" s="483"/>
      <c r="O63" s="483"/>
      <c r="P63" s="123"/>
      <c r="Q63" s="158"/>
      <c r="R63" s="424"/>
      <c r="S63" s="158"/>
      <c r="T63" s="158"/>
      <c r="U63" s="429"/>
      <c r="V63" s="432" t="s">
        <v>253</v>
      </c>
      <c r="W63" s="431"/>
      <c r="X63" s="431"/>
      <c r="Y63" s="431"/>
      <c r="Z63" s="431"/>
      <c r="AA63" s="431"/>
      <c r="AB63" s="431"/>
      <c r="AC63" s="431"/>
      <c r="AD63" s="431"/>
      <c r="AE63" s="431"/>
      <c r="AF63" s="431"/>
      <c r="AG63" s="431"/>
      <c r="AH63" s="431"/>
      <c r="AI63" s="431"/>
      <c r="AJ63" s="431"/>
      <c r="AK63" s="431"/>
      <c r="AL63" s="431"/>
      <c r="AM63" s="431"/>
      <c r="AN63" s="431"/>
      <c r="AO63" s="431"/>
      <c r="AP63" s="431"/>
      <c r="AQ63" s="431"/>
      <c r="AS63" s="121"/>
      <c r="AT63" s="121" t="str">
        <f t="shared" si="2"/>
        <v>Добавить централизованную систему для дифференциации</v>
      </c>
      <c r="AU63" s="121"/>
      <c r="AV63" s="121"/>
    </row>
    <row r="64" spans="1:48" s="53" customFormat="1" ht="5.25">
      <c r="A64" s="480" t="s">
        <v>170</v>
      </c>
      <c r="B64" s="480"/>
      <c r="C64" s="480"/>
      <c r="D64" s="480"/>
      <c r="E64" s="1176"/>
      <c r="F64" s="480"/>
      <c r="G64" s="480"/>
      <c r="H64" s="480"/>
      <c r="I64" s="480"/>
      <c r="J64" s="480"/>
      <c r="K64" s="480"/>
      <c r="L64" s="480"/>
      <c r="M64" s="481"/>
      <c r="N64" s="483"/>
      <c r="O64" s="483"/>
      <c r="P64" s="123"/>
      <c r="Q64" s="158"/>
      <c r="R64" s="424"/>
      <c r="S64" s="158"/>
      <c r="T64" s="158"/>
      <c r="U64" s="429"/>
      <c r="V64" s="432" t="s">
        <v>254</v>
      </c>
      <c r="W64" s="431"/>
      <c r="X64" s="431"/>
      <c r="Y64" s="431"/>
      <c r="Z64" s="431"/>
      <c r="AA64" s="431"/>
      <c r="AB64" s="431"/>
      <c r="AC64" s="431"/>
      <c r="AD64" s="431"/>
      <c r="AE64" s="431"/>
      <c r="AF64" s="431"/>
      <c r="AG64" s="431"/>
      <c r="AH64" s="431"/>
      <c r="AI64" s="431"/>
      <c r="AJ64" s="431"/>
      <c r="AK64" s="431"/>
      <c r="AL64" s="431"/>
      <c r="AM64" s="431"/>
      <c r="AN64" s="431"/>
      <c r="AO64" s="431"/>
      <c r="AP64" s="431"/>
      <c r="AQ64" s="431"/>
      <c r="AS64" s="121"/>
      <c r="AT64" s="121" t="str">
        <f t="shared" si="2"/>
        <v>Добавить территорию для дифференциации</v>
      </c>
      <c r="AU64" s="121"/>
      <c r="AV64" s="121"/>
    </row>
    <row r="65" spans="1:48" s="53" customFormat="1" ht="5.25" customHeight="1">
      <c r="A65" s="480"/>
      <c r="B65" s="480"/>
      <c r="C65" s="480"/>
      <c r="D65" s="480"/>
      <c r="E65" s="480"/>
      <c r="F65" s="480"/>
      <c r="G65" s="480"/>
      <c r="H65" s="480"/>
      <c r="I65" s="480"/>
      <c r="J65" s="480"/>
      <c r="K65" s="480"/>
      <c r="L65" s="480"/>
      <c r="M65" s="481"/>
      <c r="N65" s="483"/>
      <c r="O65" s="483"/>
      <c r="P65" s="123"/>
      <c r="Q65" s="158"/>
      <c r="R65" s="424"/>
      <c r="S65" s="158"/>
      <c r="T65" s="158"/>
      <c r="U65" s="429"/>
      <c r="V65" s="432" t="s">
        <v>255</v>
      </c>
      <c r="W65" s="431"/>
      <c r="X65" s="431"/>
      <c r="Y65" s="431"/>
      <c r="Z65" s="431"/>
      <c r="AA65" s="431"/>
      <c r="AB65" s="431"/>
      <c r="AC65" s="431"/>
      <c r="AD65" s="431"/>
      <c r="AE65" s="431"/>
      <c r="AF65" s="431"/>
      <c r="AG65" s="431"/>
      <c r="AH65" s="431"/>
      <c r="AI65" s="431"/>
      <c r="AJ65" s="431"/>
      <c r="AK65" s="431"/>
      <c r="AL65" s="431"/>
      <c r="AM65" s="431"/>
      <c r="AN65" s="431"/>
      <c r="AO65" s="431"/>
      <c r="AP65" s="431"/>
      <c r="AQ65" s="431"/>
      <c r="AS65" s="121"/>
      <c r="AT65" s="121" t="str">
        <f t="shared" si="2"/>
        <v>Добавить наименование тарифа</v>
      </c>
      <c r="AU65" s="121"/>
      <c r="AV65" s="121"/>
    </row>
    <row r="66" spans="1:48" ht="11.25" customHeight="1">
      <c r="N66" s="46"/>
      <c r="O66" s="46"/>
      <c r="P66" s="46"/>
      <c r="Q66" s="46"/>
      <c r="R66" s="46"/>
      <c r="S66" s="46"/>
      <c r="T66" s="46"/>
      <c r="U66" s="46"/>
      <c r="AR66" s="46"/>
      <c r="AS66" s="46"/>
      <c r="AT66" s="46"/>
      <c r="AU66" s="46"/>
      <c r="AV66" s="46"/>
    </row>
    <row r="67" spans="1:48" ht="33.75" customHeight="1">
      <c r="P67" s="46"/>
      <c r="U67" s="387"/>
      <c r="V67" s="1171"/>
      <c r="W67" s="1171"/>
      <c r="X67" s="1171"/>
      <c r="Y67" s="1171"/>
      <c r="Z67" s="1171"/>
      <c r="AA67" s="1171"/>
      <c r="AB67" s="1171"/>
      <c r="AC67" s="1171"/>
      <c r="AD67" s="1171"/>
      <c r="AE67" s="1171"/>
      <c r="AF67" s="1171"/>
      <c r="AG67" s="1171"/>
      <c r="AH67" s="1171"/>
      <c r="AI67" s="1171"/>
      <c r="AJ67" s="1171"/>
      <c r="AK67" s="1171"/>
      <c r="AL67" s="1171"/>
      <c r="AM67" s="1171"/>
      <c r="AN67" s="1171"/>
      <c r="AO67" s="1171"/>
      <c r="AP67" s="1171"/>
      <c r="AQ67" s="1171"/>
    </row>
    <row r="68" spans="1:48" ht="19.5" customHeight="1">
      <c r="P68" s="46"/>
      <c r="V68" s="1171"/>
      <c r="W68" s="1171"/>
      <c r="X68" s="1171"/>
      <c r="Y68" s="1171"/>
      <c r="Z68" s="1171"/>
      <c r="AA68" s="1171"/>
      <c r="AB68" s="1171"/>
      <c r="AC68" s="1171"/>
      <c r="AD68" s="1171"/>
      <c r="AE68" s="1171"/>
      <c r="AF68" s="1171"/>
      <c r="AG68" s="1171"/>
      <c r="AH68" s="1171"/>
      <c r="AI68" s="1171"/>
      <c r="AJ68" s="1171"/>
      <c r="AK68" s="1171"/>
      <c r="AL68" s="1171"/>
      <c r="AM68" s="1171"/>
      <c r="AN68" s="1171"/>
      <c r="AO68" s="1171"/>
      <c r="AP68" s="1171"/>
      <c r="AQ68" s="1171"/>
    </row>
    <row r="69" spans="1:48" ht="14.25" customHeight="1">
      <c r="P69" s="46"/>
    </row>
    <row r="70" spans="1:48" ht="27" customHeight="1">
      <c r="P70" s="46"/>
      <c r="V70" s="1171"/>
      <c r="W70" s="1171"/>
      <c r="X70" s="1171"/>
      <c r="Y70" s="1171"/>
      <c r="Z70" s="1171"/>
      <c r="AA70" s="1171"/>
      <c r="AB70" s="1171"/>
      <c r="AC70" s="1171"/>
      <c r="AD70" s="1171"/>
      <c r="AE70" s="1171"/>
      <c r="AF70" s="1171"/>
      <c r="AG70" s="1171"/>
      <c r="AH70" s="1171"/>
      <c r="AI70" s="1171"/>
      <c r="AJ70" s="1171"/>
      <c r="AK70" s="1171"/>
      <c r="AL70" s="1171"/>
      <c r="AM70" s="1171"/>
      <c r="AN70" s="1171"/>
      <c r="AO70" s="1171"/>
      <c r="AP70" s="1171"/>
      <c r="AQ70" s="1171"/>
    </row>
    <row r="71" spans="1:48" ht="18" customHeight="1">
      <c r="P71" s="46"/>
      <c r="V71" s="1171"/>
      <c r="W71" s="1171"/>
      <c r="X71" s="1171"/>
      <c r="Y71" s="1171"/>
      <c r="Z71" s="1171"/>
      <c r="AA71" s="1171"/>
      <c r="AB71" s="1171"/>
      <c r="AC71" s="1171"/>
      <c r="AD71" s="1171"/>
      <c r="AE71" s="1171"/>
      <c r="AF71" s="1171"/>
      <c r="AG71" s="1171"/>
      <c r="AH71" s="1171"/>
      <c r="AI71" s="1171"/>
      <c r="AJ71" s="1171"/>
      <c r="AK71" s="1171"/>
      <c r="AL71" s="1171"/>
      <c r="AM71" s="1171"/>
      <c r="AN71" s="1171"/>
      <c r="AO71" s="1171"/>
      <c r="AP71" s="1171"/>
      <c r="AQ71" s="1171"/>
    </row>
  </sheetData>
  <mergeCells count="122">
    <mergeCell ref="AQ56:AQ59"/>
    <mergeCell ref="V67:AQ67"/>
    <mergeCell ref="V68:AQ68"/>
    <mergeCell ref="V70:AQ70"/>
    <mergeCell ref="V71:AQ71"/>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U36:V36"/>
    <mergeCell ref="X36:AE36"/>
    <mergeCell ref="AG36:AN36"/>
    <mergeCell ref="U38:V38"/>
    <mergeCell ref="X38:AE38"/>
    <mergeCell ref="AG38:AN38"/>
    <mergeCell ref="U39:V39"/>
    <mergeCell ref="X39:AE39"/>
    <mergeCell ref="AG39:AN39"/>
    <mergeCell ref="U30:AN30"/>
    <mergeCell ref="U31:AN31"/>
    <mergeCell ref="U33:V33"/>
    <mergeCell ref="X33:AE33"/>
    <mergeCell ref="AG33:AN33"/>
    <mergeCell ref="U34:V34"/>
    <mergeCell ref="X34:AE34"/>
    <mergeCell ref="AG34:AN34"/>
    <mergeCell ref="U35:V35"/>
    <mergeCell ref="X35:AE35"/>
    <mergeCell ref="AG35:AN35"/>
    <mergeCell ref="AE8:AE11"/>
    <mergeCell ref="AF8:AF11"/>
    <mergeCell ref="AL8:AL11"/>
    <mergeCell ref="AM8:AM11"/>
    <mergeCell ref="AN8:AN11"/>
    <mergeCell ref="AO8:AO11"/>
    <mergeCell ref="L9:L10"/>
    <mergeCell ref="AQ9:AQ12"/>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s>
  <dataValidations count="3">
    <dataValidation allowBlank="1" showInputMessage="1" showErrorMessage="1" prompt="Для выбора выполните двойной щелчок левой клавиши мыши по соответствующей ячейке." sqref="AD8 AF8 AM8 AO8 AM19:AM21 AO19:AO21 AD55 AF55 AM55 AO55">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8 AE8 AL8 AN8 AL19:AL21 AN19:AN21 AC55 AE55 AL55 AN55">
      <formula1>0</formula1>
      <formula2>0</formula2>
    </dataValidation>
    <dataValidation allowBlank="1" promptTitle="checkPeriodRange" sqref="AB10:AB11 AK10:AK11 AK22 AB57 AK57">
      <formula1>0</formula1>
      <formula2>0</formula2>
    </dataValidation>
  </dataValidations>
  <pageMargins left="0.7" right="0.7" top="0.625" bottom="0.62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Z69"/>
  <sheetViews>
    <sheetView showGridLines="0" topLeftCell="R26"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2" style="49" hidden="1" customWidth="1"/>
    <col min="10" max="10" width="9.85546875" style="49" hidden="1" customWidth="1"/>
    <col min="11" max="11" width="11.42578125" style="49" hidden="1" customWidth="1"/>
    <col min="12" max="12" width="19.140625" style="107" hidden="1" customWidth="1"/>
    <col min="13" max="14" width="12.28515625" style="57" hidden="1" customWidth="1"/>
    <col min="15" max="15" width="23.42578125" style="57" hidden="1" customWidth="1"/>
    <col min="16" max="16" width="3.7109375" style="57" hidden="1" customWidth="1"/>
    <col min="17" max="17" width="3.7109375" style="436" hidden="1" customWidth="1"/>
    <col min="18" max="18" width="3.7109375" style="389" customWidth="1"/>
    <col min="19" max="19" width="12.7109375" style="254" customWidth="1"/>
    <col min="20" max="20" width="32" style="46" customWidth="1"/>
    <col min="21" max="21" width="0.140625" style="46" customWidth="1"/>
    <col min="22" max="23" width="21.7109375" style="46" hidden="1" customWidth="1"/>
    <col min="24" max="24" width="11.7109375" style="46" hidden="1" customWidth="1"/>
    <col min="25" max="25" width="3.7109375" style="46" hidden="1" customWidth="1"/>
    <col min="26" max="26" width="11.7109375" style="46" hidden="1" customWidth="1"/>
    <col min="27" max="27" width="8.5703125" style="46" hidden="1" customWidth="1"/>
    <col min="28" max="28" width="5.42578125" style="46" customWidth="1"/>
    <col min="29" max="30" width="3.7109375" style="46" customWidth="1"/>
    <col min="31" max="31" width="24.7109375" style="46" customWidth="1"/>
    <col min="32" max="34" width="3.7109375" style="46" customWidth="1"/>
    <col min="35" max="35" width="24.7109375" style="46" customWidth="1"/>
    <col min="36" max="38" width="3.7109375" style="46" customWidth="1"/>
    <col min="39" max="39" width="18.85546875" style="46" customWidth="1"/>
    <col min="40" max="41" width="21.7109375" style="46" customWidth="1"/>
    <col min="42" max="42" width="11.7109375" style="46" customWidth="1"/>
    <col min="43" max="43" width="3.7109375" style="46" customWidth="1"/>
    <col min="44" max="44" width="11.7109375" style="46" customWidth="1"/>
    <col min="45" max="45" width="8.5703125" style="46" customWidth="1"/>
    <col min="46" max="46" width="4.7109375" style="46" customWidth="1"/>
    <col min="47" max="47" width="115.7109375" style="46" customWidth="1"/>
    <col min="48" max="49" width="10.5703125" style="53"/>
    <col min="50" max="50" width="11.140625" style="53" customWidth="1"/>
    <col min="51" max="52" width="10.5703125" style="53"/>
  </cols>
  <sheetData>
    <row r="1" spans="1:52" ht="14.25" hidden="1" customHeight="1"/>
    <row r="2" spans="1:52" ht="21" hidden="1" customHeight="1">
      <c r="A2" s="390"/>
      <c r="B2" s="390"/>
      <c r="C2" s="390"/>
      <c r="D2" s="390"/>
      <c r="E2" s="1153">
        <v>1</v>
      </c>
      <c r="F2" s="390"/>
      <c r="G2" s="390"/>
      <c r="H2" s="390"/>
      <c r="I2" s="390"/>
      <c r="J2" s="390"/>
      <c r="K2" s="390"/>
      <c r="L2" s="391"/>
      <c r="M2" s="392"/>
      <c r="N2" s="392"/>
      <c r="O2" s="392"/>
      <c r="Q2" s="60"/>
      <c r="R2" s="393"/>
      <c r="S2" s="394" t="e">
        <f>INDEX(PT_DIFFERENTIATION_NUM_NTAR,MATCH(A2,PT_DIFFERENTIATION_NTAR_ID,0))</f>
        <v>#N/A</v>
      </c>
      <c r="T2" s="395" t="s">
        <v>119</v>
      </c>
      <c r="U2" s="396"/>
      <c r="V2" s="1177"/>
      <c r="W2" s="1177"/>
      <c r="X2" s="1177"/>
      <c r="Y2" s="1177"/>
      <c r="Z2" s="1177"/>
      <c r="AA2" s="1177"/>
      <c r="AB2" s="1154" t="e">
        <f>INDEX(PT_DIFFERENTIATION_NTAR,MATCH(A2,PT_DIFFERENTIATION_NTAR_ID,0))</f>
        <v>#N/A</v>
      </c>
      <c r="AC2" s="1154"/>
      <c r="AD2" s="1154"/>
      <c r="AE2" s="1154"/>
      <c r="AF2" s="1154"/>
      <c r="AG2" s="1154"/>
      <c r="AH2" s="1154"/>
      <c r="AI2" s="1154"/>
      <c r="AJ2" s="1154"/>
      <c r="AK2" s="1154"/>
      <c r="AL2" s="1154"/>
      <c r="AM2" s="1154"/>
      <c r="AN2" s="1154"/>
      <c r="AO2" s="1154"/>
      <c r="AP2" s="1154"/>
      <c r="AQ2" s="1154"/>
      <c r="AR2" s="1154"/>
      <c r="AS2" s="1154"/>
      <c r="AT2" s="1154"/>
      <c r="AU2" s="397" t="s">
        <v>385</v>
      </c>
      <c r="AW2" s="121"/>
      <c r="AX2" s="121" t="str">
        <f t="shared" ref="AX2:AX8" si="0">IF(T2="","",T2)</f>
        <v>Наименование тарифа</v>
      </c>
      <c r="AY2" s="121"/>
      <c r="AZ2" s="121"/>
    </row>
    <row r="3" spans="1:52" ht="21" hidden="1" customHeight="1">
      <c r="A3" s="390"/>
      <c r="B3" s="390"/>
      <c r="C3" s="390"/>
      <c r="D3" s="390"/>
      <c r="E3" s="1153"/>
      <c r="F3" s="1153">
        <v>1</v>
      </c>
      <c r="G3" s="390"/>
      <c r="H3" s="390"/>
      <c r="I3" s="390"/>
      <c r="J3" s="390"/>
      <c r="K3" s="390"/>
      <c r="L3" s="391"/>
      <c r="M3" s="392"/>
      <c r="N3" s="392"/>
      <c r="O3" s="392"/>
      <c r="P3" s="107"/>
      <c r="Q3" s="485"/>
      <c r="R3" s="399"/>
      <c r="S3" s="394" t="e">
        <f>INDEX(PT_DIFFERENTIATION_NUM_TER,MATCH(B3,PT_DIFFERENTIATION_TER_ID,0))</f>
        <v>#N/A</v>
      </c>
      <c r="T3" s="400" t="s">
        <v>386</v>
      </c>
      <c r="U3" s="396"/>
      <c r="V3" s="1177"/>
      <c r="W3" s="1177"/>
      <c r="X3" s="1177"/>
      <c r="Y3" s="1177"/>
      <c r="Z3" s="1177"/>
      <c r="AA3" s="1177"/>
      <c r="AB3" s="1154" t="e">
        <f>INDEX(PT_DIFFERENTIATION_TER,MATCH(B3,PT_DIFFERENTIATION_TER_ID,0))</f>
        <v>#N/A</v>
      </c>
      <c r="AC3" s="1154"/>
      <c r="AD3" s="1154"/>
      <c r="AE3" s="1154"/>
      <c r="AF3" s="1154"/>
      <c r="AG3" s="1154"/>
      <c r="AH3" s="1154"/>
      <c r="AI3" s="1154"/>
      <c r="AJ3" s="1154"/>
      <c r="AK3" s="1154"/>
      <c r="AL3" s="1154"/>
      <c r="AM3" s="1154"/>
      <c r="AN3" s="1154"/>
      <c r="AO3" s="1154"/>
      <c r="AP3" s="1154"/>
      <c r="AQ3" s="1154"/>
      <c r="AR3" s="1154"/>
      <c r="AS3" s="1154"/>
      <c r="AT3" s="1154"/>
      <c r="AU3" s="397" t="s">
        <v>387</v>
      </c>
      <c r="AW3" s="121"/>
      <c r="AX3" s="121" t="str">
        <f t="shared" si="0"/>
        <v>Территория действия тарифа</v>
      </c>
      <c r="AY3" s="121"/>
      <c r="AZ3" s="121"/>
    </row>
    <row r="4" spans="1:52" ht="22.5" hidden="1" customHeight="1">
      <c r="A4" s="390"/>
      <c r="B4" s="390"/>
      <c r="C4" s="390"/>
      <c r="D4" s="390"/>
      <c r="E4" s="1153"/>
      <c r="F4" s="1153"/>
      <c r="G4" s="1153">
        <v>1</v>
      </c>
      <c r="H4" s="390"/>
      <c r="I4" s="390"/>
      <c r="J4" s="390"/>
      <c r="K4" s="390"/>
      <c r="L4" s="391"/>
      <c r="M4" s="392"/>
      <c r="N4" s="392"/>
      <c r="O4" s="392"/>
      <c r="P4" s="130"/>
      <c r="Q4" s="485"/>
      <c r="R4" s="399"/>
      <c r="S4" s="394" t="e">
        <f>INDEX(PT_DIFFERENTIATION_NUM_CS,MATCH(C4,PT_DIFFERENTIATION_CS_ID,0))</f>
        <v>#N/A</v>
      </c>
      <c r="T4" s="402" t="s">
        <v>388</v>
      </c>
      <c r="U4" s="396"/>
      <c r="V4" s="1177"/>
      <c r="W4" s="1177"/>
      <c r="X4" s="1177"/>
      <c r="Y4" s="1177"/>
      <c r="Z4" s="1177"/>
      <c r="AA4" s="1177"/>
      <c r="AB4" s="1154" t="e">
        <f>INDEX(PT_DIFFERENTIATION_CS,MATCH(C4,PT_DIFFERENTIATION_CS_ID,0))</f>
        <v>#N/A</v>
      </c>
      <c r="AC4" s="1154"/>
      <c r="AD4" s="1154"/>
      <c r="AE4" s="1154"/>
      <c r="AF4" s="1154"/>
      <c r="AG4" s="1154"/>
      <c r="AH4" s="1154"/>
      <c r="AI4" s="1154"/>
      <c r="AJ4" s="1154"/>
      <c r="AK4" s="1154"/>
      <c r="AL4" s="1154"/>
      <c r="AM4" s="1154"/>
      <c r="AN4" s="1154"/>
      <c r="AO4" s="1154"/>
      <c r="AP4" s="1154"/>
      <c r="AQ4" s="1154"/>
      <c r="AR4" s="1154"/>
      <c r="AS4" s="1154"/>
      <c r="AT4" s="1154"/>
      <c r="AU4" s="397" t="s">
        <v>389</v>
      </c>
      <c r="AW4" s="121"/>
      <c r="AX4" s="121" t="str">
        <f t="shared" si="0"/>
        <v xml:space="preserve">Наименование системы теплоснабжения </v>
      </c>
      <c r="AY4" s="121"/>
      <c r="AZ4" s="121"/>
    </row>
    <row r="5" spans="1:52" ht="21" hidden="1" customHeight="1">
      <c r="A5" s="390"/>
      <c r="B5" s="390"/>
      <c r="C5" s="390"/>
      <c r="D5" s="390"/>
      <c r="E5" s="1153"/>
      <c r="F5" s="1153"/>
      <c r="G5" s="1153"/>
      <c r="H5" s="1153">
        <v>1</v>
      </c>
      <c r="I5" s="390"/>
      <c r="J5" s="390"/>
      <c r="K5" s="390"/>
      <c r="L5" s="391"/>
      <c r="M5" s="392"/>
      <c r="N5" s="392"/>
      <c r="O5" s="392"/>
      <c r="P5" s="130"/>
      <c r="Q5" s="485"/>
      <c r="R5" s="399"/>
      <c r="S5" s="394" t="e">
        <f>INDEX(PT_DIFFERENTIATION_NUM_IST_TE,MATCH(D5,PT_DIFFERENTIATION_IST_TE_ID,0))</f>
        <v>#N/A</v>
      </c>
      <c r="T5" s="403" t="s">
        <v>390</v>
      </c>
      <c r="U5" s="396"/>
      <c r="V5" s="1177"/>
      <c r="W5" s="1177"/>
      <c r="X5" s="1177"/>
      <c r="Y5" s="1177"/>
      <c r="Z5" s="1177"/>
      <c r="AA5" s="1177"/>
      <c r="AB5" s="1154" t="e">
        <f>INDEX(PT_DIFFERENTIATION_IST_TE,MATCH(D5,PT_DIFFERENTIATION_IST_TE_ID,0))</f>
        <v>#N/A</v>
      </c>
      <c r="AC5" s="1154"/>
      <c r="AD5" s="1154"/>
      <c r="AE5" s="1154"/>
      <c r="AF5" s="1154"/>
      <c r="AG5" s="1154"/>
      <c r="AH5" s="1154"/>
      <c r="AI5" s="1154"/>
      <c r="AJ5" s="1154"/>
      <c r="AK5" s="1154"/>
      <c r="AL5" s="1154"/>
      <c r="AM5" s="1154"/>
      <c r="AN5" s="1154"/>
      <c r="AO5" s="1154"/>
      <c r="AP5" s="1154"/>
      <c r="AQ5" s="1154"/>
      <c r="AR5" s="1154"/>
      <c r="AS5" s="1154"/>
      <c r="AT5" s="1154"/>
      <c r="AU5" s="397" t="s">
        <v>391</v>
      </c>
      <c r="AW5" s="121"/>
      <c r="AX5" s="121" t="str">
        <f t="shared" si="0"/>
        <v xml:space="preserve">Источник тепловой энергии  </v>
      </c>
      <c r="AY5" s="121"/>
      <c r="AZ5" s="121"/>
    </row>
    <row r="6" spans="1:52" s="53" customFormat="1" ht="14.25" hidden="1" customHeight="1">
      <c r="A6" s="125"/>
      <c r="B6" s="125"/>
      <c r="C6" s="125"/>
      <c r="D6" s="125"/>
      <c r="E6" s="1153"/>
      <c r="F6" s="1153"/>
      <c r="G6" s="1153"/>
      <c r="H6" s="1153"/>
      <c r="I6" s="1155" t="e">
        <f>S5&amp;".1"</f>
        <v>#N/A</v>
      </c>
      <c r="J6" s="125"/>
      <c r="K6" s="125"/>
      <c r="L6" s="184" t="s">
        <v>392</v>
      </c>
      <c r="M6" s="466"/>
      <c r="N6" s="466"/>
      <c r="O6" s="466"/>
      <c r="P6" s="1156">
        <v>1</v>
      </c>
      <c r="Q6" s="124"/>
      <c r="R6" s="405"/>
      <c r="S6" s="280"/>
      <c r="T6" s="459"/>
      <c r="U6" s="460"/>
      <c r="V6" s="1178"/>
      <c r="W6" s="1178"/>
      <c r="X6" s="1178"/>
      <c r="Y6" s="1178"/>
      <c r="Z6" s="1178"/>
      <c r="AA6" s="1178"/>
      <c r="AB6" s="1175"/>
      <c r="AC6" s="1175"/>
      <c r="AD6" s="1175"/>
      <c r="AE6" s="1175"/>
      <c r="AF6" s="1175"/>
      <c r="AG6" s="1175"/>
      <c r="AH6" s="1175"/>
      <c r="AI6" s="1175"/>
      <c r="AJ6" s="1175"/>
      <c r="AK6" s="1175"/>
      <c r="AL6" s="1175"/>
      <c r="AM6" s="1175"/>
      <c r="AN6" s="1175"/>
      <c r="AO6" s="1175"/>
      <c r="AP6" s="1175"/>
      <c r="AQ6" s="1175"/>
      <c r="AR6" s="1175"/>
      <c r="AS6" s="1175"/>
      <c r="AT6" s="1175"/>
      <c r="AU6" s="461"/>
      <c r="AW6" s="121"/>
      <c r="AX6" s="121" t="str">
        <f t="shared" si="0"/>
        <v/>
      </c>
      <c r="AY6" s="121"/>
      <c r="AZ6" s="121"/>
    </row>
    <row r="7" spans="1:52" s="53" customFormat="1" ht="14.25" hidden="1" customHeight="1">
      <c r="A7" s="125"/>
      <c r="B7" s="125"/>
      <c r="C7" s="125"/>
      <c r="D7" s="125"/>
      <c r="E7" s="1153"/>
      <c r="F7" s="1153"/>
      <c r="G7" s="1153"/>
      <c r="H7" s="1153"/>
      <c r="I7" s="1155"/>
      <c r="J7" s="1155" t="e">
        <f>S5&amp;".1"</f>
        <v>#N/A</v>
      </c>
      <c r="K7" s="125"/>
      <c r="L7" s="184"/>
      <c r="M7" s="466"/>
      <c r="N7" s="466"/>
      <c r="O7" s="466"/>
      <c r="P7" s="1156"/>
      <c r="Q7" s="1156">
        <v>1</v>
      </c>
      <c r="R7" s="408"/>
      <c r="S7" s="280"/>
      <c r="T7" s="486"/>
      <c r="U7" s="460"/>
      <c r="V7" s="1178"/>
      <c r="W7" s="1178"/>
      <c r="X7" s="1178"/>
      <c r="Y7" s="1178"/>
      <c r="Z7" s="1178"/>
      <c r="AA7" s="1178"/>
      <c r="AB7" s="1175"/>
      <c r="AC7" s="1175"/>
      <c r="AD7" s="1175"/>
      <c r="AE7" s="1175"/>
      <c r="AF7" s="1175"/>
      <c r="AG7" s="1175"/>
      <c r="AH7" s="1175"/>
      <c r="AI7" s="1175"/>
      <c r="AJ7" s="1175"/>
      <c r="AK7" s="1175"/>
      <c r="AL7" s="1175"/>
      <c r="AM7" s="1175"/>
      <c r="AN7" s="1175"/>
      <c r="AO7" s="1175"/>
      <c r="AP7" s="1175"/>
      <c r="AQ7" s="1175"/>
      <c r="AR7" s="1175"/>
      <c r="AS7" s="1175"/>
      <c r="AT7" s="1175"/>
      <c r="AU7" s="461"/>
      <c r="AW7" s="121"/>
      <c r="AX7" s="121" t="str">
        <f t="shared" si="0"/>
        <v/>
      </c>
      <c r="AY7" s="121"/>
      <c r="AZ7" s="121"/>
    </row>
    <row r="8" spans="1:52" ht="21" hidden="1" customHeight="1">
      <c r="A8" s="390"/>
      <c r="B8" s="390"/>
      <c r="C8" s="390"/>
      <c r="D8" s="390"/>
      <c r="E8" s="1153"/>
      <c r="F8" s="1153"/>
      <c r="G8" s="1153"/>
      <c r="H8" s="1153"/>
      <c r="I8" s="1155"/>
      <c r="J8" s="1155"/>
      <c r="K8" s="1155" t="e">
        <f>S5&amp;".1"</f>
        <v>#N/A</v>
      </c>
      <c r="L8" s="391"/>
      <c r="P8" s="1156"/>
      <c r="Q8" s="1156"/>
      <c r="R8" s="1179">
        <v>1</v>
      </c>
      <c r="S8" s="1166" t="e">
        <f>$K8</f>
        <v>#N/A</v>
      </c>
      <c r="T8" s="1180"/>
      <c r="U8" s="396"/>
      <c r="V8" s="411"/>
      <c r="W8" s="413"/>
      <c r="X8" s="1158"/>
      <c r="Y8" s="1105" t="s">
        <v>63</v>
      </c>
      <c r="Z8" s="1158"/>
      <c r="AA8" s="1105" t="s">
        <v>63</v>
      </c>
      <c r="AB8" s="1105" t="s">
        <v>53</v>
      </c>
      <c r="AC8" s="1181"/>
      <c r="AD8" s="1182">
        <v>1</v>
      </c>
      <c r="AE8" s="1183"/>
      <c r="AF8" s="1105" t="s">
        <v>53</v>
      </c>
      <c r="AG8" s="1181"/>
      <c r="AH8" s="1182">
        <v>1</v>
      </c>
      <c r="AI8" s="1183"/>
      <c r="AJ8" s="1105" t="s">
        <v>53</v>
      </c>
      <c r="AK8" s="487"/>
      <c r="AL8" s="276">
        <v>1</v>
      </c>
      <c r="AM8" s="109"/>
      <c r="AN8" s="411"/>
      <c r="AO8" s="413"/>
      <c r="AP8" s="414"/>
      <c r="AQ8" s="191" t="s">
        <v>63</v>
      </c>
      <c r="AR8" s="414"/>
      <c r="AS8" s="191" t="s">
        <v>63</v>
      </c>
      <c r="AT8" s="454"/>
      <c r="AU8" s="1159" t="s">
        <v>449</v>
      </c>
      <c r="AV8" s="53" t="e">
        <f ca="1">strcheckdate(V11:AT11)</f>
        <v>#NAME?</v>
      </c>
      <c r="AW8" s="121"/>
      <c r="AX8" s="121" t="str">
        <f t="shared" si="0"/>
        <v/>
      </c>
      <c r="AY8" s="121"/>
      <c r="AZ8" s="121"/>
    </row>
    <row r="9" spans="1:52" ht="11.25" hidden="1" customHeight="1">
      <c r="A9" s="390"/>
      <c r="B9" s="390"/>
      <c r="C9" s="390"/>
      <c r="D9" s="390"/>
      <c r="E9" s="1153"/>
      <c r="F9" s="1153"/>
      <c r="G9" s="1153"/>
      <c r="H9" s="1153"/>
      <c r="I9" s="1155"/>
      <c r="J9" s="1155"/>
      <c r="K9" s="1155"/>
      <c r="L9" s="391"/>
      <c r="P9" s="1156"/>
      <c r="Q9" s="1156"/>
      <c r="R9" s="1179"/>
      <c r="S9" s="1166"/>
      <c r="T9" s="1180"/>
      <c r="U9" s="396"/>
      <c r="V9" s="476"/>
      <c r="W9" s="488"/>
      <c r="X9" s="1158"/>
      <c r="Y9" s="1105"/>
      <c r="Z9" s="1158"/>
      <c r="AA9" s="1105"/>
      <c r="AB9" s="1105"/>
      <c r="AC9" s="1181"/>
      <c r="AD9" s="1182"/>
      <c r="AE9" s="1183"/>
      <c r="AF9" s="1105"/>
      <c r="AG9" s="1181"/>
      <c r="AH9" s="1182"/>
      <c r="AI9" s="1183"/>
      <c r="AJ9" s="1105"/>
      <c r="AK9" s="489"/>
      <c r="AL9" s="168"/>
      <c r="AM9" s="163" t="s">
        <v>450</v>
      </c>
      <c r="AN9" s="476"/>
      <c r="AO9" s="490"/>
      <c r="AP9" s="476"/>
      <c r="AQ9" s="476"/>
      <c r="AR9" s="476"/>
      <c r="AS9" s="476"/>
      <c r="AT9" s="491"/>
      <c r="AU9" s="1159"/>
      <c r="AW9" s="121"/>
      <c r="AX9" s="121"/>
      <c r="AY9" s="121"/>
      <c r="AZ9" s="121"/>
    </row>
    <row r="10" spans="1:52" ht="11.25" hidden="1" customHeight="1">
      <c r="A10" s="390"/>
      <c r="B10" s="390"/>
      <c r="C10" s="390"/>
      <c r="D10" s="390"/>
      <c r="E10" s="1153"/>
      <c r="F10" s="1153"/>
      <c r="G10" s="1153"/>
      <c r="H10" s="1153"/>
      <c r="I10" s="1155"/>
      <c r="J10" s="1155"/>
      <c r="K10" s="1155"/>
      <c r="L10" s="391"/>
      <c r="P10" s="1156"/>
      <c r="Q10" s="1156"/>
      <c r="R10" s="1179"/>
      <c r="S10" s="1166"/>
      <c r="T10" s="1180"/>
      <c r="U10" s="396"/>
      <c r="V10" s="476"/>
      <c r="W10" s="488"/>
      <c r="X10" s="1158"/>
      <c r="Y10" s="1105"/>
      <c r="Z10" s="1158"/>
      <c r="AA10" s="1105"/>
      <c r="AB10" s="1105"/>
      <c r="AC10" s="1181"/>
      <c r="AD10" s="1182"/>
      <c r="AE10" s="1183"/>
      <c r="AF10" s="1105"/>
      <c r="AG10" s="492"/>
      <c r="AH10" s="163"/>
      <c r="AI10" s="163" t="s">
        <v>451</v>
      </c>
      <c r="AJ10" s="476"/>
      <c r="AK10" s="476"/>
      <c r="AL10" s="476"/>
      <c r="AM10" s="476"/>
      <c r="AN10" s="476"/>
      <c r="AO10" s="490"/>
      <c r="AP10" s="476"/>
      <c r="AQ10" s="476"/>
      <c r="AR10" s="476"/>
      <c r="AS10" s="476"/>
      <c r="AT10" s="491"/>
      <c r="AU10" s="1159"/>
      <c r="AW10" s="121"/>
      <c r="AX10" s="121"/>
      <c r="AY10" s="121"/>
      <c r="AZ10" s="121"/>
    </row>
    <row r="11" spans="1:52" ht="11.25" hidden="1" customHeight="1">
      <c r="A11" s="390"/>
      <c r="B11" s="390"/>
      <c r="C11" s="390"/>
      <c r="D11" s="390"/>
      <c r="E11" s="1153"/>
      <c r="F11" s="1153"/>
      <c r="G11" s="1153"/>
      <c r="H11" s="1153"/>
      <c r="I11" s="1155"/>
      <c r="J11" s="1155"/>
      <c r="K11" s="1155"/>
      <c r="L11" s="391"/>
      <c r="P11" s="1156"/>
      <c r="Q11" s="1156"/>
      <c r="R11" s="1179"/>
      <c r="S11" s="1166"/>
      <c r="T11" s="1180"/>
      <c r="U11" s="396"/>
      <c r="V11" s="476"/>
      <c r="W11" s="493" t="str">
        <f>X8&amp;"-"&amp;Z8</f>
        <v>-</v>
      </c>
      <c r="X11" s="1158"/>
      <c r="Y11" s="1105"/>
      <c r="Z11" s="1158"/>
      <c r="AA11" s="1105"/>
      <c r="AB11" s="1105"/>
      <c r="AC11" s="494"/>
      <c r="AD11" s="495"/>
      <c r="AE11" s="163" t="s">
        <v>452</v>
      </c>
      <c r="AF11" s="476"/>
      <c r="AG11" s="476"/>
      <c r="AH11" s="476"/>
      <c r="AI11" s="476"/>
      <c r="AJ11" s="476"/>
      <c r="AK11" s="476"/>
      <c r="AL11" s="476"/>
      <c r="AM11" s="476"/>
      <c r="AN11" s="476"/>
      <c r="AO11" s="477" t="str">
        <f>AP8&amp;"-"&amp;AR8</f>
        <v>-</v>
      </c>
      <c r="AP11" s="476"/>
      <c r="AQ11" s="476"/>
      <c r="AR11" s="476"/>
      <c r="AS11" s="476"/>
      <c r="AT11" s="455"/>
      <c r="AU11" s="1159"/>
      <c r="AW11" s="121"/>
      <c r="AX11" s="121" t="str">
        <f t="shared" ref="AX11:AX17" si="1">IF(T11="","",T11)</f>
        <v/>
      </c>
      <c r="AY11" s="121"/>
      <c r="AZ11" s="121"/>
    </row>
    <row r="12" spans="1:52" ht="11.25" hidden="1" customHeight="1">
      <c r="A12" s="390"/>
      <c r="B12" s="390"/>
      <c r="C12" s="390"/>
      <c r="D12" s="390"/>
      <c r="E12" s="1153"/>
      <c r="F12" s="1153"/>
      <c r="G12" s="1153"/>
      <c r="H12" s="1153"/>
      <c r="I12" s="1155"/>
      <c r="J12" s="1155"/>
      <c r="K12" s="390"/>
      <c r="L12" s="391"/>
      <c r="P12" s="1156"/>
      <c r="Q12" s="1156"/>
      <c r="R12" s="405"/>
      <c r="S12" s="416"/>
      <c r="T12" s="419" t="s">
        <v>453</v>
      </c>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418"/>
      <c r="AU12" s="1159"/>
      <c r="AW12" s="121"/>
      <c r="AX12" s="121" t="str">
        <f t="shared" si="1"/>
        <v>Добавить строку</v>
      </c>
      <c r="AY12" s="121"/>
      <c r="AZ12" s="121"/>
    </row>
    <row r="13" spans="1:52" s="53" customFormat="1" ht="14.25" hidden="1" customHeight="1">
      <c r="A13" s="125"/>
      <c r="B13" s="125"/>
      <c r="C13" s="125"/>
      <c r="D13" s="125"/>
      <c r="E13" s="1153"/>
      <c r="F13" s="1153"/>
      <c r="G13" s="1153"/>
      <c r="H13" s="1153"/>
      <c r="I13" s="1155"/>
      <c r="J13" s="125"/>
      <c r="K13" s="125"/>
      <c r="L13" s="184"/>
      <c r="M13" s="466"/>
      <c r="N13" s="466"/>
      <c r="O13" s="466"/>
      <c r="P13" s="1156"/>
      <c r="Q13" s="124"/>
      <c r="R13" s="405"/>
      <c r="S13" s="462"/>
      <c r="T13" s="463"/>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5"/>
      <c r="AW13" s="121"/>
      <c r="AX13" s="121" t="str">
        <f t="shared" si="1"/>
        <v/>
      </c>
      <c r="AY13" s="121"/>
      <c r="AZ13" s="121"/>
    </row>
    <row r="14" spans="1:52" s="53" customFormat="1" ht="14.25" hidden="1" customHeight="1">
      <c r="A14" s="125"/>
      <c r="B14" s="125"/>
      <c r="C14" s="125"/>
      <c r="D14" s="125"/>
      <c r="E14" s="1153"/>
      <c r="F14" s="1153"/>
      <c r="G14" s="1153"/>
      <c r="H14" s="1153"/>
      <c r="I14" s="125"/>
      <c r="J14" s="125"/>
      <c r="K14" s="125"/>
      <c r="L14" s="184"/>
      <c r="M14" s="375"/>
      <c r="N14" s="375"/>
      <c r="P14" s="158"/>
      <c r="Q14" s="424"/>
      <c r="R14" s="496"/>
      <c r="S14" s="462"/>
      <c r="T14" s="463"/>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5"/>
      <c r="AW14" s="121"/>
      <c r="AX14" s="121" t="str">
        <f t="shared" si="1"/>
        <v/>
      </c>
      <c r="AY14" s="121"/>
      <c r="AZ14" s="121"/>
    </row>
    <row r="15" spans="1:52" s="53" customFormat="1" ht="14.25" hidden="1" customHeight="1">
      <c r="A15" s="125"/>
      <c r="B15" s="125"/>
      <c r="C15" s="125"/>
      <c r="D15" s="125"/>
      <c r="E15" s="1153"/>
      <c r="F15" s="1153"/>
      <c r="G15" s="1153"/>
      <c r="H15" s="125"/>
      <c r="I15" s="125"/>
      <c r="J15" s="125"/>
      <c r="K15" s="125"/>
      <c r="L15" s="184"/>
      <c r="M15" s="375"/>
      <c r="N15" s="375"/>
      <c r="P15" s="158"/>
      <c r="Q15" s="424"/>
      <c r="R15" s="158"/>
      <c r="S15" s="429"/>
      <c r="T15" s="432" t="s">
        <v>403</v>
      </c>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W15" s="121"/>
      <c r="AX15" s="121" t="str">
        <f t="shared" si="1"/>
        <v>Добавить источник для дифференциации</v>
      </c>
      <c r="AY15" s="121"/>
      <c r="AZ15" s="121"/>
    </row>
    <row r="16" spans="1:52" s="53" customFormat="1" ht="14.25" hidden="1" customHeight="1">
      <c r="A16" s="125"/>
      <c r="B16" s="125"/>
      <c r="C16" s="125"/>
      <c r="D16" s="125"/>
      <c r="E16" s="1153"/>
      <c r="F16" s="1153"/>
      <c r="G16" s="125"/>
      <c r="H16" s="125"/>
      <c r="I16" s="125"/>
      <c r="J16" s="125"/>
      <c r="K16" s="125"/>
      <c r="L16" s="184"/>
      <c r="M16" s="428"/>
      <c r="N16" s="428"/>
      <c r="P16" s="158"/>
      <c r="Q16" s="424"/>
      <c r="R16" s="158"/>
      <c r="S16" s="429"/>
      <c r="T16" s="432" t="s">
        <v>253</v>
      </c>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W16" s="121"/>
      <c r="AX16" s="121" t="str">
        <f t="shared" si="1"/>
        <v>Добавить централизованную систему для дифференциации</v>
      </c>
      <c r="AY16" s="121"/>
      <c r="AZ16" s="121"/>
    </row>
    <row r="17" spans="1:52" s="53" customFormat="1" ht="14.25" hidden="1" customHeight="1">
      <c r="A17" s="125"/>
      <c r="B17" s="125"/>
      <c r="C17" s="125"/>
      <c r="D17" s="125"/>
      <c r="E17" s="1153"/>
      <c r="F17" s="125"/>
      <c r="G17" s="125"/>
      <c r="H17" s="125"/>
      <c r="I17" s="125"/>
      <c r="J17" s="125"/>
      <c r="K17" s="125"/>
      <c r="L17" s="184"/>
      <c r="M17" s="428"/>
      <c r="N17" s="428"/>
      <c r="P17" s="158"/>
      <c r="Q17" s="424"/>
      <c r="R17" s="158"/>
      <c r="S17" s="429"/>
      <c r="T17" s="432" t="s">
        <v>254</v>
      </c>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W17" s="121"/>
      <c r="AX17" s="121" t="str">
        <f t="shared" si="1"/>
        <v>Добавить территорию для дифференциации</v>
      </c>
      <c r="AY17" s="121"/>
      <c r="AZ17" s="121"/>
    </row>
    <row r="18" spans="1:52" ht="14.25" hidden="1" customHeight="1"/>
    <row r="19" spans="1:52" ht="14.25" hidden="1" customHeight="1">
      <c r="AB19" s="431" t="s">
        <v>53</v>
      </c>
      <c r="AC19" s="497"/>
      <c r="AD19" s="431">
        <v>1</v>
      </c>
      <c r="AE19" s="498"/>
      <c r="AF19" s="431" t="s">
        <v>53</v>
      </c>
      <c r="AG19" s="497"/>
      <c r="AH19" s="431">
        <v>1</v>
      </c>
      <c r="AI19" s="498"/>
      <c r="AJ19" s="431" t="s">
        <v>53</v>
      </c>
      <c r="AK19" s="499"/>
      <c r="AL19" s="431">
        <v>1</v>
      </c>
      <c r="AM19" s="500"/>
      <c r="AN19" s="501"/>
      <c r="AO19" s="502"/>
      <c r="AP19" s="503"/>
      <c r="AQ19" s="225" t="s">
        <v>63</v>
      </c>
      <c r="AR19" s="503"/>
      <c r="AS19" s="225" t="s">
        <v>63</v>
      </c>
    </row>
    <row r="20" spans="1:52" ht="14.25" hidden="1" customHeight="1">
      <c r="AV20" s="123"/>
      <c r="AW20" s="123"/>
      <c r="AX20" s="123"/>
      <c r="AY20" s="123"/>
      <c r="AZ20" s="123"/>
    </row>
    <row r="21" spans="1:52" ht="14.25" hidden="1" customHeight="1">
      <c r="O21" s="435" t="s">
        <v>404</v>
      </c>
      <c r="X21" s="484"/>
      <c r="Z21" s="484"/>
      <c r="AP21" s="484"/>
      <c r="AR21" s="484"/>
      <c r="AV21" s="123"/>
      <c r="AW21" s="123"/>
      <c r="AX21" s="123"/>
      <c r="AY21" s="123"/>
      <c r="AZ21" s="123"/>
    </row>
    <row r="22" spans="1:52" ht="14.25" hidden="1" customHeight="1">
      <c r="AV22" s="123"/>
      <c r="AW22" s="123"/>
      <c r="AX22" s="123"/>
      <c r="AY22" s="123"/>
      <c r="AZ22" s="123"/>
    </row>
    <row r="23" spans="1:52" s="504" customFormat="1" ht="14.25" hidden="1" customHeight="1">
      <c r="M23" s="505"/>
      <c r="N23" s="505"/>
      <c r="O23" s="504" t="s">
        <v>405</v>
      </c>
      <c r="P23" s="505"/>
      <c r="Q23" s="506"/>
      <c r="R23" s="506"/>
      <c r="Y23" s="504" t="s">
        <v>407</v>
      </c>
      <c r="AA23" s="504" t="s">
        <v>408</v>
      </c>
      <c r="AB23" s="504" t="s">
        <v>454</v>
      </c>
      <c r="AE23" s="504" t="s">
        <v>455</v>
      </c>
      <c r="AF23" s="504" t="s">
        <v>454</v>
      </c>
      <c r="AI23" s="504" t="s">
        <v>456</v>
      </c>
      <c r="AJ23" s="504" t="s">
        <v>454</v>
      </c>
      <c r="AM23" s="504" t="s">
        <v>457</v>
      </c>
      <c r="AQ23" s="504" t="s">
        <v>407</v>
      </c>
      <c r="AS23" s="504" t="s">
        <v>408</v>
      </c>
      <c r="AV23" s="507"/>
      <c r="AW23" s="507"/>
      <c r="AX23" s="507"/>
      <c r="AY23" s="507"/>
      <c r="AZ23" s="507"/>
    </row>
    <row r="24" spans="1:52" ht="14.25" hidden="1" customHeight="1">
      <c r="O24" s="391"/>
      <c r="AV24" s="123"/>
      <c r="AW24" s="123"/>
      <c r="AX24" s="123"/>
      <c r="AY24" s="123"/>
      <c r="AZ24" s="123"/>
    </row>
    <row r="25" spans="1:52" ht="14.25" hidden="1" customHeight="1">
      <c r="O25" s="391"/>
      <c r="AV25" s="123"/>
      <c r="AW25" s="123"/>
      <c r="AX25" s="123"/>
      <c r="AY25" s="123"/>
      <c r="AZ25" s="123"/>
    </row>
    <row r="26" spans="1:52" ht="14.25" customHeight="1">
      <c r="Q26" s="508"/>
      <c r="R26" s="437"/>
      <c r="S26" s="438"/>
      <c r="T26" s="83"/>
      <c r="U26" s="83"/>
    </row>
    <row r="27" spans="1:52" ht="26.25" customHeight="1">
      <c r="Q27" s="508"/>
      <c r="R27" s="437"/>
      <c r="S27" s="110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106"/>
      <c r="U27" s="1106"/>
      <c r="V27" s="1106"/>
      <c r="W27" s="1106"/>
      <c r="X27" s="1106"/>
      <c r="Y27" s="1106"/>
      <c r="Z27" s="1106"/>
      <c r="AA27" s="1106"/>
      <c r="AB27" s="1106"/>
      <c r="AC27" s="1106"/>
      <c r="AD27" s="1106"/>
      <c r="AE27" s="1106"/>
      <c r="AF27" s="1106"/>
      <c r="AG27" s="1106"/>
      <c r="AH27" s="1106"/>
      <c r="AI27" s="1106"/>
      <c r="AJ27" s="1106"/>
      <c r="AK27" s="1106"/>
      <c r="AL27" s="1106"/>
      <c r="AM27" s="1106"/>
      <c r="AN27" s="1106"/>
      <c r="AO27" s="1106"/>
      <c r="AP27" s="1106"/>
      <c r="AQ27" s="1106"/>
      <c r="AR27" s="1106"/>
      <c r="AS27" s="201"/>
    </row>
    <row r="28" spans="1:52" ht="14.25" customHeight="1">
      <c r="Q28" s="508"/>
      <c r="R28" s="437"/>
      <c r="S28" s="1127" t="str">
        <f>IF(org=0,"Не определено",org)</f>
        <v>Филиал ПАО "ОГК-2" - Серовская ГРЭС, г. Серов</v>
      </c>
      <c r="T28" s="1127"/>
      <c r="U28" s="1127"/>
      <c r="V28" s="1127"/>
      <c r="W28" s="1127"/>
      <c r="X28" s="1127"/>
      <c r="Y28" s="1127"/>
      <c r="Z28" s="1127"/>
      <c r="AA28" s="1127"/>
      <c r="AB28" s="1127"/>
      <c r="AC28" s="1127"/>
      <c r="AD28" s="1127"/>
      <c r="AE28" s="1127"/>
      <c r="AF28" s="1127"/>
      <c r="AG28" s="1127"/>
      <c r="AH28" s="1127"/>
      <c r="AI28" s="1127"/>
      <c r="AJ28" s="1127"/>
      <c r="AK28" s="1127"/>
      <c r="AL28" s="1127"/>
      <c r="AM28" s="1127"/>
      <c r="AN28" s="1127"/>
      <c r="AO28" s="1127"/>
      <c r="AP28" s="1127"/>
      <c r="AQ28" s="1127"/>
      <c r="AR28" s="1127"/>
      <c r="AS28" s="201"/>
    </row>
    <row r="29" spans="1:52" ht="14.25" customHeight="1">
      <c r="Q29" s="508"/>
      <c r="R29" s="437"/>
      <c r="S29" s="438"/>
      <c r="T29" s="83"/>
      <c r="U29" s="83"/>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row>
    <row r="30" spans="1:52" s="174" customFormat="1" ht="25.5" customHeight="1">
      <c r="A30" s="142"/>
      <c r="B30" s="142"/>
      <c r="C30" s="142"/>
      <c r="D30" s="142"/>
      <c r="E30" s="142"/>
      <c r="F30" s="142"/>
      <c r="G30" s="142"/>
      <c r="H30" s="142"/>
      <c r="I30" s="142"/>
      <c r="J30" s="142"/>
      <c r="K30" s="142"/>
      <c r="L30" s="391"/>
      <c r="M30" s="142"/>
      <c r="N30" s="142"/>
      <c r="O30" s="142"/>
      <c r="P30" s="142"/>
      <c r="Q30" s="142"/>
      <c r="S30" s="1162" t="s">
        <v>37</v>
      </c>
      <c r="T30" s="1162"/>
      <c r="U30" s="441"/>
      <c r="V30" s="1163" t="str">
        <f>IF(TITLE_NAME_OR_PR_CHANGE="",IF(TITLE_NAME_OR_PR="","",TITLE_NAME_OR_PR),TITLE_NAME_OR_PR_CHANGE)</f>
        <v>Региональная энергетическая комиссия Свердловской области</v>
      </c>
      <c r="W30" s="1163"/>
      <c r="X30" s="1163"/>
      <c r="Y30" s="1163"/>
      <c r="Z30" s="1163"/>
      <c r="AA30" s="46"/>
      <c r="AB30" s="1163" t="str">
        <f>IF(TITLE_NAME_OR_PR_CHANGE="",IF(TITLE_NAME_OR_PR="","",TITLE_NAME_OR_PR),TITLE_NAME_OR_PR_CHANGE)</f>
        <v>Региональная энергетическая комиссия Свердловской области</v>
      </c>
      <c r="AC30" s="1163"/>
      <c r="AD30" s="1163"/>
      <c r="AE30" s="1163"/>
      <c r="AF30" s="1163"/>
      <c r="AG30" s="1163"/>
      <c r="AH30" s="1163"/>
      <c r="AI30" s="1163"/>
      <c r="AJ30" s="1163"/>
      <c r="AK30" s="1163"/>
      <c r="AL30" s="1163"/>
      <c r="AM30" s="1163"/>
      <c r="AN30" s="1163"/>
      <c r="AO30" s="1163"/>
      <c r="AP30" s="1163"/>
      <c r="AQ30" s="1163"/>
      <c r="AR30" s="1163"/>
      <c r="AS30" s="46"/>
      <c r="AT30" s="46"/>
      <c r="AU30" s="442"/>
      <c r="AV30" s="121"/>
      <c r="AW30" s="121"/>
      <c r="AX30" s="121"/>
      <c r="AY30" s="121"/>
      <c r="AZ30" s="121"/>
    </row>
    <row r="31" spans="1:52" s="174" customFormat="1" ht="18.75" customHeight="1">
      <c r="A31" s="142"/>
      <c r="B31" s="142"/>
      <c r="C31" s="142"/>
      <c r="D31" s="142"/>
      <c r="E31" s="142"/>
      <c r="F31" s="142"/>
      <c r="G31" s="142"/>
      <c r="H31" s="142"/>
      <c r="I31" s="142"/>
      <c r="J31" s="142"/>
      <c r="K31" s="142"/>
      <c r="L31" s="391"/>
      <c r="M31" s="142"/>
      <c r="N31" s="142"/>
      <c r="O31" s="142"/>
      <c r="P31" s="142"/>
      <c r="Q31" s="142"/>
      <c r="S31" s="1162" t="s">
        <v>410</v>
      </c>
      <c r="T31" s="1162"/>
      <c r="U31" s="441"/>
      <c r="V31" s="1164">
        <f>IF(TITLE_DATE_PR_CHANGE="",IF(TITLE_DATE_PR="","",TITLE_DATE_PR),TITLE_DATE_PR_CHANGE)</f>
        <v>45266.462974536997</v>
      </c>
      <c r="W31" s="1164"/>
      <c r="X31" s="1164"/>
      <c r="Y31" s="1164"/>
      <c r="Z31" s="1164"/>
      <c r="AA31" s="46"/>
      <c r="AB31" s="1164">
        <f>IF(TITLE_DATE_PR_CHANGE="",IF(TITLE_DATE_PR="","",TITLE_DATE_PR),TITLE_DATE_PR_CHANGE)</f>
        <v>45266.462974536997</v>
      </c>
      <c r="AC31" s="1164"/>
      <c r="AD31" s="1164"/>
      <c r="AE31" s="1164"/>
      <c r="AF31" s="1164"/>
      <c r="AG31" s="1164"/>
      <c r="AH31" s="1164"/>
      <c r="AI31" s="1164"/>
      <c r="AJ31" s="1164"/>
      <c r="AK31" s="1164"/>
      <c r="AL31" s="1164"/>
      <c r="AM31" s="1164"/>
      <c r="AN31" s="1164"/>
      <c r="AO31" s="1164"/>
      <c r="AP31" s="1164"/>
      <c r="AQ31" s="1164"/>
      <c r="AR31" s="1164"/>
      <c r="AS31" s="46"/>
      <c r="AT31" s="46"/>
      <c r="AU31" s="442"/>
      <c r="AV31" s="121"/>
      <c r="AW31" s="121"/>
      <c r="AX31" s="121"/>
      <c r="AY31" s="121"/>
      <c r="AZ31" s="121"/>
    </row>
    <row r="32" spans="1:52" s="174" customFormat="1" ht="18.75" customHeight="1">
      <c r="A32" s="142"/>
      <c r="B32" s="142"/>
      <c r="C32" s="142"/>
      <c r="D32" s="142"/>
      <c r="E32" s="142"/>
      <c r="F32" s="142"/>
      <c r="G32" s="142"/>
      <c r="H32" s="142"/>
      <c r="I32" s="142"/>
      <c r="J32" s="142"/>
      <c r="K32" s="142"/>
      <c r="L32" s="391"/>
      <c r="M32" s="142"/>
      <c r="N32" s="142"/>
      <c r="O32" s="142"/>
      <c r="P32" s="142"/>
      <c r="Q32" s="142"/>
      <c r="S32" s="1162" t="s">
        <v>411</v>
      </c>
      <c r="T32" s="1162"/>
      <c r="U32" s="441"/>
      <c r="V32" s="1163" t="str">
        <f>IF(TITLE_NUMBER_PR_CHANGE="",IF(TITLE_NUMBER_PR="","",TITLE_NUMBER_PR),TITLE_NUMBER_PR_CHANGE)</f>
        <v>216-ПК</v>
      </c>
      <c r="W32" s="1163"/>
      <c r="X32" s="1163"/>
      <c r="Y32" s="1163"/>
      <c r="Z32" s="1163"/>
      <c r="AA32" s="46"/>
      <c r="AB32" s="1163" t="str">
        <f>IF(TITLE_NUMBER_PR_CHANGE="",IF(TITLE_NUMBER_PR="","",TITLE_NUMBER_PR),TITLE_NUMBER_PR_CHANGE)</f>
        <v>216-ПК</v>
      </c>
      <c r="AC32" s="1163"/>
      <c r="AD32" s="1163"/>
      <c r="AE32" s="1163"/>
      <c r="AF32" s="1163"/>
      <c r="AG32" s="1163"/>
      <c r="AH32" s="1163"/>
      <c r="AI32" s="1163"/>
      <c r="AJ32" s="1163"/>
      <c r="AK32" s="1163"/>
      <c r="AL32" s="1163"/>
      <c r="AM32" s="1163"/>
      <c r="AN32" s="1163"/>
      <c r="AO32" s="1163"/>
      <c r="AP32" s="1163"/>
      <c r="AQ32" s="1163"/>
      <c r="AR32" s="1163"/>
      <c r="AS32" s="46"/>
      <c r="AT32" s="46"/>
      <c r="AU32" s="442"/>
      <c r="AV32" s="121"/>
      <c r="AW32" s="121"/>
      <c r="AX32" s="121"/>
      <c r="AY32" s="121"/>
      <c r="AZ32" s="121"/>
    </row>
    <row r="33" spans="1:52" s="174" customFormat="1" ht="18.75" customHeight="1">
      <c r="A33" s="142"/>
      <c r="B33" s="142"/>
      <c r="C33" s="142"/>
      <c r="D33" s="142"/>
      <c r="E33" s="142"/>
      <c r="F33" s="142"/>
      <c r="G33" s="142"/>
      <c r="H33" s="142"/>
      <c r="I33" s="142"/>
      <c r="J33" s="142"/>
      <c r="K33" s="142"/>
      <c r="L33" s="391"/>
      <c r="M33" s="142"/>
      <c r="N33" s="142"/>
      <c r="O33" s="142"/>
      <c r="P33" s="142"/>
      <c r="Q33" s="142"/>
      <c r="S33" s="1162" t="s">
        <v>39</v>
      </c>
      <c r="T33" s="1162"/>
      <c r="U33" s="441"/>
      <c r="V33" s="1163" t="str">
        <f>IF(TITLE_IST_PUB_CHANGE="",IF(TITLE_IST_PUB="","",TITLE_IST_PUB),TITLE_IST_PUB_CHANGE)</f>
        <v>Региональная энергетическая комиссия Свердловской области</v>
      </c>
      <c r="W33" s="1163"/>
      <c r="X33" s="1163"/>
      <c r="Y33" s="1163"/>
      <c r="Z33" s="1163"/>
      <c r="AA33" s="46"/>
      <c r="AB33" s="1163" t="str">
        <f>IF(TITLE_IST_PUB_CHANGE="",IF(TITLE_IST_PUB="","",TITLE_IST_PUB),TITLE_IST_PUB_CHANGE)</f>
        <v>Региональная энергетическая комиссия Свердловской области</v>
      </c>
      <c r="AC33" s="1163"/>
      <c r="AD33" s="1163"/>
      <c r="AE33" s="1163"/>
      <c r="AF33" s="1163"/>
      <c r="AG33" s="1163"/>
      <c r="AH33" s="1163"/>
      <c r="AI33" s="1163"/>
      <c r="AJ33" s="1163"/>
      <c r="AK33" s="1163"/>
      <c r="AL33" s="1163"/>
      <c r="AM33" s="1163"/>
      <c r="AN33" s="1163"/>
      <c r="AO33" s="1163"/>
      <c r="AP33" s="1163"/>
      <c r="AQ33" s="1163"/>
      <c r="AR33" s="1163"/>
      <c r="AS33" s="46"/>
      <c r="AT33" s="46"/>
      <c r="AU33" s="442"/>
      <c r="AV33" s="121"/>
      <c r="AW33" s="121"/>
      <c r="AX33" s="121"/>
      <c r="AY33" s="121"/>
      <c r="AZ33" s="121"/>
    </row>
    <row r="34" spans="1:52" ht="14.25" hidden="1" customHeight="1">
      <c r="Q34" s="508"/>
      <c r="R34" s="437"/>
      <c r="S34" s="438"/>
      <c r="T34" s="83"/>
      <c r="U34" s="83"/>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row>
    <row r="35" spans="1:52" s="174" customFormat="1" ht="18.75" hidden="1" customHeight="1">
      <c r="A35" s="142"/>
      <c r="B35" s="142"/>
      <c r="C35" s="142"/>
      <c r="D35" s="142"/>
      <c r="E35" s="142"/>
      <c r="F35" s="142"/>
      <c r="G35" s="142"/>
      <c r="H35" s="142"/>
      <c r="I35" s="142"/>
      <c r="J35" s="142"/>
      <c r="K35" s="142"/>
      <c r="L35" s="391"/>
      <c r="M35" s="142"/>
      <c r="N35" s="142"/>
      <c r="O35" s="142"/>
      <c r="P35" s="142"/>
      <c r="Q35" s="142"/>
      <c r="S35" s="1162" t="s">
        <v>410</v>
      </c>
      <c r="T35" s="1162"/>
      <c r="U35" s="441"/>
      <c r="V35" s="1164">
        <f>IF(TITLE_DATE_PR_CHANGE="",IF(TITLE_DATE_PR="","",TITLE_DATE_PR),TITLE_DATE_PR_CHANGE)</f>
        <v>45266.462974536997</v>
      </c>
      <c r="W35" s="1164"/>
      <c r="X35" s="1164"/>
      <c r="Y35" s="1164"/>
      <c r="Z35" s="1164"/>
      <c r="AA35" s="46"/>
      <c r="AB35" s="1164">
        <f>IF(TITLE_DATE_PR_CHANGE="",IF(TITLE_DATE_PR="","",TITLE_DATE_PR),TITLE_DATE_PR_CHANGE)</f>
        <v>45266.462974536997</v>
      </c>
      <c r="AC35" s="1164"/>
      <c r="AD35" s="1164"/>
      <c r="AE35" s="1164"/>
      <c r="AF35" s="1164"/>
      <c r="AG35" s="1164"/>
      <c r="AH35" s="1164"/>
      <c r="AI35" s="1164"/>
      <c r="AJ35" s="1164"/>
      <c r="AK35" s="1164"/>
      <c r="AL35" s="1164"/>
      <c r="AM35" s="1164"/>
      <c r="AN35" s="1164"/>
      <c r="AO35" s="1164"/>
      <c r="AP35" s="1164"/>
      <c r="AQ35" s="1164"/>
      <c r="AR35" s="1164"/>
      <c r="AS35" s="46"/>
      <c r="AT35" s="46"/>
      <c r="AU35" s="442"/>
      <c r="AV35" s="121"/>
      <c r="AW35" s="121"/>
      <c r="AX35" s="121"/>
      <c r="AY35" s="121"/>
      <c r="AZ35" s="121"/>
    </row>
    <row r="36" spans="1:52" s="174" customFormat="1" ht="18" hidden="1" customHeight="1">
      <c r="A36" s="142"/>
      <c r="B36" s="142"/>
      <c r="C36" s="142"/>
      <c r="D36" s="142"/>
      <c r="E36" s="142"/>
      <c r="F36" s="142"/>
      <c r="G36" s="142"/>
      <c r="H36" s="142"/>
      <c r="I36" s="142"/>
      <c r="J36" s="142"/>
      <c r="K36" s="142"/>
      <c r="L36" s="391"/>
      <c r="M36" s="142"/>
      <c r="N36" s="142"/>
      <c r="O36" s="142"/>
      <c r="P36" s="142"/>
      <c r="Q36" s="142"/>
      <c r="S36" s="1162" t="s">
        <v>411</v>
      </c>
      <c r="T36" s="1162"/>
      <c r="U36" s="441"/>
      <c r="V36" s="1163" t="str">
        <f>IF(TITLE_NUMBER_PR_CHANGE="",IF(TITLE_NUMBER_PR="","",TITLE_NUMBER_PR),TITLE_NUMBER_PR_CHANGE)</f>
        <v>216-ПК</v>
      </c>
      <c r="W36" s="1163"/>
      <c r="X36" s="1163"/>
      <c r="Y36" s="1163"/>
      <c r="Z36" s="1163"/>
      <c r="AA36" s="46"/>
      <c r="AB36" s="1163" t="str">
        <f>IF(TITLE_NUMBER_PR_CHANGE="",IF(TITLE_NUMBER_PR="","",TITLE_NUMBER_PR),TITLE_NUMBER_PR_CHANGE)</f>
        <v>216-ПК</v>
      </c>
      <c r="AC36" s="1163"/>
      <c r="AD36" s="1163"/>
      <c r="AE36" s="1163"/>
      <c r="AF36" s="1163"/>
      <c r="AG36" s="1163"/>
      <c r="AH36" s="1163"/>
      <c r="AI36" s="1163"/>
      <c r="AJ36" s="1163"/>
      <c r="AK36" s="1163"/>
      <c r="AL36" s="1163"/>
      <c r="AM36" s="1163"/>
      <c r="AN36" s="1163"/>
      <c r="AO36" s="1163"/>
      <c r="AP36" s="1163"/>
      <c r="AQ36" s="1163"/>
      <c r="AR36" s="1163"/>
      <c r="AS36" s="46"/>
      <c r="AT36" s="46"/>
      <c r="AU36" s="442"/>
      <c r="AV36" s="121"/>
      <c r="AW36" s="121"/>
      <c r="AX36" s="121"/>
      <c r="AY36" s="121"/>
      <c r="AZ36" s="121"/>
    </row>
    <row r="37" spans="1:52" s="174" customFormat="1" ht="0.75" customHeight="1">
      <c r="A37" s="142"/>
      <c r="B37" s="142"/>
      <c r="C37" s="142"/>
      <c r="D37" s="142"/>
      <c r="E37" s="142"/>
      <c r="F37" s="142"/>
      <c r="G37" s="142"/>
      <c r="H37" s="142"/>
      <c r="I37" s="142"/>
      <c r="J37" s="142"/>
      <c r="K37" s="142"/>
      <c r="L37" s="391"/>
      <c r="M37" s="142"/>
      <c r="N37" s="142"/>
      <c r="O37" s="142"/>
      <c r="P37" s="142"/>
      <c r="Q37" s="142"/>
      <c r="S37" s="46"/>
      <c r="T37" s="46"/>
      <c r="U37" s="131"/>
      <c r="V37" s="46"/>
      <c r="W37" s="46"/>
      <c r="X37" s="46"/>
      <c r="Y37" s="46"/>
      <c r="Z37" s="46"/>
      <c r="AA37" s="53" t="s">
        <v>414</v>
      </c>
      <c r="AB37" s="46"/>
      <c r="AC37" s="46"/>
      <c r="AD37" s="46"/>
      <c r="AE37" s="46"/>
      <c r="AF37" s="46"/>
      <c r="AG37" s="46"/>
      <c r="AH37" s="46"/>
      <c r="AI37" s="46"/>
      <c r="AJ37" s="46"/>
      <c r="AK37" s="46"/>
      <c r="AL37" s="46"/>
      <c r="AM37" s="46"/>
      <c r="AN37" s="46"/>
      <c r="AO37" s="46"/>
      <c r="AP37" s="46"/>
      <c r="AQ37" s="46"/>
      <c r="AR37" s="46"/>
      <c r="AS37" s="53" t="s">
        <v>414</v>
      </c>
      <c r="AV37" s="121"/>
      <c r="AW37" s="121"/>
      <c r="AX37" s="121"/>
      <c r="AY37" s="121"/>
      <c r="AZ37" s="121"/>
    </row>
    <row r="38" spans="1:52" ht="14.25" customHeight="1">
      <c r="Q38" s="508"/>
      <c r="R38" s="437"/>
      <c r="S38" s="438"/>
      <c r="T38" s="83"/>
      <c r="U38" s="443"/>
      <c r="V38" s="1165"/>
      <c r="W38" s="1165"/>
      <c r="X38" s="1165"/>
      <c r="Y38" s="1165"/>
      <c r="Z38" s="1165"/>
      <c r="AA38" s="1165"/>
      <c r="AB38" s="1165"/>
      <c r="AC38" s="1165"/>
      <c r="AD38" s="1165"/>
      <c r="AE38" s="1165"/>
      <c r="AF38" s="1165"/>
      <c r="AG38" s="1165"/>
      <c r="AH38" s="1165"/>
      <c r="AI38" s="1165"/>
      <c r="AJ38" s="1165"/>
      <c r="AK38" s="1165"/>
      <c r="AL38" s="1165"/>
      <c r="AM38" s="1165"/>
      <c r="AN38" s="1165"/>
      <c r="AO38" s="1165"/>
      <c r="AP38" s="1165"/>
      <c r="AQ38" s="1165"/>
      <c r="AR38" s="1165"/>
      <c r="AS38" s="1165"/>
    </row>
    <row r="39" spans="1:52" ht="14.25" customHeight="1">
      <c r="Q39" s="508"/>
      <c r="R39" s="437"/>
      <c r="S39" s="1087" t="s">
        <v>287</v>
      </c>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t="s">
        <v>288</v>
      </c>
    </row>
    <row r="40" spans="1:52" ht="14.25" customHeight="1">
      <c r="Q40" s="508"/>
      <c r="R40" s="437"/>
      <c r="S40" s="1166" t="s">
        <v>84</v>
      </c>
      <c r="T40" s="1167" t="s">
        <v>458</v>
      </c>
      <c r="U40" s="444"/>
      <c r="V40" s="1184"/>
      <c r="W40" s="1184"/>
      <c r="X40" s="1184"/>
      <c r="Y40" s="1184"/>
      <c r="Z40" s="1184"/>
      <c r="AA40" s="1185" t="s">
        <v>417</v>
      </c>
      <c r="AB40" s="1140" t="s">
        <v>459</v>
      </c>
      <c r="AC40" s="1140"/>
      <c r="AD40" s="1140"/>
      <c r="AE40" s="1140"/>
      <c r="AF40" s="1184" t="s">
        <v>460</v>
      </c>
      <c r="AG40" s="1184"/>
      <c r="AH40" s="1184"/>
      <c r="AI40" s="1184"/>
      <c r="AJ40" s="1140" t="s">
        <v>461</v>
      </c>
      <c r="AK40" s="1140"/>
      <c r="AL40" s="1140"/>
      <c r="AM40" s="1140"/>
      <c r="AN40" s="1186" t="s">
        <v>416</v>
      </c>
      <c r="AO40" s="1186"/>
      <c r="AP40" s="1186"/>
      <c r="AQ40" s="1186"/>
      <c r="AR40" s="1186"/>
      <c r="AS40" s="1167" t="s">
        <v>417</v>
      </c>
      <c r="AT40" s="1168" t="s">
        <v>419</v>
      </c>
      <c r="AU40" s="1087"/>
    </row>
    <row r="41" spans="1:52" ht="33.75" customHeight="1">
      <c r="Q41" s="508"/>
      <c r="R41" s="437"/>
      <c r="S41" s="1166"/>
      <c r="T41" s="1167"/>
      <c r="U41" s="445"/>
      <c r="V41" s="1169" t="s">
        <v>462</v>
      </c>
      <c r="W41" s="1169"/>
      <c r="X41" s="1087" t="s">
        <v>423</v>
      </c>
      <c r="Y41" s="1087"/>
      <c r="Z41" s="1087"/>
      <c r="AA41" s="1185"/>
      <c r="AB41" s="1140"/>
      <c r="AC41" s="1140"/>
      <c r="AD41" s="1140"/>
      <c r="AE41" s="1140"/>
      <c r="AF41" s="1184"/>
      <c r="AG41" s="1184"/>
      <c r="AH41" s="1184"/>
      <c r="AI41" s="1184"/>
      <c r="AJ41" s="1140"/>
      <c r="AK41" s="1140"/>
      <c r="AL41" s="1140"/>
      <c r="AM41" s="1140"/>
      <c r="AN41" s="1087" t="s">
        <v>463</v>
      </c>
      <c r="AO41" s="1087"/>
      <c r="AP41" s="1174" t="s">
        <v>423</v>
      </c>
      <c r="AQ41" s="1174"/>
      <c r="AR41" s="1174"/>
      <c r="AS41" s="1167"/>
      <c r="AT41" s="1168"/>
      <c r="AU41" s="1087"/>
    </row>
    <row r="42" spans="1:52" ht="14.25" customHeight="1">
      <c r="Q42" s="508"/>
      <c r="R42" s="437"/>
      <c r="S42" s="1166"/>
      <c r="T42" s="1167"/>
      <c r="U42" s="445"/>
      <c r="V42" s="1169"/>
      <c r="W42" s="1169"/>
      <c r="X42" s="1087"/>
      <c r="Y42" s="1087"/>
      <c r="Z42" s="1087"/>
      <c r="AA42" s="1185"/>
      <c r="AB42" s="1140"/>
      <c r="AC42" s="1140"/>
      <c r="AD42" s="1140"/>
      <c r="AE42" s="1140"/>
      <c r="AF42" s="1184"/>
      <c r="AG42" s="1184"/>
      <c r="AH42" s="1184"/>
      <c r="AI42" s="1184"/>
      <c r="AJ42" s="1140"/>
      <c r="AK42" s="1140"/>
      <c r="AL42" s="1140"/>
      <c r="AM42" s="1140"/>
      <c r="AN42" s="1187"/>
      <c r="AO42" s="1187"/>
      <c r="AP42" s="1174"/>
      <c r="AQ42" s="1174"/>
      <c r="AR42" s="1174"/>
      <c r="AS42" s="1167"/>
      <c r="AT42" s="1168"/>
      <c r="AU42" s="1087"/>
    </row>
    <row r="43" spans="1:52" ht="14.25" customHeight="1">
      <c r="A43" s="142"/>
      <c r="B43" s="142" t="s">
        <v>131</v>
      </c>
      <c r="C43" s="142" t="s">
        <v>132</v>
      </c>
      <c r="D43" s="142" t="s">
        <v>133</v>
      </c>
      <c r="E43" s="391" t="s">
        <v>424</v>
      </c>
      <c r="F43" s="391" t="s">
        <v>425</v>
      </c>
      <c r="G43" s="391" t="s">
        <v>426</v>
      </c>
      <c r="H43" s="391" t="s">
        <v>427</v>
      </c>
      <c r="I43" s="391" t="s">
        <v>428</v>
      </c>
      <c r="J43" s="391" t="s">
        <v>429</v>
      </c>
      <c r="K43" s="391" t="s">
        <v>430</v>
      </c>
      <c r="L43" s="391" t="s">
        <v>405</v>
      </c>
      <c r="Q43" s="508"/>
      <c r="R43" s="437"/>
      <c r="S43" s="1166"/>
      <c r="T43" s="1167"/>
      <c r="U43" s="446"/>
      <c r="V43" s="368" t="s">
        <v>464</v>
      </c>
      <c r="W43" s="368" t="s">
        <v>465</v>
      </c>
      <c r="X43" s="203" t="s">
        <v>433</v>
      </c>
      <c r="Y43" s="1108" t="s">
        <v>434</v>
      </c>
      <c r="Z43" s="1108"/>
      <c r="AA43" s="1185"/>
      <c r="AB43" s="1140"/>
      <c r="AC43" s="1140"/>
      <c r="AD43" s="1140"/>
      <c r="AE43" s="1140"/>
      <c r="AF43" s="1184"/>
      <c r="AG43" s="1184"/>
      <c r="AH43" s="1184"/>
      <c r="AI43" s="1184"/>
      <c r="AJ43" s="1140"/>
      <c r="AK43" s="1140"/>
      <c r="AL43" s="1140"/>
      <c r="AM43" s="1140"/>
      <c r="AN43" s="512" t="s">
        <v>464</v>
      </c>
      <c r="AO43" s="512" t="s">
        <v>465</v>
      </c>
      <c r="AP43" s="203" t="s">
        <v>433</v>
      </c>
      <c r="AQ43" s="1108" t="s">
        <v>434</v>
      </c>
      <c r="AR43" s="1108"/>
      <c r="AS43" s="1167"/>
      <c r="AT43" s="1168"/>
      <c r="AU43" s="1087"/>
    </row>
    <row r="44" spans="1:52" s="123" customFormat="1" ht="11.25" hidden="1" customHeight="1">
      <c r="A44" s="142"/>
      <c r="B44" s="142"/>
      <c r="C44" s="142"/>
      <c r="D44" s="142"/>
      <c r="E44" s="142"/>
      <c r="F44" s="142"/>
      <c r="G44" s="142"/>
      <c r="H44" s="142"/>
      <c r="I44" s="142"/>
      <c r="J44" s="142"/>
      <c r="K44" s="142"/>
      <c r="L44" s="391"/>
      <c r="M44" s="57"/>
      <c r="N44" s="57"/>
      <c r="O44" s="57"/>
      <c r="P44" s="466"/>
      <c r="Q44" s="449"/>
      <c r="R44" s="449">
        <v>1</v>
      </c>
      <c r="S44" s="450" t="s">
        <v>105</v>
      </c>
      <c r="T44" s="451" t="s">
        <v>106</v>
      </c>
      <c r="U44" s="452" t="str">
        <f ca="1">OFFSET(U44,0,-1)</f>
        <v>2</v>
      </c>
      <c r="V44" s="453">
        <f ca="1">OFFSET(V44,0,-1)+1</f>
        <v>3</v>
      </c>
      <c r="W44" s="453">
        <f ca="1">OFFSET(W44,0,-1)+1</f>
        <v>4</v>
      </c>
      <c r="X44" s="453">
        <f ca="1">OFFSET(X44,0,-1)+1</f>
        <v>5</v>
      </c>
      <c r="Y44" s="1170">
        <f ca="1">OFFSET(Y44,0,-1)+1</f>
        <v>6</v>
      </c>
      <c r="Z44" s="1170"/>
      <c r="AA44" s="453">
        <f ca="1">OFFSET(AA44,0,-2)+1</f>
        <v>7</v>
      </c>
      <c r="AB44" s="343">
        <f ca="1">OFFSET(AB44,0,-1)+1</f>
        <v>8</v>
      </c>
      <c r="AC44" s="343"/>
      <c r="AD44" s="343"/>
      <c r="AE44" s="343"/>
      <c r="AF44" s="453"/>
      <c r="AG44" s="453"/>
      <c r="AH44" s="453"/>
      <c r="AI44" s="453"/>
      <c r="AJ44" s="453"/>
      <c r="AK44" s="453"/>
      <c r="AL44" s="453"/>
      <c r="AM44" s="453"/>
      <c r="AN44" s="453">
        <f ca="1">OFFSET(AN44,0,-1)+1</f>
        <v>1</v>
      </c>
      <c r="AO44" s="453">
        <f ca="1">OFFSET(AO44,0,-1)+1</f>
        <v>2</v>
      </c>
      <c r="AP44" s="453">
        <f ca="1">OFFSET(AP44,0,-1)+1</f>
        <v>3</v>
      </c>
      <c r="AQ44" s="1170">
        <f ca="1">OFFSET(AQ44,0,-1)+1</f>
        <v>4</v>
      </c>
      <c r="AR44" s="1170"/>
      <c r="AS44" s="453">
        <f ca="1">OFFSET(AS44,0,-2)+1</f>
        <v>5</v>
      </c>
      <c r="AT44" s="452">
        <f ca="1">OFFSET(AT44,0,-1)</f>
        <v>5</v>
      </c>
      <c r="AU44" s="453">
        <f ca="1">OFFSET(AU44,0,-1)+1</f>
        <v>6</v>
      </c>
      <c r="AV44" s="53"/>
      <c r="AW44" s="53"/>
      <c r="AX44" s="53"/>
      <c r="AY44" s="53"/>
      <c r="AZ44" s="53"/>
    </row>
    <row r="45" spans="1:52" ht="102" customHeight="1">
      <c r="A45" s="390" t="s">
        <v>194</v>
      </c>
      <c r="B45" s="390"/>
      <c r="C45" s="390"/>
      <c r="D45" s="390"/>
      <c r="E45" s="1153">
        <v>1</v>
      </c>
      <c r="F45" s="390"/>
      <c r="G45" s="390"/>
      <c r="H45" s="390"/>
      <c r="I45" s="390"/>
      <c r="J45" s="390"/>
      <c r="K45" s="390"/>
      <c r="L45" s="391"/>
      <c r="M45" s="392"/>
      <c r="N45" s="392"/>
      <c r="O45" s="392"/>
      <c r="Q45" s="60"/>
      <c r="R45" s="393"/>
      <c r="S45" s="394">
        <f>INDEX(PT_DIFFERENTIATION_NUM_NTAR,MATCH(A45,PT_DIFFERENTIATION_NTAR_ID,0))</f>
        <v>0</v>
      </c>
      <c r="T45" s="395" t="s">
        <v>119</v>
      </c>
      <c r="U45" s="396"/>
      <c r="V45" s="1177"/>
      <c r="W45" s="1177"/>
      <c r="X45" s="1177"/>
      <c r="Y45" s="1177"/>
      <c r="Z45" s="1177"/>
      <c r="AA45" s="1177"/>
      <c r="AB45" s="1154" t="str">
        <f>INDEX(PT_DIFFERENTIATION_NTAR,MATCH(A45,PT_DIFFERENTIATION_NTAR_ID,0))</f>
        <v/>
      </c>
      <c r="AC45" s="1154"/>
      <c r="AD45" s="1154"/>
      <c r="AE45" s="1154"/>
      <c r="AF45" s="1154"/>
      <c r="AG45" s="1154"/>
      <c r="AH45" s="1154"/>
      <c r="AI45" s="1154"/>
      <c r="AJ45" s="1154"/>
      <c r="AK45" s="1154"/>
      <c r="AL45" s="1154"/>
      <c r="AM45" s="1154"/>
      <c r="AN45" s="1154"/>
      <c r="AO45" s="1154"/>
      <c r="AP45" s="1154"/>
      <c r="AQ45" s="1154"/>
      <c r="AR45" s="1154"/>
      <c r="AS45" s="1154"/>
      <c r="AT45" s="1154"/>
      <c r="AU45" s="39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21"/>
      <c r="AX45" s="121" t="str">
        <f t="shared" ref="AX45:AX51" si="2">IF(T45="","",T45)</f>
        <v>Наименование тарифа</v>
      </c>
      <c r="AY45" s="121"/>
      <c r="AZ45" s="121"/>
    </row>
    <row r="46" spans="1:52" ht="21" customHeight="1">
      <c r="A46" s="390" t="s">
        <v>194</v>
      </c>
      <c r="B46" s="390" t="s">
        <v>195</v>
      </c>
      <c r="C46" s="390"/>
      <c r="D46" s="390"/>
      <c r="E46" s="1153"/>
      <c r="F46" s="1153">
        <v>1</v>
      </c>
      <c r="G46" s="390"/>
      <c r="H46" s="390"/>
      <c r="I46" s="390"/>
      <c r="J46" s="390"/>
      <c r="K46" s="390"/>
      <c r="L46" s="391"/>
      <c r="M46" s="392"/>
      <c r="N46" s="392"/>
      <c r="O46" s="392"/>
      <c r="P46" s="107"/>
      <c r="Q46" s="485"/>
      <c r="R46" s="399"/>
      <c r="S46" s="394" t="str">
        <f>INDEX(PT_DIFFERENTIATION_NUM_TER,MATCH(B46,PT_DIFFERENTIATION_TER_ID,0))</f>
        <v>.</v>
      </c>
      <c r="T46" s="400" t="s">
        <v>386</v>
      </c>
      <c r="U46" s="396"/>
      <c r="V46" s="1177"/>
      <c r="W46" s="1177"/>
      <c r="X46" s="1177"/>
      <c r="Y46" s="1177"/>
      <c r="Z46" s="1177"/>
      <c r="AA46" s="1177"/>
      <c r="AB46" s="1154" t="str">
        <f>INDEX(PT_DIFFERENTIATION_TER,MATCH(B46,PT_DIFFERENTIATION_TER_ID,0))</f>
        <v/>
      </c>
      <c r="AC46" s="1154"/>
      <c r="AD46" s="1154"/>
      <c r="AE46" s="1154"/>
      <c r="AF46" s="1154"/>
      <c r="AG46" s="1154"/>
      <c r="AH46" s="1154"/>
      <c r="AI46" s="1154"/>
      <c r="AJ46" s="1154"/>
      <c r="AK46" s="1154"/>
      <c r="AL46" s="1154"/>
      <c r="AM46" s="1154"/>
      <c r="AN46" s="1154"/>
      <c r="AO46" s="1154"/>
      <c r="AP46" s="1154"/>
      <c r="AQ46" s="1154"/>
      <c r="AR46" s="1154"/>
      <c r="AS46" s="1154"/>
      <c r="AT46" s="1154"/>
      <c r="AU46" s="397" t="s">
        <v>387</v>
      </c>
      <c r="AW46" s="121"/>
      <c r="AX46" s="121" t="str">
        <f t="shared" si="2"/>
        <v>Территория действия тарифа</v>
      </c>
      <c r="AY46" s="121"/>
      <c r="AZ46" s="121"/>
    </row>
    <row r="47" spans="1:52" ht="23.25" customHeight="1">
      <c r="A47" s="390" t="s">
        <v>194</v>
      </c>
      <c r="B47" s="390" t="s">
        <v>195</v>
      </c>
      <c r="C47" s="390" t="s">
        <v>196</v>
      </c>
      <c r="D47" s="390"/>
      <c r="E47" s="1153"/>
      <c r="F47" s="1153"/>
      <c r="G47" s="1153">
        <v>1</v>
      </c>
      <c r="H47" s="390"/>
      <c r="I47" s="390"/>
      <c r="J47" s="390"/>
      <c r="K47" s="390"/>
      <c r="L47" s="391"/>
      <c r="M47" s="392"/>
      <c r="N47" s="392"/>
      <c r="O47" s="392"/>
      <c r="P47" s="130"/>
      <c r="Q47" s="485"/>
      <c r="R47" s="399"/>
      <c r="S47" s="394" t="str">
        <f>INDEX(PT_DIFFERENTIATION_NUM_CS,MATCH(C47,PT_DIFFERENTIATION_CS_ID,0))</f>
        <v>..</v>
      </c>
      <c r="T47" s="402" t="s">
        <v>388</v>
      </c>
      <c r="U47" s="396"/>
      <c r="V47" s="1177"/>
      <c r="W47" s="1177"/>
      <c r="X47" s="1177"/>
      <c r="Y47" s="1177"/>
      <c r="Z47" s="1177"/>
      <c r="AA47" s="1177"/>
      <c r="AB47" s="1154" t="str">
        <f>INDEX(PT_DIFFERENTIATION_CS,MATCH(C47,PT_DIFFERENTIATION_CS_ID,0))</f>
        <v/>
      </c>
      <c r="AC47" s="1154"/>
      <c r="AD47" s="1154"/>
      <c r="AE47" s="1154"/>
      <c r="AF47" s="1154"/>
      <c r="AG47" s="1154"/>
      <c r="AH47" s="1154"/>
      <c r="AI47" s="1154"/>
      <c r="AJ47" s="1154"/>
      <c r="AK47" s="1154"/>
      <c r="AL47" s="1154"/>
      <c r="AM47" s="1154"/>
      <c r="AN47" s="1154"/>
      <c r="AO47" s="1154"/>
      <c r="AP47" s="1154"/>
      <c r="AQ47" s="1154"/>
      <c r="AR47" s="1154"/>
      <c r="AS47" s="1154"/>
      <c r="AT47" s="1154"/>
      <c r="AU47" s="397" t="s">
        <v>389</v>
      </c>
      <c r="AW47" s="121"/>
      <c r="AX47" s="121" t="str">
        <f t="shared" si="2"/>
        <v xml:space="preserve">Наименование системы теплоснабжения </v>
      </c>
      <c r="AY47" s="121"/>
      <c r="AZ47" s="121"/>
    </row>
    <row r="48" spans="1:52" ht="21" customHeight="1">
      <c r="A48" s="390" t="s">
        <v>194</v>
      </c>
      <c r="B48" s="390" t="s">
        <v>195</v>
      </c>
      <c r="C48" s="390" t="s">
        <v>196</v>
      </c>
      <c r="D48" s="390" t="s">
        <v>197</v>
      </c>
      <c r="E48" s="1153"/>
      <c r="F48" s="1153"/>
      <c r="G48" s="1153"/>
      <c r="H48" s="1153">
        <v>1</v>
      </c>
      <c r="I48" s="390"/>
      <c r="J48" s="390"/>
      <c r="K48" s="390"/>
      <c r="L48" s="391"/>
      <c r="M48" s="392"/>
      <c r="N48" s="392"/>
      <c r="O48" s="392"/>
      <c r="P48" s="130"/>
      <c r="Q48" s="485"/>
      <c r="R48" s="399"/>
      <c r="S48" s="394" t="str">
        <f>INDEX(PT_DIFFERENTIATION_NUM_IST_TE,MATCH(D48,PT_DIFFERENTIATION_IST_TE_ID,0))</f>
        <v>...</v>
      </c>
      <c r="T48" s="403" t="s">
        <v>390</v>
      </c>
      <c r="U48" s="396"/>
      <c r="V48" s="1177"/>
      <c r="W48" s="1177"/>
      <c r="X48" s="1177"/>
      <c r="Y48" s="1177"/>
      <c r="Z48" s="1177"/>
      <c r="AA48" s="1177"/>
      <c r="AB48" s="1154" t="str">
        <f>INDEX(PT_DIFFERENTIATION_IST_TE,MATCH(D48,PT_DIFFERENTIATION_IST_TE_ID,0))</f>
        <v/>
      </c>
      <c r="AC48" s="1154"/>
      <c r="AD48" s="1154"/>
      <c r="AE48" s="1154"/>
      <c r="AF48" s="1154"/>
      <c r="AG48" s="1154"/>
      <c r="AH48" s="1154"/>
      <c r="AI48" s="1154"/>
      <c r="AJ48" s="1154"/>
      <c r="AK48" s="1154"/>
      <c r="AL48" s="1154"/>
      <c r="AM48" s="1154"/>
      <c r="AN48" s="1154"/>
      <c r="AO48" s="1154"/>
      <c r="AP48" s="1154"/>
      <c r="AQ48" s="1154"/>
      <c r="AR48" s="1154"/>
      <c r="AS48" s="1154"/>
      <c r="AT48" s="1154"/>
      <c r="AU48" s="397" t="s">
        <v>391</v>
      </c>
      <c r="AW48" s="121"/>
      <c r="AX48" s="121" t="str">
        <f t="shared" si="2"/>
        <v xml:space="preserve">Источник тепловой энергии  </v>
      </c>
      <c r="AY48" s="121"/>
      <c r="AZ48" s="121"/>
    </row>
    <row r="49" spans="1:52" s="53" customFormat="1" ht="5.25">
      <c r="A49" s="125" t="s">
        <v>194</v>
      </c>
      <c r="B49" s="125" t="s">
        <v>195</v>
      </c>
      <c r="C49" s="125" t="s">
        <v>196</v>
      </c>
      <c r="D49" s="125" t="s">
        <v>197</v>
      </c>
      <c r="E49" s="1153"/>
      <c r="F49" s="1153"/>
      <c r="G49" s="1153"/>
      <c r="H49" s="1153"/>
      <c r="I49" s="1155" t="str">
        <f>S48&amp;".1"</f>
        <v>....1</v>
      </c>
      <c r="J49" s="125"/>
      <c r="K49" s="125"/>
      <c r="L49" s="184" t="s">
        <v>392</v>
      </c>
      <c r="M49" s="466"/>
      <c r="N49" s="466"/>
      <c r="O49" s="466"/>
      <c r="P49" s="1156">
        <v>1</v>
      </c>
      <c r="Q49" s="124"/>
      <c r="R49" s="405"/>
      <c r="S49" s="280"/>
      <c r="T49" s="459"/>
      <c r="U49" s="460"/>
      <c r="V49" s="1178"/>
      <c r="W49" s="1178"/>
      <c r="X49" s="1178"/>
      <c r="Y49" s="1178"/>
      <c r="Z49" s="1178"/>
      <c r="AA49" s="1178"/>
      <c r="AB49" s="1175"/>
      <c r="AC49" s="1175"/>
      <c r="AD49" s="1175"/>
      <c r="AE49" s="1175"/>
      <c r="AF49" s="1175"/>
      <c r="AG49" s="1175"/>
      <c r="AH49" s="1175"/>
      <c r="AI49" s="1175"/>
      <c r="AJ49" s="1175"/>
      <c r="AK49" s="1175"/>
      <c r="AL49" s="1175"/>
      <c r="AM49" s="1175"/>
      <c r="AN49" s="1175"/>
      <c r="AO49" s="1175"/>
      <c r="AP49" s="1175"/>
      <c r="AQ49" s="1175"/>
      <c r="AR49" s="1175"/>
      <c r="AS49" s="1175"/>
      <c r="AT49" s="1175"/>
      <c r="AU49" s="461"/>
      <c r="AW49" s="121"/>
      <c r="AX49" s="121" t="str">
        <f t="shared" si="2"/>
        <v/>
      </c>
      <c r="AY49" s="121"/>
      <c r="AZ49" s="121"/>
    </row>
    <row r="50" spans="1:52" s="53" customFormat="1" ht="5.25">
      <c r="A50" s="125" t="s">
        <v>194</v>
      </c>
      <c r="B50" s="125" t="s">
        <v>195</v>
      </c>
      <c r="C50" s="125" t="s">
        <v>196</v>
      </c>
      <c r="D50" s="125" t="s">
        <v>197</v>
      </c>
      <c r="E50" s="1153"/>
      <c r="F50" s="1153"/>
      <c r="G50" s="1153"/>
      <c r="H50" s="1153"/>
      <c r="I50" s="1155"/>
      <c r="J50" s="1155" t="str">
        <f>S48&amp;".1"</f>
        <v>....1</v>
      </c>
      <c r="K50" s="125"/>
      <c r="L50" s="184"/>
      <c r="M50" s="466"/>
      <c r="N50" s="466"/>
      <c r="O50" s="466"/>
      <c r="P50" s="1156"/>
      <c r="Q50" s="1156">
        <v>1</v>
      </c>
      <c r="R50" s="408"/>
      <c r="S50" s="280"/>
      <c r="T50" s="486"/>
      <c r="U50" s="460"/>
      <c r="V50" s="1178"/>
      <c r="W50" s="1178"/>
      <c r="X50" s="1178"/>
      <c r="Y50" s="1178"/>
      <c r="Z50" s="1178"/>
      <c r="AA50" s="1178"/>
      <c r="AB50" s="1175"/>
      <c r="AC50" s="1175"/>
      <c r="AD50" s="1175"/>
      <c r="AE50" s="1175"/>
      <c r="AF50" s="1175"/>
      <c r="AG50" s="1175"/>
      <c r="AH50" s="1175"/>
      <c r="AI50" s="1175"/>
      <c r="AJ50" s="1175"/>
      <c r="AK50" s="1175"/>
      <c r="AL50" s="1175"/>
      <c r="AM50" s="1175"/>
      <c r="AN50" s="1175"/>
      <c r="AO50" s="1175"/>
      <c r="AP50" s="1175"/>
      <c r="AQ50" s="1175"/>
      <c r="AR50" s="1175"/>
      <c r="AS50" s="1175"/>
      <c r="AT50" s="1175"/>
      <c r="AU50" s="461"/>
      <c r="AW50" s="121"/>
      <c r="AX50" s="121" t="str">
        <f t="shared" si="2"/>
        <v/>
      </c>
      <c r="AY50" s="121"/>
      <c r="AZ50" s="121"/>
    </row>
    <row r="51" spans="1:52" ht="21" customHeight="1">
      <c r="A51" s="390" t="s">
        <v>194</v>
      </c>
      <c r="B51" s="390" t="s">
        <v>195</v>
      </c>
      <c r="C51" s="390" t="s">
        <v>196</v>
      </c>
      <c r="D51" s="390" t="s">
        <v>197</v>
      </c>
      <c r="E51" s="1153"/>
      <c r="F51" s="1153"/>
      <c r="G51" s="1153"/>
      <c r="H51" s="1153"/>
      <c r="I51" s="1155"/>
      <c r="J51" s="1155"/>
      <c r="K51" s="1155" t="str">
        <f>S48&amp;".1"</f>
        <v>....1</v>
      </c>
      <c r="L51" s="391"/>
      <c r="P51" s="1156"/>
      <c r="Q51" s="1156"/>
      <c r="R51" s="408">
        <v>1</v>
      </c>
      <c r="S51" s="1166" t="str">
        <f>$K51</f>
        <v>....1</v>
      </c>
      <c r="T51" s="1180"/>
      <c r="U51" s="396"/>
      <c r="V51" s="411"/>
      <c r="W51" s="413"/>
      <c r="X51" s="414"/>
      <c r="Y51" s="191" t="s">
        <v>63</v>
      </c>
      <c r="Z51" s="414"/>
      <c r="AA51" s="191" t="s">
        <v>63</v>
      </c>
      <c r="AB51" s="1105" t="s">
        <v>53</v>
      </c>
      <c r="AC51" s="1181"/>
      <c r="AD51" s="1182">
        <v>1</v>
      </c>
      <c r="AE51" s="1188"/>
      <c r="AF51" s="1105" t="s">
        <v>53</v>
      </c>
      <c r="AG51" s="1181"/>
      <c r="AH51" s="1182">
        <v>1</v>
      </c>
      <c r="AI51" s="1188"/>
      <c r="AJ51" s="1105" t="s">
        <v>53</v>
      </c>
      <c r="AK51" s="487"/>
      <c r="AL51" s="276">
        <v>1</v>
      </c>
      <c r="AM51" s="513"/>
      <c r="AN51" s="411"/>
      <c r="AO51" s="413"/>
      <c r="AP51" s="414"/>
      <c r="AQ51" s="191" t="s">
        <v>63</v>
      </c>
      <c r="AR51" s="414"/>
      <c r="AS51" s="191" t="s">
        <v>63</v>
      </c>
      <c r="AT51" s="454"/>
      <c r="AU51" s="1159" t="s">
        <v>466</v>
      </c>
      <c r="AV51" s="53" t="e">
        <f ca="1">strcheckdate(V54:AT54)</f>
        <v>#NAME?</v>
      </c>
      <c r="AW51" s="121"/>
      <c r="AX51" s="121" t="str">
        <f t="shared" si="2"/>
        <v/>
      </c>
      <c r="AY51" s="121"/>
      <c r="AZ51" s="121"/>
    </row>
    <row r="52" spans="1:52" ht="11.25" customHeight="1">
      <c r="A52" s="390" t="s">
        <v>194</v>
      </c>
      <c r="B52" s="390"/>
      <c r="C52" s="390"/>
      <c r="D52" s="390"/>
      <c r="E52" s="1153"/>
      <c r="F52" s="1153"/>
      <c r="G52" s="1153"/>
      <c r="H52" s="1153"/>
      <c r="I52" s="1155"/>
      <c r="J52" s="1155"/>
      <c r="K52" s="1155"/>
      <c r="L52" s="391"/>
      <c r="P52" s="1156"/>
      <c r="Q52" s="1156"/>
      <c r="R52" s="408"/>
      <c r="S52" s="1166"/>
      <c r="T52" s="1180"/>
      <c r="U52" s="396"/>
      <c r="V52" s="476"/>
      <c r="W52" s="490"/>
      <c r="X52" s="476"/>
      <c r="Y52" s="476"/>
      <c r="Z52" s="476"/>
      <c r="AA52" s="476"/>
      <c r="AB52" s="1105"/>
      <c r="AC52" s="1181"/>
      <c r="AD52" s="1182"/>
      <c r="AE52" s="1188"/>
      <c r="AF52" s="1105"/>
      <c r="AG52" s="1181"/>
      <c r="AH52" s="1182"/>
      <c r="AI52" s="1188"/>
      <c r="AJ52" s="1105"/>
      <c r="AK52" s="489"/>
      <c r="AL52" s="168"/>
      <c r="AM52" s="163" t="s">
        <v>450</v>
      </c>
      <c r="AN52" s="476"/>
      <c r="AO52" s="490"/>
      <c r="AP52" s="476"/>
      <c r="AQ52" s="476"/>
      <c r="AR52" s="476"/>
      <c r="AS52" s="476"/>
      <c r="AT52" s="491"/>
      <c r="AU52" s="1159"/>
      <c r="AW52" s="121"/>
      <c r="AX52" s="121"/>
      <c r="AY52" s="121"/>
      <c r="AZ52" s="121"/>
    </row>
    <row r="53" spans="1:52" ht="11.25" customHeight="1">
      <c r="A53" s="390" t="s">
        <v>194</v>
      </c>
      <c r="B53" s="390"/>
      <c r="C53" s="390"/>
      <c r="D53" s="390"/>
      <c r="E53" s="1153"/>
      <c r="F53" s="1153"/>
      <c r="G53" s="1153"/>
      <c r="H53" s="1153"/>
      <c r="I53" s="1155"/>
      <c r="J53" s="1155"/>
      <c r="K53" s="1155"/>
      <c r="L53" s="391"/>
      <c r="P53" s="1156"/>
      <c r="Q53" s="1156"/>
      <c r="R53" s="408"/>
      <c r="S53" s="1166"/>
      <c r="T53" s="1180"/>
      <c r="U53" s="396"/>
      <c r="V53" s="476"/>
      <c r="W53" s="490"/>
      <c r="X53" s="476"/>
      <c r="Y53" s="476"/>
      <c r="Z53" s="476"/>
      <c r="AA53" s="476"/>
      <c r="AB53" s="1105"/>
      <c r="AC53" s="1181"/>
      <c r="AD53" s="1182"/>
      <c r="AE53" s="1188"/>
      <c r="AF53" s="1105"/>
      <c r="AG53" s="492"/>
      <c r="AH53" s="163"/>
      <c r="AI53" s="163" t="s">
        <v>451</v>
      </c>
      <c r="AJ53" s="476"/>
      <c r="AK53" s="476"/>
      <c r="AL53" s="476"/>
      <c r="AM53" s="476"/>
      <c r="AN53" s="476"/>
      <c r="AO53" s="490"/>
      <c r="AP53" s="476"/>
      <c r="AQ53" s="476"/>
      <c r="AR53" s="476"/>
      <c r="AS53" s="476"/>
      <c r="AT53" s="491"/>
      <c r="AU53" s="1159"/>
      <c r="AW53" s="121"/>
      <c r="AX53" s="121"/>
      <c r="AY53" s="121"/>
      <c r="AZ53" s="121"/>
    </row>
    <row r="54" spans="1:52" ht="11.25" customHeight="1">
      <c r="A54" s="390" t="s">
        <v>194</v>
      </c>
      <c r="B54" s="390" t="s">
        <v>195</v>
      </c>
      <c r="C54" s="390" t="s">
        <v>196</v>
      </c>
      <c r="D54" s="390" t="s">
        <v>197</v>
      </c>
      <c r="E54" s="1153"/>
      <c r="F54" s="1153"/>
      <c r="G54" s="1153"/>
      <c r="H54" s="1153"/>
      <c r="I54" s="1155"/>
      <c r="J54" s="1155"/>
      <c r="K54" s="1155"/>
      <c r="L54" s="391"/>
      <c r="P54" s="1156"/>
      <c r="Q54" s="1156"/>
      <c r="R54" s="408"/>
      <c r="S54" s="1166"/>
      <c r="T54" s="1180"/>
      <c r="U54" s="396"/>
      <c r="V54" s="476"/>
      <c r="W54" s="477" t="str">
        <f>X51&amp;"-"&amp;Z51</f>
        <v>-</v>
      </c>
      <c r="X54" s="476"/>
      <c r="Y54" s="476"/>
      <c r="Z54" s="476"/>
      <c r="AA54" s="476"/>
      <c r="AB54" s="1105"/>
      <c r="AC54" s="494"/>
      <c r="AD54" s="495"/>
      <c r="AE54" s="163" t="s">
        <v>452</v>
      </c>
      <c r="AF54" s="476"/>
      <c r="AG54" s="476"/>
      <c r="AH54" s="476"/>
      <c r="AI54" s="476"/>
      <c r="AJ54" s="476"/>
      <c r="AK54" s="476"/>
      <c r="AL54" s="476"/>
      <c r="AM54" s="476"/>
      <c r="AN54" s="476"/>
      <c r="AO54" s="477" t="str">
        <f>AP51&amp;"-"&amp;AR51</f>
        <v>-</v>
      </c>
      <c r="AP54" s="476"/>
      <c r="AQ54" s="476"/>
      <c r="AR54" s="476"/>
      <c r="AS54" s="476"/>
      <c r="AT54" s="455"/>
      <c r="AU54" s="1159"/>
      <c r="AW54" s="121"/>
      <c r="AX54" s="121" t="str">
        <f t="shared" ref="AX54:AX62" si="3">IF(T54="","",T54)</f>
        <v/>
      </c>
      <c r="AY54" s="121"/>
      <c r="AZ54" s="121"/>
    </row>
    <row r="55" spans="1:52" ht="11.25" customHeight="1">
      <c r="A55" s="390" t="s">
        <v>194</v>
      </c>
      <c r="B55" s="390" t="s">
        <v>195</v>
      </c>
      <c r="C55" s="390" t="s">
        <v>196</v>
      </c>
      <c r="D55" s="390" t="s">
        <v>197</v>
      </c>
      <c r="E55" s="1153"/>
      <c r="F55" s="1153"/>
      <c r="G55" s="1153"/>
      <c r="H55" s="1153"/>
      <c r="I55" s="1155"/>
      <c r="J55" s="1155"/>
      <c r="K55" s="390"/>
      <c r="L55" s="391"/>
      <c r="P55" s="1156"/>
      <c r="Q55" s="1156"/>
      <c r="R55" s="405"/>
      <c r="S55" s="416"/>
      <c r="T55" s="419" t="s">
        <v>453</v>
      </c>
      <c r="U55" s="186"/>
      <c r="V55" s="186"/>
      <c r="W55" s="186"/>
      <c r="X55" s="186"/>
      <c r="Y55" s="186"/>
      <c r="Z55" s="186"/>
      <c r="AA55" s="418"/>
      <c r="AB55" s="514"/>
      <c r="AC55" s="186"/>
      <c r="AD55" s="186"/>
      <c r="AE55" s="186"/>
      <c r="AF55" s="186"/>
      <c r="AG55" s="186"/>
      <c r="AH55" s="186"/>
      <c r="AI55" s="186"/>
      <c r="AJ55" s="186"/>
      <c r="AK55" s="186"/>
      <c r="AL55" s="186"/>
      <c r="AM55" s="186"/>
      <c r="AN55" s="186"/>
      <c r="AO55" s="186"/>
      <c r="AP55" s="186"/>
      <c r="AQ55" s="186"/>
      <c r="AR55" s="186"/>
      <c r="AS55" s="186"/>
      <c r="AT55" s="418"/>
      <c r="AU55" s="1159"/>
      <c r="AW55" s="121"/>
      <c r="AX55" s="121" t="str">
        <f t="shared" si="3"/>
        <v>Добавить строку</v>
      </c>
      <c r="AY55" s="121"/>
      <c r="AZ55" s="121"/>
    </row>
    <row r="56" spans="1:52" s="53" customFormat="1" ht="5.25">
      <c r="A56" s="125" t="s">
        <v>194</v>
      </c>
      <c r="B56" s="125" t="s">
        <v>195</v>
      </c>
      <c r="C56" s="125" t="s">
        <v>196</v>
      </c>
      <c r="D56" s="125" t="s">
        <v>197</v>
      </c>
      <c r="E56" s="1153"/>
      <c r="F56" s="1153"/>
      <c r="G56" s="1153"/>
      <c r="H56" s="1153"/>
      <c r="I56" s="1155"/>
      <c r="J56" s="125"/>
      <c r="K56" s="125"/>
      <c r="L56" s="184"/>
      <c r="M56" s="466"/>
      <c r="N56" s="466"/>
      <c r="O56" s="466"/>
      <c r="P56" s="1156"/>
      <c r="Q56" s="124"/>
      <c r="R56" s="405"/>
      <c r="S56" s="462"/>
      <c r="T56" s="463" t="s">
        <v>401</v>
      </c>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5"/>
      <c r="AW56" s="121"/>
      <c r="AX56" s="121" t="str">
        <f t="shared" si="3"/>
        <v>Добавить группу потребителей</v>
      </c>
      <c r="AY56" s="121"/>
      <c r="AZ56" s="121"/>
    </row>
    <row r="57" spans="1:52" s="123" customFormat="1" ht="5.25">
      <c r="A57" s="125" t="s">
        <v>194</v>
      </c>
      <c r="B57" s="125" t="s">
        <v>195</v>
      </c>
      <c r="C57" s="125" t="s">
        <v>196</v>
      </c>
      <c r="D57" s="125" t="s">
        <v>197</v>
      </c>
      <c r="E57" s="1153"/>
      <c r="F57" s="1153"/>
      <c r="G57" s="1153"/>
      <c r="H57" s="1153"/>
      <c r="I57" s="125"/>
      <c r="J57" s="125"/>
      <c r="K57" s="125"/>
      <c r="L57" s="184"/>
      <c r="M57" s="375"/>
      <c r="N57" s="375"/>
      <c r="O57" s="53"/>
      <c r="P57" s="158"/>
      <c r="Q57" s="424"/>
      <c r="R57" s="515"/>
      <c r="S57" s="462"/>
      <c r="T57" s="463"/>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5"/>
      <c r="AV57" s="53"/>
      <c r="AW57" s="121"/>
      <c r="AX57" s="121" t="str">
        <f t="shared" si="3"/>
        <v/>
      </c>
      <c r="AY57" s="121"/>
      <c r="AZ57" s="121"/>
    </row>
    <row r="58" spans="1:52" s="53" customFormat="1" ht="5.25">
      <c r="A58" s="125" t="s">
        <v>194</v>
      </c>
      <c r="B58" s="125" t="s">
        <v>195</v>
      </c>
      <c r="C58" s="125" t="s">
        <v>196</v>
      </c>
      <c r="D58" s="125"/>
      <c r="E58" s="1153"/>
      <c r="F58" s="1153"/>
      <c r="G58" s="1153"/>
      <c r="H58" s="125"/>
      <c r="I58" s="125"/>
      <c r="J58" s="125"/>
      <c r="K58" s="125"/>
      <c r="L58" s="184"/>
      <c r="M58" s="375"/>
      <c r="N58" s="375"/>
      <c r="P58" s="158"/>
      <c r="Q58" s="424"/>
      <c r="R58" s="158"/>
      <c r="S58" s="429"/>
      <c r="T58" s="432" t="s">
        <v>403</v>
      </c>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W58" s="121"/>
      <c r="AX58" s="121" t="str">
        <f t="shared" si="3"/>
        <v>Добавить источник для дифференциации</v>
      </c>
      <c r="AY58" s="121"/>
      <c r="AZ58" s="121"/>
    </row>
    <row r="59" spans="1:52" s="53" customFormat="1" ht="5.25">
      <c r="A59" s="125" t="s">
        <v>194</v>
      </c>
      <c r="B59" s="125" t="s">
        <v>195</v>
      </c>
      <c r="C59" s="125"/>
      <c r="D59" s="125"/>
      <c r="E59" s="1153"/>
      <c r="F59" s="1153"/>
      <c r="G59" s="125"/>
      <c r="H59" s="125"/>
      <c r="I59" s="125"/>
      <c r="J59" s="125"/>
      <c r="K59" s="125"/>
      <c r="L59" s="184"/>
      <c r="M59" s="428"/>
      <c r="N59" s="428"/>
      <c r="P59" s="158"/>
      <c r="Q59" s="424"/>
      <c r="R59" s="158"/>
      <c r="S59" s="429"/>
      <c r="T59" s="432" t="s">
        <v>253</v>
      </c>
      <c r="U59" s="431"/>
      <c r="V59" s="431"/>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W59" s="121"/>
      <c r="AX59" s="121" t="str">
        <f t="shared" si="3"/>
        <v>Добавить централизованную систему для дифференциации</v>
      </c>
      <c r="AY59" s="121"/>
      <c r="AZ59" s="121"/>
    </row>
    <row r="60" spans="1:52" s="53" customFormat="1" ht="5.25">
      <c r="A60" s="125" t="s">
        <v>194</v>
      </c>
      <c r="B60" s="125"/>
      <c r="C60" s="125"/>
      <c r="D60" s="125"/>
      <c r="E60" s="1153"/>
      <c r="F60" s="125"/>
      <c r="G60" s="125"/>
      <c r="H60" s="125"/>
      <c r="I60" s="125"/>
      <c r="J60" s="125"/>
      <c r="K60" s="125"/>
      <c r="L60" s="184"/>
      <c r="M60" s="428"/>
      <c r="N60" s="428"/>
      <c r="P60" s="158"/>
      <c r="Q60" s="424"/>
      <c r="R60" s="158"/>
      <c r="S60" s="429"/>
      <c r="T60" s="432" t="s">
        <v>254</v>
      </c>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W60" s="121"/>
      <c r="AX60" s="121" t="str">
        <f t="shared" si="3"/>
        <v>Добавить территорию для дифференциации</v>
      </c>
      <c r="AY60" s="121"/>
      <c r="AZ60" s="121"/>
    </row>
    <row r="61" spans="1:52" s="53" customFormat="1" ht="5.25">
      <c r="A61" s="125" t="s">
        <v>194</v>
      </c>
      <c r="B61" s="125"/>
      <c r="C61" s="125"/>
      <c r="D61" s="125"/>
      <c r="E61" s="1153"/>
      <c r="F61" s="125"/>
      <c r="G61" s="125"/>
      <c r="H61" s="125"/>
      <c r="I61" s="125"/>
      <c r="J61" s="125"/>
      <c r="K61" s="125"/>
      <c r="L61" s="184"/>
      <c r="M61" s="428"/>
      <c r="N61" s="428"/>
      <c r="P61" s="158"/>
      <c r="Q61" s="424"/>
      <c r="R61" s="158"/>
      <c r="S61" s="429"/>
      <c r="T61" s="432" t="s">
        <v>254</v>
      </c>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W61" s="121"/>
      <c r="AX61" s="121" t="str">
        <f t="shared" si="3"/>
        <v>Добавить территорию для дифференциации</v>
      </c>
      <c r="AY61" s="121"/>
      <c r="AZ61" s="121"/>
    </row>
    <row r="62" spans="1:52" s="53" customFormat="1" ht="5.25">
      <c r="A62" s="125"/>
      <c r="B62" s="125"/>
      <c r="C62" s="125"/>
      <c r="D62" s="125"/>
      <c r="E62" s="125"/>
      <c r="F62" s="125"/>
      <c r="G62" s="125"/>
      <c r="H62" s="125"/>
      <c r="I62" s="125"/>
      <c r="J62" s="125"/>
      <c r="K62" s="125"/>
      <c r="L62" s="184"/>
      <c r="M62" s="428"/>
      <c r="N62" s="428"/>
      <c r="P62" s="158"/>
      <c r="Q62" s="424"/>
      <c r="R62" s="158"/>
      <c r="S62" s="429"/>
      <c r="T62" s="432" t="s">
        <v>255</v>
      </c>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W62" s="121"/>
      <c r="AX62" s="121" t="str">
        <f t="shared" si="3"/>
        <v>Добавить наименование тарифа</v>
      </c>
      <c r="AY62" s="121"/>
      <c r="AZ62" s="121"/>
    </row>
    <row r="63" spans="1:52" ht="11.25" customHeight="1">
      <c r="M63" s="49"/>
      <c r="N63" s="49"/>
      <c r="O63" s="49"/>
      <c r="P63" s="49"/>
      <c r="Q63" s="49"/>
      <c r="R63" s="46"/>
      <c r="S63" s="46"/>
      <c r="AV63" s="46"/>
      <c r="AW63" s="46"/>
      <c r="AX63" s="46"/>
      <c r="AY63" s="46"/>
      <c r="AZ63" s="46"/>
    </row>
    <row r="64" spans="1:52" ht="18.75" customHeight="1">
      <c r="O64" s="49"/>
      <c r="S64" s="387"/>
      <c r="T64" s="1171"/>
      <c r="U64" s="1171"/>
      <c r="V64" s="1171"/>
      <c r="W64" s="1171"/>
      <c r="X64" s="1171"/>
      <c r="Y64" s="1171"/>
      <c r="Z64" s="1171"/>
      <c r="AA64" s="1171"/>
      <c r="AB64" s="1171"/>
      <c r="AC64" s="1171"/>
      <c r="AD64" s="1171"/>
      <c r="AE64" s="1171"/>
      <c r="AF64" s="1171"/>
      <c r="AG64" s="1171"/>
      <c r="AH64" s="1171"/>
      <c r="AI64" s="1171"/>
      <c r="AJ64" s="1171"/>
      <c r="AK64" s="1171"/>
      <c r="AL64" s="1171"/>
      <c r="AM64" s="1171"/>
      <c r="AN64" s="1171"/>
      <c r="AO64" s="1171"/>
      <c r="AP64" s="1171"/>
      <c r="AQ64" s="1171"/>
      <c r="AR64" s="1171"/>
      <c r="AS64" s="1171"/>
      <c r="AT64" s="1171"/>
      <c r="AU64" s="1171"/>
    </row>
    <row r="65" spans="15:47" ht="19.5" customHeight="1">
      <c r="O65" s="49"/>
      <c r="T65" s="1171"/>
      <c r="U65" s="1171"/>
      <c r="V65" s="1171"/>
      <c r="W65" s="1171"/>
      <c r="X65" s="1171"/>
      <c r="Y65" s="1171"/>
      <c r="Z65" s="1171"/>
      <c r="AA65" s="1171"/>
      <c r="AB65" s="1171"/>
      <c r="AC65" s="1171"/>
      <c r="AD65" s="1171"/>
      <c r="AE65" s="1171"/>
      <c r="AF65" s="1171"/>
      <c r="AG65" s="1171"/>
      <c r="AH65" s="1171"/>
      <c r="AI65" s="1171"/>
      <c r="AJ65" s="1171"/>
      <c r="AK65" s="1171"/>
      <c r="AL65" s="1171"/>
      <c r="AM65" s="1171"/>
      <c r="AN65" s="1171"/>
      <c r="AO65" s="1171"/>
      <c r="AP65" s="1171"/>
      <c r="AQ65" s="1171"/>
      <c r="AR65" s="1171"/>
      <c r="AS65" s="1171"/>
      <c r="AT65" s="1171"/>
      <c r="AU65" s="1171"/>
    </row>
    <row r="66" spans="15:47" ht="14.25" customHeight="1">
      <c r="O66" s="49"/>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row>
    <row r="67" spans="15:47" ht="18.75" customHeight="1">
      <c r="O67" s="49"/>
      <c r="T67" s="1171"/>
      <c r="U67" s="1171"/>
      <c r="V67" s="1171"/>
      <c r="W67" s="1171"/>
      <c r="X67" s="1171"/>
      <c r="Y67" s="1171"/>
      <c r="Z67" s="1171"/>
      <c r="AA67" s="1171"/>
      <c r="AB67" s="1171"/>
      <c r="AC67" s="1171"/>
      <c r="AD67" s="1171"/>
      <c r="AE67" s="1171"/>
      <c r="AF67" s="1171"/>
      <c r="AG67" s="1171"/>
      <c r="AH67" s="1171"/>
      <c r="AI67" s="1171"/>
      <c r="AJ67" s="1171"/>
      <c r="AK67" s="1171"/>
      <c r="AL67" s="1171"/>
      <c r="AM67" s="1171"/>
      <c r="AN67" s="1171"/>
      <c r="AO67" s="1171"/>
      <c r="AP67" s="1171"/>
      <c r="AQ67" s="1171"/>
      <c r="AR67" s="1171"/>
      <c r="AS67" s="1171"/>
      <c r="AT67" s="1171"/>
      <c r="AU67" s="1171"/>
    </row>
    <row r="68" spans="15:47" ht="15.75" customHeight="1">
      <c r="O68" s="49"/>
      <c r="T68" s="1171"/>
      <c r="U68" s="1171"/>
      <c r="V68" s="1171"/>
      <c r="W68" s="1171"/>
      <c r="X68" s="1171"/>
      <c r="Y68" s="1171"/>
      <c r="Z68" s="1171"/>
      <c r="AA68" s="1171"/>
      <c r="AB68" s="1171"/>
      <c r="AC68" s="1171"/>
      <c r="AD68" s="1171"/>
      <c r="AE68" s="1171"/>
      <c r="AF68" s="1171"/>
      <c r="AG68" s="1171"/>
      <c r="AH68" s="1171"/>
      <c r="AI68" s="1171"/>
      <c r="AJ68" s="1171"/>
      <c r="AK68" s="1171"/>
      <c r="AL68" s="1171"/>
      <c r="AM68" s="1171"/>
      <c r="AN68" s="1171"/>
      <c r="AO68" s="1171"/>
      <c r="AP68" s="1171"/>
      <c r="AQ68" s="1171"/>
      <c r="AR68" s="1171"/>
      <c r="AS68" s="1171"/>
      <c r="AT68" s="1171"/>
      <c r="AU68" s="1171"/>
    </row>
    <row r="69" spans="15:47" ht="14.25" customHeight="1">
      <c r="O69" s="49"/>
    </row>
  </sheetData>
  <mergeCells count="118">
    <mergeCell ref="AJ51:AJ52"/>
    <mergeCell ref="AU51:AU55"/>
    <mergeCell ref="T64:AU64"/>
    <mergeCell ref="T65:AU65"/>
    <mergeCell ref="T67:AU67"/>
    <mergeCell ref="T68:AU68"/>
    <mergeCell ref="T51:T54"/>
    <mergeCell ref="AB51:AB54"/>
    <mergeCell ref="AC51:AC53"/>
    <mergeCell ref="AD51:AD53"/>
    <mergeCell ref="AE51:AE53"/>
    <mergeCell ref="AF51:AF53"/>
    <mergeCell ref="AG51:AG52"/>
    <mergeCell ref="AH51:AH52"/>
    <mergeCell ref="AI51:AI52"/>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S35:T35"/>
    <mergeCell ref="V35:Z35"/>
    <mergeCell ref="AB35:AR35"/>
    <mergeCell ref="S36:T36"/>
    <mergeCell ref="V36:Z36"/>
    <mergeCell ref="AB36:AR36"/>
    <mergeCell ref="V38:AA38"/>
    <mergeCell ref="AB38:AS38"/>
    <mergeCell ref="S39:AT39"/>
    <mergeCell ref="S31:T31"/>
    <mergeCell ref="V31:Z31"/>
    <mergeCell ref="AB31:AR31"/>
    <mergeCell ref="S32:T32"/>
    <mergeCell ref="V32:Z32"/>
    <mergeCell ref="AB32:AR32"/>
    <mergeCell ref="S33:T33"/>
    <mergeCell ref="V33:Z33"/>
    <mergeCell ref="AB33:AR33"/>
    <mergeCell ref="AG8:AG9"/>
    <mergeCell ref="AH8:AH9"/>
    <mergeCell ref="AI8:AI9"/>
    <mergeCell ref="AJ8:AJ9"/>
    <mergeCell ref="AU8:AU12"/>
    <mergeCell ref="S27:AR27"/>
    <mergeCell ref="S28:AR28"/>
    <mergeCell ref="S30:T30"/>
    <mergeCell ref="V30:Z30"/>
    <mergeCell ref="AB30:AR30"/>
    <mergeCell ref="X8:X11"/>
    <mergeCell ref="Y8:Y11"/>
    <mergeCell ref="Z8:Z11"/>
    <mergeCell ref="AA8:AA11"/>
    <mergeCell ref="AB8:AB11"/>
    <mergeCell ref="AC8:AC10"/>
    <mergeCell ref="AD8:AD10"/>
    <mergeCell ref="AE8:AE10"/>
    <mergeCell ref="AF8:AF10"/>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s>
  <dataValidations count="5">
    <dataValidation allowBlank="1" showInputMessage="1" showErrorMessage="1" prompt="Для выбора выполните двойной щелчок левой клавиши мыши по соответствующей ячейке." sqref="Y8:Y10 AA8:AB8 AE8:AF8 AI8:AJ8 AQ8 AS8 AA9:AA10 AB19 AE19:AF19 AI19:AJ19 AQ19 AS19 Y51 AA51:AB51 AE51:AF51 AI51:AJ51 AQ51 AS51">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8:X9 Z8:Z10 AP8 AR8 X10 AP19 AR19 X51 Z51 AP51 AR51">
      <formula1>0</formula1>
      <formula2>0</formula2>
    </dataValidation>
    <dataValidation type="textLength" operator="lessThanOrEqual" allowBlank="1" showInputMessage="1" showErrorMessage="1" errorTitle="Ошибка" error="Допускается ввод не более 900 символов!" sqref="T8:T11 T51:T54">
      <formula1>900</formula1>
      <formula2>0</formula2>
    </dataValidation>
    <dataValidation allowBlank="1" promptTitle="checkPeriodRange" sqref="W11 AO11 W54 AO54">
      <formula1>0</formula1>
      <formula2>0</formula2>
    </dataValidation>
    <dataValidation type="list" allowBlank="1" showInputMessage="1" showErrorMessage="1" errorTitle="Ошибка" error="Выберите значение из списка" prompt="Выберите значение из списка" sqref="AN42:AO42">
      <formula1>UNIT_CONNECT_LIST</formula1>
      <formula2>0</formula2>
    </dataValidation>
  </dataValidations>
  <pageMargins left="0.7" right="0.7" top="0.625" bottom="0.625" header="0.3" footer="0.3"/>
  <pageSetup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P57"/>
  <sheetViews>
    <sheetView showGridLines="0" topLeftCell="P23"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4.140625" style="49" hidden="1" customWidth="1"/>
    <col min="10" max="10" width="9.85546875" style="49" hidden="1" customWidth="1"/>
    <col min="11" max="11" width="14.7109375" style="49" hidden="1" customWidth="1"/>
    <col min="12" max="12" width="19.140625" style="107" hidden="1" customWidth="1"/>
    <col min="13" max="14" width="12.28515625" style="57" hidden="1" customWidth="1"/>
    <col min="15" max="15" width="23.42578125" style="57" hidden="1" customWidth="1"/>
    <col min="16" max="16" width="3.7109375" style="56" customWidth="1"/>
    <col min="17" max="18" width="3.7109375" style="389" customWidth="1"/>
    <col min="19" max="19" width="12.7109375" style="254" customWidth="1"/>
    <col min="20" max="20" width="35.7109375" style="46" customWidth="1"/>
    <col min="21" max="21" width="0.140625" style="46" customWidth="1"/>
    <col min="22" max="24" width="24.7109375" style="46" hidden="1" customWidth="1"/>
    <col min="25" max="25" width="11.7109375" style="46" hidden="1" customWidth="1"/>
    <col min="26" max="26" width="3.7109375" style="46" hidden="1" customWidth="1"/>
    <col min="27" max="27" width="11.7109375" style="46" hidden="1" customWidth="1"/>
    <col min="28" max="28" width="8.5703125" style="46" hidden="1" customWidth="1"/>
    <col min="29" max="31" width="24.7109375" style="46" customWidth="1"/>
    <col min="32" max="32" width="11.7109375" style="46" customWidth="1"/>
    <col min="33" max="33" width="3.7109375" style="46" customWidth="1"/>
    <col min="34" max="34" width="11.7109375" style="46" customWidth="1"/>
    <col min="35" max="35" width="8.5703125" style="46" hidden="1" customWidth="1"/>
    <col min="36" max="36" width="4.7109375" style="46" customWidth="1"/>
    <col min="37" max="37" width="115.7109375" style="46" customWidth="1"/>
    <col min="38" max="39" width="10.5703125" style="53"/>
    <col min="40" max="40" width="11.140625" style="53" customWidth="1"/>
    <col min="41" max="42" width="10.5703125" style="53"/>
  </cols>
  <sheetData>
    <row r="1" spans="1:42" ht="14.25" hidden="1" customHeight="1"/>
    <row r="2" spans="1:42" ht="23.25"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t="e">
        <f>INDEX(PT_DIFFERENTIATION_NTAR,MATCH(A2,PT_DIFFERENTIATION_NTAR_ID,0))</f>
        <v>#N/A</v>
      </c>
      <c r="AD2" s="1154"/>
      <c r="AE2" s="1154"/>
      <c r="AF2" s="1154"/>
      <c r="AG2" s="1154"/>
      <c r="AH2" s="1154"/>
      <c r="AI2" s="1154"/>
      <c r="AJ2" s="1154"/>
      <c r="AK2"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t="shared" ref="AN2:AN13" si="0">IF(T2="","",T2)</f>
        <v>Наименование тарифа</v>
      </c>
      <c r="AO2" s="121"/>
      <c r="AP2" s="121"/>
    </row>
    <row r="3" spans="1:42" ht="23.25"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t="e">
        <f>INDEX(PT_DIFFERENTIATION_TER,MATCH(B3,PT_DIFFERENTIATION_TER_ID,0))</f>
        <v>#N/A</v>
      </c>
      <c r="AD3" s="1154"/>
      <c r="AE3" s="1154"/>
      <c r="AF3" s="1154"/>
      <c r="AG3" s="1154"/>
      <c r="AH3" s="1154"/>
      <c r="AI3" s="1154"/>
      <c r="AJ3" s="1154"/>
      <c r="AK3" s="397" t="s">
        <v>387</v>
      </c>
      <c r="AM3" s="121"/>
      <c r="AN3" s="121" t="str">
        <f t="shared" si="0"/>
        <v>Территория действия тарифа</v>
      </c>
      <c r="AO3" s="121"/>
      <c r="AP3" s="121"/>
    </row>
    <row r="4" spans="1:42"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467</v>
      </c>
      <c r="U4" s="396"/>
      <c r="V4" s="1154"/>
      <c r="W4" s="1154"/>
      <c r="X4" s="1154"/>
      <c r="Y4" s="1154"/>
      <c r="Z4" s="1154"/>
      <c r="AA4" s="1154"/>
      <c r="AB4" s="1154"/>
      <c r="AC4" s="1154" t="e">
        <f>INDEX(PT_DIFFERENTIATION_CS,MATCH(C4,PT_DIFFERENTIATION_CS_ID,0))</f>
        <v>#N/A</v>
      </c>
      <c r="AD4" s="1154"/>
      <c r="AE4" s="1154"/>
      <c r="AF4" s="1154"/>
      <c r="AG4" s="1154"/>
      <c r="AH4" s="1154"/>
      <c r="AI4" s="1154"/>
      <c r="AJ4" s="1154"/>
      <c r="AK4" s="397" t="s">
        <v>468</v>
      </c>
      <c r="AM4" s="121"/>
      <c r="AN4" s="121" t="str">
        <f t="shared" si="0"/>
        <v>Наименование централизованной системы холодного водоснабжения</v>
      </c>
      <c r="AO4" s="121"/>
      <c r="AP4" s="121"/>
    </row>
    <row r="5" spans="1:42" ht="23.25" hidden="1" customHeight="1">
      <c r="A5" s="390"/>
      <c r="B5" s="390"/>
      <c r="C5" s="390"/>
      <c r="D5" s="390"/>
      <c r="E5" s="1153"/>
      <c r="F5" s="1153"/>
      <c r="G5" s="1153"/>
      <c r="H5" s="1189"/>
      <c r="I5" s="1155" t="e">
        <f>S4&amp;".1"</f>
        <v>#N/A</v>
      </c>
      <c r="J5" s="390"/>
      <c r="K5" s="390"/>
      <c r="L5" s="391"/>
      <c r="P5" s="1156">
        <v>1</v>
      </c>
      <c r="Q5" s="124"/>
      <c r="R5" s="405"/>
      <c r="S5" s="394" t="e">
        <f>$I5</f>
        <v>#N/A</v>
      </c>
      <c r="T5" s="406" t="s">
        <v>469</v>
      </c>
      <c r="U5" s="396"/>
      <c r="V5" s="1190"/>
      <c r="W5" s="1190"/>
      <c r="X5" s="1190"/>
      <c r="Y5" s="1190"/>
      <c r="Z5" s="1190"/>
      <c r="AA5" s="1190"/>
      <c r="AB5" s="1190"/>
      <c r="AC5" s="1123"/>
      <c r="AD5" s="1123"/>
      <c r="AE5" s="1123"/>
      <c r="AF5" s="1123"/>
      <c r="AG5" s="1123"/>
      <c r="AH5" s="1123"/>
      <c r="AI5" s="1123"/>
      <c r="AJ5" s="1123"/>
      <c r="AK5" s="397" t="s">
        <v>470</v>
      </c>
      <c r="AM5" s="121"/>
      <c r="AN5" s="121" t="str">
        <f t="shared" si="0"/>
        <v>Наименование признака дифференциации</v>
      </c>
      <c r="AO5" s="121"/>
      <c r="AP5" s="121"/>
    </row>
    <row r="6" spans="1:42" ht="23.25" hidden="1" customHeight="1">
      <c r="A6" s="390"/>
      <c r="B6" s="390"/>
      <c r="C6" s="390"/>
      <c r="D6" s="390"/>
      <c r="E6" s="1153"/>
      <c r="F6" s="1153"/>
      <c r="G6" s="1153"/>
      <c r="H6" s="1153"/>
      <c r="I6" s="1155"/>
      <c r="J6" s="1155" t="e">
        <f>I5&amp;".1"</f>
        <v>#N/A</v>
      </c>
      <c r="K6" s="390"/>
      <c r="L6" s="391" t="s">
        <v>395</v>
      </c>
      <c r="P6" s="1156"/>
      <c r="Q6" s="1156">
        <v>1</v>
      </c>
      <c r="R6" s="408"/>
      <c r="S6" s="394" t="e">
        <f>$J6</f>
        <v>#N/A</v>
      </c>
      <c r="T6" s="409" t="s">
        <v>396</v>
      </c>
      <c r="U6" s="396"/>
      <c r="V6" s="1157"/>
      <c r="W6" s="1157"/>
      <c r="X6" s="1157"/>
      <c r="Y6" s="1157"/>
      <c r="Z6" s="1157"/>
      <c r="AA6" s="1157"/>
      <c r="AB6" s="1157"/>
      <c r="AC6" s="1157"/>
      <c r="AD6" s="1157"/>
      <c r="AE6" s="1157"/>
      <c r="AF6" s="1157"/>
      <c r="AG6" s="1157"/>
      <c r="AH6" s="1157"/>
      <c r="AI6" s="1157"/>
      <c r="AJ6" s="1157"/>
      <c r="AK6" s="471" t="s">
        <v>471</v>
      </c>
      <c r="AM6" s="121"/>
      <c r="AN6" s="121" t="str">
        <f t="shared" si="0"/>
        <v>Группа потребителей</v>
      </c>
      <c r="AO6" s="121"/>
      <c r="AP6" s="121"/>
    </row>
    <row r="7" spans="1:42" ht="23.25" hidden="1" customHeight="1">
      <c r="A7" s="390"/>
      <c r="B7" s="390"/>
      <c r="C7" s="390"/>
      <c r="D7" s="390"/>
      <c r="E7" s="1153"/>
      <c r="F7" s="1153"/>
      <c r="G7" s="1153"/>
      <c r="H7" s="1153"/>
      <c r="I7" s="1155"/>
      <c r="J7" s="1155"/>
      <c r="K7" s="1155" t="e">
        <f>J6&amp;".1"</f>
        <v>#N/A</v>
      </c>
      <c r="L7" s="391"/>
      <c r="P7" s="1156"/>
      <c r="Q7" s="1156"/>
      <c r="R7" s="408">
        <v>1</v>
      </c>
      <c r="S7" s="394" t="e">
        <f>$K7</f>
        <v>#N/A</v>
      </c>
      <c r="T7" s="517"/>
      <c r="U7" s="396"/>
      <c r="V7" s="411"/>
      <c r="W7" s="411"/>
      <c r="X7" s="413"/>
      <c r="Y7" s="1158"/>
      <c r="Z7" s="1105" t="s">
        <v>63</v>
      </c>
      <c r="AA7" s="1158"/>
      <c r="AB7" s="1105" t="s">
        <v>63</v>
      </c>
      <c r="AC7" s="411"/>
      <c r="AD7" s="411"/>
      <c r="AE7" s="413"/>
      <c r="AF7" s="1158"/>
      <c r="AG7" s="1105" t="s">
        <v>63</v>
      </c>
      <c r="AH7" s="1158"/>
      <c r="AI7" s="1105" t="s">
        <v>63</v>
      </c>
      <c r="AJ7" s="518"/>
      <c r="AK7"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 t="e">
        <f ca="1">strcheckdate(V8:AJ8)</f>
        <v>#NAME?</v>
      </c>
      <c r="AM7" s="121"/>
      <c r="AN7" s="121" t="str">
        <f t="shared" si="0"/>
        <v/>
      </c>
      <c r="AO7" s="121"/>
      <c r="AP7" s="121"/>
    </row>
    <row r="8" spans="1:42" ht="14.25" hidden="1" customHeight="1">
      <c r="A8" s="390"/>
      <c r="B8" s="390"/>
      <c r="C8" s="390"/>
      <c r="D8" s="390"/>
      <c r="E8" s="1153"/>
      <c r="F8" s="1153"/>
      <c r="G8" s="1153"/>
      <c r="H8" s="1153"/>
      <c r="I8" s="1155"/>
      <c r="J8" s="1155"/>
      <c r="K8" s="1155"/>
      <c r="L8" s="391"/>
      <c r="P8" s="1156"/>
      <c r="Q8" s="1156"/>
      <c r="R8" s="408"/>
      <c r="S8" s="370"/>
      <c r="T8" s="396"/>
      <c r="U8" s="396"/>
      <c r="V8" s="412"/>
      <c r="W8" s="412"/>
      <c r="X8" s="415" t="str">
        <f>Y7&amp;"-"&amp;AA7</f>
        <v>-</v>
      </c>
      <c r="Y8" s="1158"/>
      <c r="Z8" s="1105"/>
      <c r="AA8" s="1158"/>
      <c r="AB8" s="1105"/>
      <c r="AC8" s="412"/>
      <c r="AD8" s="412"/>
      <c r="AE8" s="415" t="str">
        <f>AF7&amp;"-"&amp;AH7</f>
        <v>-</v>
      </c>
      <c r="AF8" s="1158"/>
      <c r="AG8" s="1105"/>
      <c r="AH8" s="1158"/>
      <c r="AI8" s="1105"/>
      <c r="AJ8" s="519"/>
      <c r="AK8" s="1191"/>
      <c r="AM8" s="121"/>
      <c r="AN8" s="121" t="str">
        <f t="shared" si="0"/>
        <v/>
      </c>
      <c r="AO8" s="121"/>
      <c r="AP8" s="121"/>
    </row>
    <row r="9" spans="1:42" ht="21" hidden="1" customHeight="1">
      <c r="A9" s="390"/>
      <c r="B9" s="390"/>
      <c r="C9" s="390"/>
      <c r="D9" s="390"/>
      <c r="E9" s="1153"/>
      <c r="F9" s="1153"/>
      <c r="G9" s="1153"/>
      <c r="H9" s="1153"/>
      <c r="I9" s="1155"/>
      <c r="J9" s="1155"/>
      <c r="K9" s="390"/>
      <c r="L9" s="391"/>
      <c r="P9" s="1156"/>
      <c r="Q9" s="1156"/>
      <c r="R9" s="405"/>
      <c r="S9" s="416"/>
      <c r="T9" s="419" t="s">
        <v>472</v>
      </c>
      <c r="U9" s="186"/>
      <c r="V9" s="186"/>
      <c r="W9" s="186"/>
      <c r="X9" s="186"/>
      <c r="Y9" s="186"/>
      <c r="Z9" s="186"/>
      <c r="AA9" s="186"/>
      <c r="AB9" s="186"/>
      <c r="AC9" s="186"/>
      <c r="AD9" s="186"/>
      <c r="AE9" s="186"/>
      <c r="AF9" s="186"/>
      <c r="AG9" s="186"/>
      <c r="AH9" s="186"/>
      <c r="AI9" s="186"/>
      <c r="AJ9" s="186"/>
      <c r="AK9" s="397" t="s">
        <v>473</v>
      </c>
      <c r="AM9" s="121"/>
      <c r="AN9" s="121" t="str">
        <f t="shared" si="0"/>
        <v>Добавить значение признака дифференциации</v>
      </c>
      <c r="AO9" s="121"/>
      <c r="AP9" s="121"/>
    </row>
    <row r="10" spans="1:42" ht="21" hidden="1" customHeight="1">
      <c r="A10" s="390"/>
      <c r="B10" s="390"/>
      <c r="C10" s="390"/>
      <c r="D10" s="390"/>
      <c r="E10" s="1153"/>
      <c r="F10" s="1153"/>
      <c r="G10" s="1153"/>
      <c r="H10" s="1153"/>
      <c r="I10" s="1155"/>
      <c r="J10" s="390"/>
      <c r="K10" s="390"/>
      <c r="L10" s="391"/>
      <c r="P10" s="1156"/>
      <c r="Q10" s="124"/>
      <c r="R10" s="405"/>
      <c r="S10" s="416"/>
      <c r="T10" s="423" t="s">
        <v>401</v>
      </c>
      <c r="U10" s="186"/>
      <c r="V10" s="186"/>
      <c r="W10" s="186"/>
      <c r="X10" s="186"/>
      <c r="Y10" s="186"/>
      <c r="Z10" s="186"/>
      <c r="AA10" s="186"/>
      <c r="AB10" s="420"/>
      <c r="AC10" s="186"/>
      <c r="AD10" s="186"/>
      <c r="AE10" s="186"/>
      <c r="AF10" s="186"/>
      <c r="AG10" s="186"/>
      <c r="AH10" s="186"/>
      <c r="AI10" s="420"/>
      <c r="AJ10" s="186"/>
      <c r="AK10" s="520"/>
      <c r="AM10" s="121"/>
      <c r="AN10" s="121" t="str">
        <f t="shared" si="0"/>
        <v>Добавить группу потребителей</v>
      </c>
      <c r="AO10" s="121"/>
      <c r="AP10" s="121"/>
    </row>
    <row r="11" spans="1:42" ht="14.25" hidden="1" customHeight="1">
      <c r="A11" s="390"/>
      <c r="B11" s="390"/>
      <c r="C11" s="390"/>
      <c r="D11" s="390"/>
      <c r="E11" s="1153"/>
      <c r="F11" s="1153"/>
      <c r="G11" s="1153"/>
      <c r="H11" s="1189"/>
      <c r="I11" s="390"/>
      <c r="J11" s="390"/>
      <c r="K11" s="390"/>
      <c r="L11" s="391"/>
      <c r="M11" s="392"/>
      <c r="N11" s="392"/>
      <c r="O11" s="49"/>
      <c r="P11" s="134"/>
      <c r="Q11" s="422"/>
      <c r="R11" s="393"/>
      <c r="S11" s="416"/>
      <c r="T11" s="521" t="s">
        <v>474</v>
      </c>
      <c r="U11" s="186"/>
      <c r="V11" s="186"/>
      <c r="W11" s="186"/>
      <c r="X11" s="186"/>
      <c r="Y11" s="186"/>
      <c r="Z11" s="186"/>
      <c r="AA11" s="186"/>
      <c r="AB11" s="420"/>
      <c r="AC11" s="186"/>
      <c r="AD11" s="186"/>
      <c r="AE11" s="186"/>
      <c r="AF11" s="186"/>
      <c r="AG11" s="186"/>
      <c r="AH11" s="186"/>
      <c r="AI11" s="420"/>
      <c r="AJ11" s="186"/>
      <c r="AK11" s="421"/>
      <c r="AM11" s="121"/>
      <c r="AN11" s="121" t="str">
        <f t="shared" si="0"/>
        <v>Добавить наименование признака дифференциации</v>
      </c>
      <c r="AO11" s="121"/>
      <c r="AP11" s="121"/>
    </row>
    <row r="12" spans="1:42" s="53" customFormat="1" ht="14.25" hidden="1" customHeight="1">
      <c r="A12" s="125"/>
      <c r="B12" s="125"/>
      <c r="C12" s="125"/>
      <c r="D12" s="125"/>
      <c r="E12" s="1153"/>
      <c r="F12" s="1153"/>
      <c r="G12" s="125"/>
      <c r="H12" s="125"/>
      <c r="I12" s="125"/>
      <c r="J12" s="125"/>
      <c r="K12" s="125"/>
      <c r="L12" s="184"/>
      <c r="M12" s="428"/>
      <c r="N12" s="428"/>
      <c r="P12" s="158"/>
      <c r="Q12" s="424"/>
      <c r="R12" s="158"/>
      <c r="S12" s="429"/>
      <c r="T12" s="432" t="s">
        <v>253</v>
      </c>
      <c r="U12" s="431"/>
      <c r="V12" s="431"/>
      <c r="W12" s="431"/>
      <c r="X12" s="431"/>
      <c r="Y12" s="431"/>
      <c r="Z12" s="431"/>
      <c r="AA12" s="431"/>
      <c r="AB12" s="431"/>
      <c r="AC12" s="431"/>
      <c r="AD12" s="431"/>
      <c r="AE12" s="431"/>
      <c r="AF12" s="431"/>
      <c r="AG12" s="431"/>
      <c r="AH12" s="431"/>
      <c r="AI12" s="431"/>
      <c r="AJ12" s="431"/>
      <c r="AK12" s="431"/>
      <c r="AM12" s="121"/>
      <c r="AN12" s="121" t="str">
        <f t="shared" si="0"/>
        <v>Добавить централизованную систему для дифференциации</v>
      </c>
      <c r="AO12" s="121"/>
      <c r="AP12" s="121"/>
    </row>
    <row r="13" spans="1:42" s="53" customFormat="1" ht="14.25" hidden="1" customHeight="1">
      <c r="A13" s="125"/>
      <c r="B13" s="125"/>
      <c r="C13" s="125"/>
      <c r="D13" s="125"/>
      <c r="E13" s="1153"/>
      <c r="F13" s="125"/>
      <c r="G13" s="125"/>
      <c r="H13" s="125"/>
      <c r="I13" s="125"/>
      <c r="J13" s="125"/>
      <c r="K13" s="125"/>
      <c r="L13" s="184"/>
      <c r="M13" s="428"/>
      <c r="N13" s="428"/>
      <c r="P13" s="158"/>
      <c r="Q13" s="424"/>
      <c r="R13" s="158"/>
      <c r="S13" s="429"/>
      <c r="T13" s="432" t="s">
        <v>254</v>
      </c>
      <c r="U13" s="431"/>
      <c r="V13" s="431"/>
      <c r="W13" s="431"/>
      <c r="X13" s="431"/>
      <c r="Y13" s="431"/>
      <c r="Z13" s="431"/>
      <c r="AA13" s="431"/>
      <c r="AB13" s="431"/>
      <c r="AC13" s="431"/>
      <c r="AD13" s="431"/>
      <c r="AE13" s="431"/>
      <c r="AF13" s="431"/>
      <c r="AG13" s="431"/>
      <c r="AH13" s="431"/>
      <c r="AI13" s="431"/>
      <c r="AJ13" s="431"/>
      <c r="AK13" s="431"/>
      <c r="AM13" s="121"/>
      <c r="AN13" s="121" t="str">
        <f t="shared" si="0"/>
        <v>Добавить территорию для дифференциации</v>
      </c>
      <c r="AO13" s="121"/>
      <c r="AP13" s="121"/>
    </row>
    <row r="14" spans="1:42" ht="14.25" hidden="1" customHeight="1"/>
    <row r="15" spans="1:42" ht="14.25" hidden="1" customHeight="1">
      <c r="AC15" s="433"/>
      <c r="AD15" s="433"/>
      <c r="AE15" s="434"/>
      <c r="AF15" s="1160"/>
      <c r="AG15" s="1161" t="s">
        <v>63</v>
      </c>
      <c r="AH15" s="1160"/>
      <c r="AI15" s="1161" t="s">
        <v>63</v>
      </c>
    </row>
    <row r="16" spans="1:42" ht="14.25" hidden="1" customHeight="1">
      <c r="AC16" s="433"/>
      <c r="AD16" s="433"/>
      <c r="AE16" s="415" t="str">
        <f>AF15&amp;"-"&amp;AH15</f>
        <v>-</v>
      </c>
      <c r="AF16" s="1160"/>
      <c r="AG16" s="1160"/>
      <c r="AH16" s="1160"/>
      <c r="AI16" s="1160"/>
    </row>
    <row r="17" spans="1:42" ht="14.25" hidden="1" customHeight="1"/>
    <row r="18" spans="1:42" s="49" customFormat="1" ht="22.5" hidden="1" customHeight="1">
      <c r="L18" s="107"/>
      <c r="M18" s="57"/>
      <c r="N18" s="57"/>
      <c r="O18" s="435" t="s">
        <v>404</v>
      </c>
      <c r="P18" s="57"/>
      <c r="Q18" s="436"/>
      <c r="R18" s="436"/>
      <c r="S18" s="392"/>
      <c r="Y18" s="435"/>
      <c r="AA18" s="435"/>
      <c r="AF18" s="435"/>
      <c r="AH18" s="435"/>
      <c r="AL18" s="53"/>
      <c r="AM18" s="53"/>
      <c r="AN18" s="53"/>
      <c r="AO18" s="53"/>
      <c r="AP18" s="53"/>
    </row>
    <row r="19" spans="1:42" s="49" customFormat="1" ht="14.25" hidden="1" customHeight="1">
      <c r="L19" s="107"/>
      <c r="M19" s="57"/>
      <c r="N19" s="57"/>
      <c r="O19" s="57"/>
      <c r="P19" s="57"/>
      <c r="Q19" s="436"/>
      <c r="R19" s="436"/>
      <c r="S19" s="392"/>
      <c r="AL19" s="53"/>
      <c r="AM19" s="53"/>
      <c r="AN19" s="53"/>
      <c r="AO19" s="53"/>
      <c r="AP19" s="53"/>
    </row>
    <row r="20" spans="1:42" s="49" customFormat="1" ht="12" hidden="1" customHeight="1">
      <c r="L20" s="107"/>
      <c r="M20" s="57"/>
      <c r="N20" s="57"/>
      <c r="O20" s="391" t="s">
        <v>405</v>
      </c>
      <c r="P20" s="57"/>
      <c r="Q20" s="522"/>
      <c r="R20" s="522"/>
      <c r="S20" s="392"/>
      <c r="T20" s="49" t="s">
        <v>406</v>
      </c>
      <c r="Z20" s="142" t="s">
        <v>407</v>
      </c>
      <c r="AB20" s="142" t="s">
        <v>408</v>
      </c>
      <c r="AC20" s="49" t="s">
        <v>406</v>
      </c>
      <c r="AG20" s="142" t="s">
        <v>409</v>
      </c>
      <c r="AI20" s="142" t="s">
        <v>408</v>
      </c>
    </row>
    <row r="21" spans="1:42" ht="14.25" hidden="1" customHeight="1">
      <c r="O21" s="391"/>
    </row>
    <row r="22" spans="1:42" ht="14.25" hidden="1" customHeight="1">
      <c r="O22" s="391"/>
    </row>
    <row r="23" spans="1:42" ht="14.25" customHeight="1">
      <c r="Q23" s="437"/>
      <c r="R23" s="437"/>
      <c r="S23" s="438"/>
      <c r="T23" s="83"/>
      <c r="U23" s="83"/>
    </row>
    <row r="24" spans="1:42" ht="14.25" customHeight="1">
      <c r="Q24" s="437"/>
      <c r="R24" s="437"/>
      <c r="S24" s="110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1106"/>
      <c r="U24" s="1106"/>
      <c r="V24" s="1106"/>
      <c r="W24" s="1106"/>
      <c r="X24" s="1106"/>
      <c r="Y24" s="1106"/>
      <c r="Z24" s="1106"/>
      <c r="AA24" s="1106"/>
      <c r="AB24" s="1106"/>
      <c r="AC24" s="1106"/>
      <c r="AD24" s="1106"/>
      <c r="AE24" s="1106"/>
      <c r="AF24" s="1106"/>
      <c r="AG24" s="1106"/>
      <c r="AH24" s="1106"/>
      <c r="AI24" s="201"/>
    </row>
    <row r="25" spans="1:42" ht="14.25" customHeight="1">
      <c r="Q25" s="437"/>
      <c r="R25" s="437"/>
      <c r="S25" s="1127" t="str">
        <f>IF(org=0,"Не определено",org)</f>
        <v>Филиал ПАО "ОГК-2" - Серовская ГРЭС, г. Серов</v>
      </c>
      <c r="T25" s="1127"/>
      <c r="U25" s="1127"/>
      <c r="V25" s="1127"/>
      <c r="W25" s="1127"/>
      <c r="X25" s="1127"/>
      <c r="Y25" s="1127"/>
      <c r="Z25" s="1127"/>
      <c r="AA25" s="1127"/>
      <c r="AB25" s="1127"/>
      <c r="AC25" s="1127"/>
      <c r="AD25" s="1127"/>
      <c r="AE25" s="1127"/>
      <c r="AF25" s="1127"/>
      <c r="AG25" s="1127"/>
      <c r="AH25" s="1127"/>
      <c r="AI25" s="201"/>
    </row>
    <row r="26" spans="1:42" ht="14.25" customHeight="1">
      <c r="Q26" s="437"/>
      <c r="R26" s="437"/>
      <c r="S26" s="438"/>
      <c r="T26" s="83"/>
      <c r="U26" s="83"/>
      <c r="V26" s="439"/>
      <c r="W26" s="439"/>
      <c r="X26" s="439"/>
      <c r="Y26" s="439"/>
      <c r="Z26" s="439"/>
      <c r="AA26" s="439"/>
      <c r="AB26" s="439"/>
      <c r="AC26" s="439"/>
      <c r="AD26" s="439"/>
      <c r="AE26" s="439"/>
      <c r="AF26" s="439"/>
      <c r="AG26" s="439"/>
      <c r="AH26" s="439"/>
      <c r="AI26" s="439"/>
    </row>
    <row r="27" spans="1:42" s="174" customFormat="1" ht="25.5" customHeight="1">
      <c r="A27" s="142"/>
      <c r="B27" s="142"/>
      <c r="C27" s="142"/>
      <c r="D27" s="142"/>
      <c r="E27" s="142"/>
      <c r="F27" s="142"/>
      <c r="G27" s="142"/>
      <c r="H27" s="142"/>
      <c r="I27" s="142"/>
      <c r="J27" s="142"/>
      <c r="K27" s="142"/>
      <c r="L27" s="391"/>
      <c r="M27" s="142"/>
      <c r="N27" s="142"/>
      <c r="O27" s="142"/>
      <c r="S27" s="1162" t="s">
        <v>37</v>
      </c>
      <c r="T27" s="1162"/>
      <c r="U27" s="441"/>
      <c r="V27" s="1163" t="str">
        <f>IF(TITLE_NAME_OR_PR_CHANGE="",IF(TITLE_NAME_OR_PR="","",TITLE_NAME_OR_PR),TITLE_NAME_OR_PR_CHANGE)</f>
        <v>Региональная энергетическая комиссия Свердловской области</v>
      </c>
      <c r="W27" s="1163"/>
      <c r="X27" s="1163"/>
      <c r="Y27" s="1163"/>
      <c r="Z27" s="1163"/>
      <c r="AA27" s="1163"/>
      <c r="AB27" s="46"/>
      <c r="AC27" s="1163" t="str">
        <f>IF(TITLE_NAME_OR_PR_CHANGE="",IF(TITLE_NAME_OR_PR="","",TITLE_NAME_OR_PR),TITLE_NAME_OR_PR_CHANGE)</f>
        <v>Региональная энергетическая комиссия Свердловской области</v>
      </c>
      <c r="AD27" s="1163"/>
      <c r="AE27" s="1163"/>
      <c r="AF27" s="1163"/>
      <c r="AG27" s="1163"/>
      <c r="AH27" s="1163"/>
      <c r="AI27" s="46"/>
      <c r="AJ27" s="46"/>
      <c r="AK27" s="442"/>
      <c r="AL27" s="121"/>
      <c r="AM27" s="121"/>
      <c r="AN27" s="121"/>
      <c r="AO27" s="121"/>
      <c r="AP27" s="121"/>
    </row>
    <row r="28" spans="1:42" s="174" customFormat="1" ht="18.75" customHeight="1">
      <c r="A28" s="142"/>
      <c r="B28" s="142"/>
      <c r="C28" s="142"/>
      <c r="D28" s="142"/>
      <c r="E28" s="142"/>
      <c r="F28" s="142"/>
      <c r="G28" s="142"/>
      <c r="H28" s="142"/>
      <c r="I28" s="142"/>
      <c r="J28" s="142"/>
      <c r="K28" s="142"/>
      <c r="L28" s="391"/>
      <c r="M28" s="142"/>
      <c r="N28" s="142"/>
      <c r="O28" s="142"/>
      <c r="S28" s="1162" t="s">
        <v>410</v>
      </c>
      <c r="T28" s="1162"/>
      <c r="U28" s="441"/>
      <c r="V28" s="1164">
        <f>IF(TITLE_DATE_PR_CHANGE="",IF(TITLE_DATE_PR="","",TITLE_DATE_PR),TITLE_DATE_PR_CHANGE)</f>
        <v>45266.462974536997</v>
      </c>
      <c r="W28" s="1164"/>
      <c r="X28" s="1164"/>
      <c r="Y28" s="1164"/>
      <c r="Z28" s="1164"/>
      <c r="AA28" s="1164"/>
      <c r="AB28" s="46"/>
      <c r="AC28" s="1164">
        <f>IF(TITLE_DATE_PR_CHANGE="",IF(TITLE_DATE_PR="","",TITLE_DATE_PR),TITLE_DATE_PR_CHANGE)</f>
        <v>45266.462974536997</v>
      </c>
      <c r="AD28" s="1164"/>
      <c r="AE28" s="1164"/>
      <c r="AF28" s="1164"/>
      <c r="AG28" s="1164"/>
      <c r="AH28" s="1164"/>
      <c r="AI28" s="46"/>
      <c r="AJ28" s="46"/>
      <c r="AK28" s="442"/>
      <c r="AL28" s="121"/>
      <c r="AM28" s="121"/>
      <c r="AN28" s="121"/>
      <c r="AO28" s="121"/>
      <c r="AP28" s="121"/>
    </row>
    <row r="29" spans="1:42" s="174" customFormat="1" ht="18.75" customHeight="1">
      <c r="A29" s="142"/>
      <c r="B29" s="142"/>
      <c r="C29" s="142"/>
      <c r="D29" s="142"/>
      <c r="E29" s="142"/>
      <c r="F29" s="142"/>
      <c r="G29" s="142"/>
      <c r="H29" s="142"/>
      <c r="I29" s="142"/>
      <c r="J29" s="142"/>
      <c r="K29" s="142"/>
      <c r="L29" s="391"/>
      <c r="M29" s="142"/>
      <c r="N29" s="142"/>
      <c r="O29" s="142"/>
      <c r="S29" s="1162" t="s">
        <v>411</v>
      </c>
      <c r="T29" s="1162"/>
      <c r="U29" s="441"/>
      <c r="V29" s="1163" t="str">
        <f>IF(TITLE_NUMBER_PR_CHANGE="",IF(TITLE_NUMBER_PR="","",TITLE_NUMBER_PR),TITLE_NUMBER_PR_CHANGE)</f>
        <v>216-ПК</v>
      </c>
      <c r="W29" s="1163"/>
      <c r="X29" s="1163"/>
      <c r="Y29" s="1163"/>
      <c r="Z29" s="1163"/>
      <c r="AA29" s="1163"/>
      <c r="AB29" s="46"/>
      <c r="AC29" s="1163" t="str">
        <f>IF(TITLE_NUMBER_PR_CHANGE="",IF(TITLE_NUMBER_PR="","",TITLE_NUMBER_PR),TITLE_NUMBER_PR_CHANGE)</f>
        <v>216-ПК</v>
      </c>
      <c r="AD29" s="1163"/>
      <c r="AE29" s="1163"/>
      <c r="AF29" s="1163"/>
      <c r="AG29" s="1163"/>
      <c r="AH29" s="1163"/>
      <c r="AI29" s="46"/>
      <c r="AJ29" s="46"/>
      <c r="AK29" s="442"/>
      <c r="AL29" s="121"/>
      <c r="AM29" s="121"/>
      <c r="AN29" s="121"/>
      <c r="AO29" s="121"/>
      <c r="AP29" s="121"/>
    </row>
    <row r="30" spans="1:42" s="174" customFormat="1" ht="18.75" customHeight="1">
      <c r="A30" s="142"/>
      <c r="B30" s="142"/>
      <c r="C30" s="142"/>
      <c r="D30" s="142"/>
      <c r="E30" s="142"/>
      <c r="F30" s="142"/>
      <c r="G30" s="142"/>
      <c r="H30" s="142"/>
      <c r="I30" s="142"/>
      <c r="J30" s="142"/>
      <c r="K30" s="142"/>
      <c r="L30" s="391"/>
      <c r="M30" s="142"/>
      <c r="N30" s="142"/>
      <c r="O30" s="142"/>
      <c r="S30" s="1162" t="s">
        <v>39</v>
      </c>
      <c r="T30" s="1162"/>
      <c r="U30" s="441"/>
      <c r="V30" s="1163" t="str">
        <f>IF(TITLE_IST_PUB_CHANGE="",IF(TITLE_IST_PUB="","",TITLE_IST_PUB),TITLE_IST_PUB_CHANGE)</f>
        <v>Региональная энергетическая комиссия Свердловской области</v>
      </c>
      <c r="W30" s="1163"/>
      <c r="X30" s="1163"/>
      <c r="Y30" s="1163"/>
      <c r="Z30" s="1163"/>
      <c r="AA30" s="1163"/>
      <c r="AB30" s="46"/>
      <c r="AC30" s="1163" t="str">
        <f>IF(TITLE_IST_PUB_CHANGE="",IF(TITLE_IST_PUB="","",TITLE_IST_PUB),TITLE_IST_PUB_CHANGE)</f>
        <v>Региональная энергетическая комиссия Свердловской области</v>
      </c>
      <c r="AD30" s="1163"/>
      <c r="AE30" s="1163"/>
      <c r="AF30" s="1163"/>
      <c r="AG30" s="1163"/>
      <c r="AH30" s="1163"/>
      <c r="AI30" s="46"/>
      <c r="AJ30" s="46"/>
      <c r="AK30" s="442"/>
      <c r="AL30" s="121"/>
      <c r="AM30" s="121"/>
      <c r="AN30" s="121"/>
      <c r="AO30" s="121"/>
      <c r="AP30" s="121"/>
    </row>
    <row r="31" spans="1:42" ht="14.25" hidden="1" customHeight="1">
      <c r="Q31" s="437"/>
      <c r="R31" s="437"/>
      <c r="S31" s="438"/>
      <c r="T31" s="83"/>
      <c r="U31" s="83"/>
      <c r="V31" s="439"/>
      <c r="W31" s="439"/>
      <c r="X31" s="439"/>
      <c r="Y31" s="439"/>
      <c r="Z31" s="439"/>
      <c r="AA31" s="439"/>
      <c r="AB31" s="439"/>
      <c r="AC31" s="439"/>
      <c r="AD31" s="439"/>
      <c r="AE31" s="439"/>
      <c r="AF31" s="439"/>
      <c r="AG31" s="439"/>
      <c r="AH31" s="439"/>
      <c r="AI31" s="439"/>
    </row>
    <row r="32" spans="1:42" s="174" customFormat="1" ht="18.75" hidden="1" customHeight="1">
      <c r="A32" s="142"/>
      <c r="B32" s="142"/>
      <c r="C32" s="142"/>
      <c r="D32" s="142"/>
      <c r="E32" s="142"/>
      <c r="F32" s="142"/>
      <c r="G32" s="142"/>
      <c r="H32" s="142"/>
      <c r="I32" s="142"/>
      <c r="J32" s="142"/>
      <c r="K32" s="142"/>
      <c r="L32" s="391"/>
      <c r="M32" s="142"/>
      <c r="N32" s="142"/>
      <c r="O32" s="142"/>
      <c r="S32" s="1162" t="s">
        <v>412</v>
      </c>
      <c r="T32" s="1162"/>
      <c r="U32" s="441"/>
      <c r="V32" s="1164">
        <f>IF(TITLE_DATE_PR_CHANGE="",IF(TITLE_DATE_PR="","",TITLE_DATE_PR),TITLE_DATE_PR_CHANGE)</f>
        <v>45266.462974536997</v>
      </c>
      <c r="W32" s="1164"/>
      <c r="X32" s="1164"/>
      <c r="Y32" s="1164"/>
      <c r="Z32" s="1164"/>
      <c r="AA32" s="1164"/>
      <c r="AB32" s="46"/>
      <c r="AC32" s="1164">
        <f>IF(TITLE_DATE_PR_CHANGE="",IF(TITLE_DATE_PR="","",TITLE_DATE_PR),TITLE_DATE_PR_CHANGE)</f>
        <v>45266.462974536997</v>
      </c>
      <c r="AD32" s="1164"/>
      <c r="AE32" s="1164"/>
      <c r="AF32" s="1164"/>
      <c r="AG32" s="1164"/>
      <c r="AH32" s="1164"/>
      <c r="AI32" s="46"/>
      <c r="AJ32" s="46"/>
      <c r="AK32" s="442"/>
      <c r="AL32" s="121"/>
      <c r="AM32" s="121"/>
      <c r="AN32" s="121"/>
      <c r="AO32" s="121"/>
      <c r="AP32" s="121"/>
    </row>
    <row r="33" spans="1:42" s="174" customFormat="1" ht="18.75" hidden="1" customHeight="1">
      <c r="A33" s="142"/>
      <c r="B33" s="142"/>
      <c r="C33" s="142"/>
      <c r="D33" s="142"/>
      <c r="E33" s="142"/>
      <c r="F33" s="142"/>
      <c r="G33" s="142"/>
      <c r="H33" s="142"/>
      <c r="I33" s="142"/>
      <c r="J33" s="142"/>
      <c r="K33" s="142"/>
      <c r="L33" s="391"/>
      <c r="M33" s="142"/>
      <c r="N33" s="142"/>
      <c r="O33" s="142"/>
      <c r="S33" s="1162" t="s">
        <v>413</v>
      </c>
      <c r="T33" s="1162"/>
      <c r="U33" s="441"/>
      <c r="V33" s="1163" t="str">
        <f>IF(TITLE_NUMBER_PR_CHANGE="",IF(TITLE_NUMBER_PR="","",TITLE_NUMBER_PR),TITLE_NUMBER_PR_CHANGE)</f>
        <v>216-ПК</v>
      </c>
      <c r="W33" s="1163"/>
      <c r="X33" s="1163"/>
      <c r="Y33" s="1163"/>
      <c r="Z33" s="1163"/>
      <c r="AA33" s="1163"/>
      <c r="AB33" s="46"/>
      <c r="AC33" s="1163" t="str">
        <f>IF(TITLE_NUMBER_PR_CHANGE="",IF(TITLE_NUMBER_PR="","",TITLE_NUMBER_PR),TITLE_NUMBER_PR_CHANGE)</f>
        <v>216-ПК</v>
      </c>
      <c r="AD33" s="1163"/>
      <c r="AE33" s="1163"/>
      <c r="AF33" s="1163"/>
      <c r="AG33" s="1163"/>
      <c r="AH33" s="1163"/>
      <c r="AI33" s="46"/>
      <c r="AJ33" s="46"/>
      <c r="AK33" s="442"/>
      <c r="AL33" s="121"/>
      <c r="AM33" s="121"/>
      <c r="AN33" s="121"/>
      <c r="AO33" s="121"/>
      <c r="AP33" s="121"/>
    </row>
    <row r="34" spans="1:42" s="174" customFormat="1" ht="0.75" customHeight="1">
      <c r="A34" s="142"/>
      <c r="B34" s="142"/>
      <c r="C34" s="142"/>
      <c r="D34" s="142"/>
      <c r="E34" s="142"/>
      <c r="F34" s="142"/>
      <c r="G34" s="142"/>
      <c r="H34" s="142"/>
      <c r="I34" s="142"/>
      <c r="J34" s="142"/>
      <c r="K34" s="142"/>
      <c r="L34" s="391"/>
      <c r="M34" s="142"/>
      <c r="N34" s="142"/>
      <c r="O34" s="142"/>
      <c r="S34" s="46"/>
      <c r="T34" s="46"/>
      <c r="U34" s="131"/>
      <c r="V34" s="46"/>
      <c r="W34" s="46"/>
      <c r="X34" s="46"/>
      <c r="Y34" s="46"/>
      <c r="Z34" s="46"/>
      <c r="AA34" s="46"/>
      <c r="AB34" s="53" t="s">
        <v>414</v>
      </c>
      <c r="AC34" s="46"/>
      <c r="AD34" s="46"/>
      <c r="AE34" s="46"/>
      <c r="AF34" s="46"/>
      <c r="AG34" s="46"/>
      <c r="AH34" s="46"/>
      <c r="AI34" s="53" t="s">
        <v>414</v>
      </c>
      <c r="AL34" s="121"/>
      <c r="AM34" s="121"/>
      <c r="AN34" s="121"/>
      <c r="AO34" s="121"/>
      <c r="AP34" s="121"/>
    </row>
    <row r="35" spans="1:42" ht="14.25" customHeight="1">
      <c r="Q35" s="437"/>
      <c r="R35" s="437"/>
      <c r="S35" s="438"/>
      <c r="T35" s="83"/>
      <c r="U35" s="443"/>
      <c r="V35" s="1165"/>
      <c r="W35" s="1165"/>
      <c r="X35" s="1165"/>
      <c r="Y35" s="1165"/>
      <c r="Z35" s="1165"/>
      <c r="AA35" s="1165"/>
      <c r="AB35" s="1165"/>
      <c r="AC35" s="1165"/>
      <c r="AD35" s="1165"/>
      <c r="AE35" s="1165"/>
      <c r="AF35" s="1165"/>
      <c r="AG35" s="1165"/>
      <c r="AH35" s="1165"/>
      <c r="AI35" s="1165"/>
    </row>
    <row r="36" spans="1:42" ht="14.25" customHeight="1">
      <c r="Q36" s="437"/>
      <c r="R36" s="437"/>
      <c r="S36" s="1087" t="s">
        <v>287</v>
      </c>
      <c r="T36" s="1087"/>
      <c r="U36" s="1087"/>
      <c r="V36" s="1087"/>
      <c r="W36" s="1087"/>
      <c r="X36" s="1087"/>
      <c r="Y36" s="1087"/>
      <c r="Z36" s="1087"/>
      <c r="AA36" s="1087"/>
      <c r="AB36" s="1087"/>
      <c r="AC36" s="1087"/>
      <c r="AD36" s="1087"/>
      <c r="AE36" s="1087"/>
      <c r="AF36" s="1087"/>
      <c r="AG36" s="1087"/>
      <c r="AH36" s="1087"/>
      <c r="AI36" s="1087"/>
      <c r="AJ36" s="1087"/>
      <c r="AK36" s="1087" t="s">
        <v>288</v>
      </c>
    </row>
    <row r="37" spans="1:42" ht="14.25" customHeight="1">
      <c r="Q37" s="437"/>
      <c r="R37" s="437"/>
      <c r="S37" s="1166" t="s">
        <v>84</v>
      </c>
      <c r="T37" s="1167" t="s">
        <v>415</v>
      </c>
      <c r="U37" s="444"/>
      <c r="V37" s="1140" t="s">
        <v>416</v>
      </c>
      <c r="W37" s="1140"/>
      <c r="X37" s="1140"/>
      <c r="Y37" s="1140"/>
      <c r="Z37" s="1140"/>
      <c r="AA37" s="1140"/>
      <c r="AB37" s="1167" t="s">
        <v>417</v>
      </c>
      <c r="AC37" s="1140" t="s">
        <v>416</v>
      </c>
      <c r="AD37" s="1140"/>
      <c r="AE37" s="1140"/>
      <c r="AF37" s="1140"/>
      <c r="AG37" s="1140"/>
      <c r="AH37" s="1140"/>
      <c r="AI37" s="1167" t="s">
        <v>418</v>
      </c>
      <c r="AJ37" s="1168" t="s">
        <v>419</v>
      </c>
      <c r="AK37" s="1087"/>
    </row>
    <row r="38" spans="1:42" ht="33.75" customHeight="1">
      <c r="Q38" s="437"/>
      <c r="R38" s="437"/>
      <c r="S38" s="1166"/>
      <c r="T38" s="1167"/>
      <c r="U38" s="445"/>
      <c r="V38" s="242" t="s">
        <v>475</v>
      </c>
      <c r="W38" s="1087" t="s">
        <v>422</v>
      </c>
      <c r="X38" s="1087"/>
      <c r="Y38" s="1087" t="s">
        <v>423</v>
      </c>
      <c r="Z38" s="1087"/>
      <c r="AA38" s="1087"/>
      <c r="AB38" s="1167"/>
      <c r="AC38" s="242" t="s">
        <v>475</v>
      </c>
      <c r="AD38" s="1087" t="s">
        <v>422</v>
      </c>
      <c r="AE38" s="1087"/>
      <c r="AF38" s="1087" t="s">
        <v>423</v>
      </c>
      <c r="AG38" s="1087"/>
      <c r="AH38" s="1087"/>
      <c r="AI38" s="1167"/>
      <c r="AJ38" s="1168"/>
      <c r="AK38" s="1087"/>
    </row>
    <row r="39" spans="1:42" ht="33.75" customHeight="1">
      <c r="A39" s="142"/>
      <c r="B39" s="142" t="s">
        <v>131</v>
      </c>
      <c r="C39" s="142" t="s">
        <v>132</v>
      </c>
      <c r="D39" s="142" t="s">
        <v>133</v>
      </c>
      <c r="E39" s="391" t="s">
        <v>424</v>
      </c>
      <c r="F39" s="391" t="s">
        <v>425</v>
      </c>
      <c r="G39" s="391" t="s">
        <v>426</v>
      </c>
      <c r="H39" s="391"/>
      <c r="I39" s="391" t="s">
        <v>476</v>
      </c>
      <c r="J39" s="391" t="s">
        <v>429</v>
      </c>
      <c r="K39" s="391" t="s">
        <v>477</v>
      </c>
      <c r="L39" s="391" t="s">
        <v>405</v>
      </c>
      <c r="Q39" s="437"/>
      <c r="R39" s="437"/>
      <c r="S39" s="1166"/>
      <c r="T39" s="1167"/>
      <c r="U39" s="446"/>
      <c r="V39" s="523" t="s">
        <v>478</v>
      </c>
      <c r="W39" s="203" t="s">
        <v>479</v>
      </c>
      <c r="X39" s="203" t="s">
        <v>480</v>
      </c>
      <c r="Y39" s="203" t="s">
        <v>433</v>
      </c>
      <c r="Z39" s="1108" t="s">
        <v>434</v>
      </c>
      <c r="AA39" s="1108"/>
      <c r="AB39" s="1167"/>
      <c r="AC39" s="523" t="s">
        <v>478</v>
      </c>
      <c r="AD39" s="203" t="s">
        <v>479</v>
      </c>
      <c r="AE39" s="203" t="s">
        <v>480</v>
      </c>
      <c r="AF39" s="203" t="s">
        <v>433</v>
      </c>
      <c r="AG39" s="1108" t="s">
        <v>434</v>
      </c>
      <c r="AH39" s="1108"/>
      <c r="AI39" s="1167"/>
      <c r="AJ39" s="1168"/>
      <c r="AK39" s="1087"/>
    </row>
    <row r="40" spans="1:42" s="123" customFormat="1" ht="11.25" hidden="1" customHeight="1">
      <c r="A40" s="142"/>
      <c r="B40" s="142"/>
      <c r="C40" s="142"/>
      <c r="D40" s="142"/>
      <c r="E40" s="142"/>
      <c r="F40" s="142"/>
      <c r="G40" s="142"/>
      <c r="H40" s="142"/>
      <c r="I40" s="142"/>
      <c r="J40" s="142"/>
      <c r="K40" s="142"/>
      <c r="L40" s="391"/>
      <c r="M40" s="57"/>
      <c r="N40" s="57"/>
      <c r="O40" s="57"/>
      <c r="P40" s="447"/>
      <c r="Q40" s="448"/>
      <c r="R40" s="449">
        <v>1</v>
      </c>
      <c r="S40" s="450" t="s">
        <v>105</v>
      </c>
      <c r="T40" s="451" t="s">
        <v>106</v>
      </c>
      <c r="U40" s="452" t="str">
        <f ca="1">OFFSET(U40,0,-1)</f>
        <v>2</v>
      </c>
      <c r="V40" s="453">
        <f ca="1">OFFSET(V40,0,-1)+1</f>
        <v>3</v>
      </c>
      <c r="W40" s="453">
        <f ca="1">OFFSET(W40,0,-1)+1</f>
        <v>4</v>
      </c>
      <c r="X40" s="453">
        <f ca="1">OFFSET(X40,0,-1)+1</f>
        <v>5</v>
      </c>
      <c r="Y40" s="453">
        <f ca="1">OFFSET(Y40,0,-1)+1</f>
        <v>6</v>
      </c>
      <c r="Z40" s="1170">
        <f ca="1">OFFSET(Z40,0,-1)+1</f>
        <v>7</v>
      </c>
      <c r="AA40" s="1170"/>
      <c r="AB40" s="453">
        <f ca="1">OFFSET(AB40,0,-2)+1</f>
        <v>8</v>
      </c>
      <c r="AC40" s="453">
        <f ca="1">OFFSET(AC40,0,-1)+1</f>
        <v>9</v>
      </c>
      <c r="AD40" s="453">
        <f ca="1">OFFSET(AD40,0,-1)+1</f>
        <v>10</v>
      </c>
      <c r="AE40" s="453">
        <f ca="1">OFFSET(AE40,0,-1)+1</f>
        <v>11</v>
      </c>
      <c r="AF40" s="453">
        <f ca="1">OFFSET(AF40,0,-1)+1</f>
        <v>12</v>
      </c>
      <c r="AG40" s="1170">
        <f ca="1">OFFSET(AG40,0,-1)+1</f>
        <v>13</v>
      </c>
      <c r="AH40" s="1170"/>
      <c r="AI40" s="453">
        <f ca="1">OFFSET(AI40,0,-2)+1</f>
        <v>14</v>
      </c>
      <c r="AJ40" s="452">
        <f ca="1">OFFSET(AJ40,0,-1)</f>
        <v>14</v>
      </c>
      <c r="AK40" s="453">
        <f ca="1">OFFSET(AK40,0,-1)+1</f>
        <v>15</v>
      </c>
      <c r="AL40" s="53"/>
      <c r="AM40" s="53"/>
      <c r="AN40" s="53"/>
      <c r="AO40" s="53"/>
      <c r="AP40" s="53"/>
    </row>
    <row r="41" spans="1:42" ht="23.25" customHeight="1">
      <c r="A41" s="390" t="s">
        <v>208</v>
      </c>
      <c r="B41" s="390"/>
      <c r="C41" s="390"/>
      <c r="D41" s="390"/>
      <c r="E41" s="1153">
        <v>1</v>
      </c>
      <c r="F41" s="390"/>
      <c r="G41" s="390"/>
      <c r="H41" s="390"/>
      <c r="I41" s="390"/>
      <c r="J41" s="390"/>
      <c r="K41" s="390"/>
      <c r="L41" s="391"/>
      <c r="M41" s="392"/>
      <c r="N41" s="392"/>
      <c r="O41" s="392"/>
      <c r="Q41" s="134"/>
      <c r="R41" s="393"/>
      <c r="S41" s="394">
        <f>INDEX(PT_DIFFERENTIATION_NUM_NTAR,MATCH(A41,PT_DIFFERENTIATION_NTAR_ID,0))</f>
        <v>0</v>
      </c>
      <c r="T41" s="395" t="s">
        <v>119</v>
      </c>
      <c r="U41" s="396"/>
      <c r="V41" s="1154"/>
      <c r="W41" s="1154"/>
      <c r="X41" s="1154"/>
      <c r="Y41" s="1154"/>
      <c r="Z41" s="1154"/>
      <c r="AA41" s="1154"/>
      <c r="AB41" s="1154"/>
      <c r="AC41" s="1154" t="str">
        <f>INDEX(PT_DIFFERENTIATION_NTAR,MATCH(A41,PT_DIFFERENTIATION_NTAR_ID,0))</f>
        <v/>
      </c>
      <c r="AD41" s="1154"/>
      <c r="AE41" s="1154"/>
      <c r="AF41" s="1154"/>
      <c r="AG41" s="1154"/>
      <c r="AH41" s="1154"/>
      <c r="AI41" s="1154"/>
      <c r="AJ41" s="1154"/>
      <c r="AK41"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t="shared" ref="AN41:AN53" si="1">IF(T41="","",T41)</f>
        <v>Наименование тарифа</v>
      </c>
      <c r="AO41" s="121"/>
      <c r="AP41" s="121"/>
    </row>
    <row r="42" spans="1:42" ht="23.25" customHeight="1">
      <c r="A42" s="390" t="s">
        <v>208</v>
      </c>
      <c r="B42" s="390" t="s">
        <v>209</v>
      </c>
      <c r="C42" s="390"/>
      <c r="D42" s="390"/>
      <c r="E42" s="1153"/>
      <c r="F42" s="1153">
        <v>1</v>
      </c>
      <c r="G42" s="390"/>
      <c r="H42" s="390"/>
      <c r="I42" s="390"/>
      <c r="J42" s="390"/>
      <c r="K42" s="390"/>
      <c r="L42" s="391"/>
      <c r="M42" s="392"/>
      <c r="N42" s="392"/>
      <c r="O42" s="392"/>
      <c r="P42" s="47"/>
      <c r="Q42" s="398"/>
      <c r="R42" s="399"/>
      <c r="S42" s="394" t="str">
        <f>INDEX(PT_DIFFERENTIATION_NUM_TER,MATCH(B42,PT_DIFFERENTIATION_TER_ID,0))</f>
        <v>.</v>
      </c>
      <c r="T42" s="400" t="s">
        <v>386</v>
      </c>
      <c r="U42" s="396"/>
      <c r="V42" s="1154"/>
      <c r="W42" s="1154"/>
      <c r="X42" s="1154"/>
      <c r="Y42" s="1154"/>
      <c r="Z42" s="1154"/>
      <c r="AA42" s="1154"/>
      <c r="AB42" s="1154"/>
      <c r="AC42" s="1154" t="str">
        <f>INDEX(PT_DIFFERENTIATION_TER,MATCH(B42,PT_DIFFERENTIATION_TER_ID,0))</f>
        <v/>
      </c>
      <c r="AD42" s="1154"/>
      <c r="AE42" s="1154"/>
      <c r="AF42" s="1154"/>
      <c r="AG42" s="1154"/>
      <c r="AH42" s="1154"/>
      <c r="AI42" s="1154"/>
      <c r="AJ42" s="1154"/>
      <c r="AK42" s="397" t="s">
        <v>387</v>
      </c>
      <c r="AM42" s="121"/>
      <c r="AN42" s="121" t="str">
        <f t="shared" si="1"/>
        <v>Территория действия тарифа</v>
      </c>
      <c r="AO42" s="121"/>
      <c r="AP42" s="121"/>
    </row>
    <row r="43" spans="1:42" ht="23.25" customHeight="1">
      <c r="A43" s="390" t="s">
        <v>208</v>
      </c>
      <c r="B43" s="390" t="s">
        <v>209</v>
      </c>
      <c r="C43" s="390" t="s">
        <v>210</v>
      </c>
      <c r="D43" s="390"/>
      <c r="E43" s="1153"/>
      <c r="F43" s="1153"/>
      <c r="G43" s="1153">
        <v>1</v>
      </c>
      <c r="H43" s="390"/>
      <c r="I43" s="390"/>
      <c r="J43" s="390"/>
      <c r="K43" s="390"/>
      <c r="L43" s="391"/>
      <c r="M43" s="392"/>
      <c r="N43" s="392"/>
      <c r="O43" s="392"/>
      <c r="P43" s="401"/>
      <c r="Q43" s="398"/>
      <c r="R43" s="399"/>
      <c r="S43" s="394" t="str">
        <f>INDEX(PT_DIFFERENTIATION_NUM_CS,MATCH(C43,PT_DIFFERENTIATION_CS_ID,0))</f>
        <v>..</v>
      </c>
      <c r="T43" s="402" t="s">
        <v>467</v>
      </c>
      <c r="U43" s="396"/>
      <c r="V43" s="1154"/>
      <c r="W43" s="1154"/>
      <c r="X43" s="1154"/>
      <c r="Y43" s="1154"/>
      <c r="Z43" s="1154"/>
      <c r="AA43" s="1154"/>
      <c r="AB43" s="1154"/>
      <c r="AC43" s="1154" t="str">
        <f>INDEX(PT_DIFFERENTIATION_CS,MATCH(C43,PT_DIFFERENTIATION_CS_ID,0))</f>
        <v/>
      </c>
      <c r="AD43" s="1154"/>
      <c r="AE43" s="1154"/>
      <c r="AF43" s="1154"/>
      <c r="AG43" s="1154"/>
      <c r="AH43" s="1154"/>
      <c r="AI43" s="1154"/>
      <c r="AJ43" s="1154"/>
      <c r="AK43" s="397" t="s">
        <v>468</v>
      </c>
      <c r="AM43" s="121"/>
      <c r="AN43" s="121" t="str">
        <f t="shared" si="1"/>
        <v>Наименование централизованной системы холодного водоснабжения</v>
      </c>
      <c r="AO43" s="121"/>
      <c r="AP43" s="121"/>
    </row>
    <row r="44" spans="1:42" ht="23.25" customHeight="1">
      <c r="A44" s="390" t="s">
        <v>208</v>
      </c>
      <c r="B44" s="390" t="s">
        <v>209</v>
      </c>
      <c r="C44" s="390" t="s">
        <v>210</v>
      </c>
      <c r="D44" s="390" t="s">
        <v>481</v>
      </c>
      <c r="E44" s="1153"/>
      <c r="F44" s="1153"/>
      <c r="G44" s="1153"/>
      <c r="H44" s="1189"/>
      <c r="I44" s="1155" t="str">
        <f>S43&amp;".1"</f>
        <v>...1</v>
      </c>
      <c r="J44" s="390"/>
      <c r="K44" s="390"/>
      <c r="L44" s="391"/>
      <c r="P44" s="1156">
        <v>1</v>
      </c>
      <c r="Q44" s="124"/>
      <c r="R44" s="405"/>
      <c r="S44" s="394" t="str">
        <f>$I44</f>
        <v>...1</v>
      </c>
      <c r="T44" s="406" t="s">
        <v>469</v>
      </c>
      <c r="U44" s="396"/>
      <c r="V44" s="1190"/>
      <c r="W44" s="1190"/>
      <c r="X44" s="1190"/>
      <c r="Y44" s="1190"/>
      <c r="Z44" s="1190"/>
      <c r="AA44" s="1190"/>
      <c r="AB44" s="1190"/>
      <c r="AC44" s="1123"/>
      <c r="AD44" s="1123"/>
      <c r="AE44" s="1123"/>
      <c r="AF44" s="1123"/>
      <c r="AG44" s="1123"/>
      <c r="AH44" s="1123"/>
      <c r="AI44" s="1123"/>
      <c r="AJ44" s="1123"/>
      <c r="AK44" s="397" t="s">
        <v>470</v>
      </c>
      <c r="AM44" s="121"/>
      <c r="AN44" s="121" t="str">
        <f t="shared" si="1"/>
        <v>Наименование признака дифференциации</v>
      </c>
      <c r="AO44" s="121"/>
      <c r="AP44" s="121"/>
    </row>
    <row r="45" spans="1:42" ht="23.25" customHeight="1">
      <c r="A45" s="390" t="s">
        <v>208</v>
      </c>
      <c r="B45" s="390" t="s">
        <v>209</v>
      </c>
      <c r="C45" s="390" t="s">
        <v>210</v>
      </c>
      <c r="D45" s="390" t="s">
        <v>481</v>
      </c>
      <c r="E45" s="1153"/>
      <c r="F45" s="1153"/>
      <c r="G45" s="1153"/>
      <c r="H45" s="1153"/>
      <c r="I45" s="1155"/>
      <c r="J45" s="1155" t="str">
        <f>I44&amp;".1"</f>
        <v>...1.1</v>
      </c>
      <c r="K45" s="390"/>
      <c r="L45" s="391" t="s">
        <v>395</v>
      </c>
      <c r="P45" s="1156"/>
      <c r="Q45" s="1156">
        <v>1</v>
      </c>
      <c r="R45" s="408"/>
      <c r="S45" s="394" t="str">
        <f>$J45</f>
        <v>...1.1</v>
      </c>
      <c r="T45" s="409" t="s">
        <v>396</v>
      </c>
      <c r="U45" s="396"/>
      <c r="V45" s="1157"/>
      <c r="W45" s="1157"/>
      <c r="X45" s="1157"/>
      <c r="Y45" s="1157"/>
      <c r="Z45" s="1157"/>
      <c r="AA45" s="1157"/>
      <c r="AB45" s="1157"/>
      <c r="AC45" s="1157"/>
      <c r="AD45" s="1157"/>
      <c r="AE45" s="1157"/>
      <c r="AF45" s="1157"/>
      <c r="AG45" s="1157"/>
      <c r="AH45" s="1157"/>
      <c r="AI45" s="1157"/>
      <c r="AJ45" s="1157"/>
      <c r="AK45" s="471" t="s">
        <v>471</v>
      </c>
      <c r="AM45" s="121"/>
      <c r="AN45" s="121" t="str">
        <f t="shared" si="1"/>
        <v>Группа потребителей</v>
      </c>
      <c r="AO45" s="121"/>
      <c r="AP45" s="121"/>
    </row>
    <row r="46" spans="1:42" ht="23.25" customHeight="1">
      <c r="A46" s="390" t="s">
        <v>208</v>
      </c>
      <c r="B46" s="390" t="s">
        <v>209</v>
      </c>
      <c r="C46" s="390" t="s">
        <v>210</v>
      </c>
      <c r="D46" s="390" t="s">
        <v>481</v>
      </c>
      <c r="E46" s="1153"/>
      <c r="F46" s="1153"/>
      <c r="G46" s="1153"/>
      <c r="H46" s="1153"/>
      <c r="I46" s="1155"/>
      <c r="J46" s="1155"/>
      <c r="K46" s="1155" t="str">
        <f>J45&amp;".1"</f>
        <v>...1.1.1</v>
      </c>
      <c r="L46" s="391"/>
      <c r="P46" s="1156"/>
      <c r="Q46" s="1156"/>
      <c r="R46" s="408">
        <v>1</v>
      </c>
      <c r="S46" s="394" t="str">
        <f>$K46</f>
        <v>...1.1.1</v>
      </c>
      <c r="T46" s="517"/>
      <c r="U46" s="396"/>
      <c r="V46" s="433"/>
      <c r="W46" s="433"/>
      <c r="X46" s="434"/>
      <c r="Y46" s="1160"/>
      <c r="Z46" s="1161" t="s">
        <v>63</v>
      </c>
      <c r="AA46" s="1160"/>
      <c r="AB46" s="1161" t="s">
        <v>63</v>
      </c>
      <c r="AC46" s="411"/>
      <c r="AD46" s="411"/>
      <c r="AE46" s="413"/>
      <c r="AF46" s="1158"/>
      <c r="AG46" s="1105" t="s">
        <v>63</v>
      </c>
      <c r="AH46" s="1158"/>
      <c r="AI46" s="1105" t="s">
        <v>53</v>
      </c>
      <c r="AJ46" s="518"/>
      <c r="AK46"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 t="e">
        <f ca="1">strcheckdate(V47:AJ47)</f>
        <v>#NAME?</v>
      </c>
      <c r="AM46" s="121"/>
      <c r="AN46" s="121" t="str">
        <f t="shared" si="1"/>
        <v/>
      </c>
      <c r="AO46" s="121"/>
      <c r="AP46" s="121"/>
    </row>
    <row r="47" spans="1:42" ht="11.25">
      <c r="A47" s="390" t="s">
        <v>208</v>
      </c>
      <c r="B47" s="390" t="s">
        <v>209</v>
      </c>
      <c r="C47" s="390" t="s">
        <v>210</v>
      </c>
      <c r="D47" s="390" t="s">
        <v>481</v>
      </c>
      <c r="E47" s="1153"/>
      <c r="F47" s="1153"/>
      <c r="G47" s="1153"/>
      <c r="H47" s="1153"/>
      <c r="I47" s="1155"/>
      <c r="J47" s="1155"/>
      <c r="K47" s="1155"/>
      <c r="L47" s="391"/>
      <c r="P47" s="1156"/>
      <c r="Q47" s="1156"/>
      <c r="R47" s="408"/>
      <c r="S47" s="370"/>
      <c r="T47" s="396"/>
      <c r="U47" s="396"/>
      <c r="V47" s="433"/>
      <c r="W47" s="433"/>
      <c r="X47" s="415" t="str">
        <f>Y46&amp;"-"&amp;AA46</f>
        <v>-</v>
      </c>
      <c r="Y47" s="1160"/>
      <c r="Z47" s="1160"/>
      <c r="AA47" s="1160"/>
      <c r="AB47" s="1160"/>
      <c r="AC47" s="412"/>
      <c r="AD47" s="412"/>
      <c r="AE47" s="415" t="str">
        <f>AF46&amp;"-"&amp;AH46</f>
        <v>-</v>
      </c>
      <c r="AF47" s="1158"/>
      <c r="AG47" s="1105"/>
      <c r="AH47" s="1158"/>
      <c r="AI47" s="1105"/>
      <c r="AJ47" s="519"/>
      <c r="AK47" s="1191"/>
      <c r="AM47" s="121"/>
      <c r="AN47" s="121" t="str">
        <f t="shared" si="1"/>
        <v/>
      </c>
      <c r="AO47" s="121"/>
      <c r="AP47" s="121"/>
    </row>
    <row r="48" spans="1:42" ht="21" customHeight="1">
      <c r="A48" s="390" t="s">
        <v>208</v>
      </c>
      <c r="B48" s="390" t="s">
        <v>209</v>
      </c>
      <c r="C48" s="390" t="s">
        <v>210</v>
      </c>
      <c r="D48" s="390" t="s">
        <v>481</v>
      </c>
      <c r="E48" s="1153"/>
      <c r="F48" s="1153"/>
      <c r="G48" s="1153"/>
      <c r="H48" s="1153"/>
      <c r="I48" s="1155"/>
      <c r="J48" s="1155"/>
      <c r="K48" s="390"/>
      <c r="L48" s="391"/>
      <c r="P48" s="1156"/>
      <c r="Q48" s="1156"/>
      <c r="R48" s="405"/>
      <c r="S48" s="416"/>
      <c r="T48" s="419" t="s">
        <v>472</v>
      </c>
      <c r="U48" s="186"/>
      <c r="V48" s="186"/>
      <c r="W48" s="186"/>
      <c r="X48" s="186"/>
      <c r="Y48" s="186"/>
      <c r="Z48" s="186"/>
      <c r="AA48" s="186"/>
      <c r="AB48" s="186"/>
      <c r="AC48" s="186"/>
      <c r="AD48" s="186"/>
      <c r="AE48" s="186"/>
      <c r="AF48" s="186"/>
      <c r="AG48" s="186"/>
      <c r="AH48" s="186"/>
      <c r="AI48" s="186"/>
      <c r="AJ48" s="186"/>
      <c r="AK48" s="397" t="s">
        <v>473</v>
      </c>
      <c r="AM48" s="121"/>
      <c r="AN48" s="121" t="str">
        <f t="shared" si="1"/>
        <v>Добавить значение признака дифференциации</v>
      </c>
      <c r="AO48" s="121"/>
      <c r="AP48" s="121"/>
    </row>
    <row r="49" spans="1:42" ht="21" customHeight="1">
      <c r="A49" s="390" t="s">
        <v>208</v>
      </c>
      <c r="B49" s="390" t="s">
        <v>209</v>
      </c>
      <c r="C49" s="390" t="s">
        <v>210</v>
      </c>
      <c r="D49" s="390" t="s">
        <v>481</v>
      </c>
      <c r="E49" s="1153"/>
      <c r="F49" s="1153"/>
      <c r="G49" s="1153"/>
      <c r="H49" s="1153"/>
      <c r="I49" s="1155"/>
      <c r="J49" s="390"/>
      <c r="K49" s="390"/>
      <c r="L49" s="391"/>
      <c r="P49" s="1156"/>
      <c r="Q49" s="124"/>
      <c r="R49" s="405"/>
      <c r="S49" s="416"/>
      <c r="T49" s="423" t="s">
        <v>401</v>
      </c>
      <c r="U49" s="186"/>
      <c r="V49" s="186"/>
      <c r="W49" s="186"/>
      <c r="X49" s="186"/>
      <c r="Y49" s="186"/>
      <c r="Z49" s="186"/>
      <c r="AA49" s="186"/>
      <c r="AB49" s="420"/>
      <c r="AC49" s="186"/>
      <c r="AD49" s="186"/>
      <c r="AE49" s="186"/>
      <c r="AF49" s="186"/>
      <c r="AG49" s="186"/>
      <c r="AH49" s="186"/>
      <c r="AI49" s="420"/>
      <c r="AJ49" s="186"/>
      <c r="AK49" s="520"/>
      <c r="AM49" s="121"/>
      <c r="AN49" s="121" t="str">
        <f t="shared" si="1"/>
        <v>Добавить группу потребителей</v>
      </c>
      <c r="AO49" s="121"/>
      <c r="AP49" s="121"/>
    </row>
    <row r="50" spans="1:42" ht="21" customHeight="1">
      <c r="A50" s="390" t="s">
        <v>208</v>
      </c>
      <c r="B50" s="390" t="s">
        <v>209</v>
      </c>
      <c r="C50" s="390" t="s">
        <v>210</v>
      </c>
      <c r="D50" s="390" t="s">
        <v>481</v>
      </c>
      <c r="E50" s="1153"/>
      <c r="F50" s="1153"/>
      <c r="G50" s="1153"/>
      <c r="H50" s="1189"/>
      <c r="I50" s="390"/>
      <c r="J50" s="390"/>
      <c r="K50" s="390"/>
      <c r="L50" s="391"/>
      <c r="M50" s="392"/>
      <c r="N50" s="392"/>
      <c r="O50" s="49"/>
      <c r="P50" s="134"/>
      <c r="Q50" s="422"/>
      <c r="R50" s="393"/>
      <c r="S50" s="416"/>
      <c r="T50" s="521" t="s">
        <v>474</v>
      </c>
      <c r="U50" s="186"/>
      <c r="V50" s="186"/>
      <c r="W50" s="186"/>
      <c r="X50" s="186"/>
      <c r="Y50" s="186"/>
      <c r="Z50" s="186"/>
      <c r="AA50" s="186"/>
      <c r="AB50" s="420"/>
      <c r="AC50" s="186"/>
      <c r="AD50" s="186"/>
      <c r="AE50" s="186"/>
      <c r="AF50" s="186"/>
      <c r="AG50" s="186"/>
      <c r="AH50" s="186"/>
      <c r="AI50" s="420"/>
      <c r="AJ50" s="186"/>
      <c r="AK50" s="421"/>
      <c r="AM50" s="121"/>
      <c r="AN50" s="121" t="str">
        <f t="shared" si="1"/>
        <v>Добавить наименование признака дифференциации</v>
      </c>
      <c r="AO50" s="121"/>
      <c r="AP50" s="121"/>
    </row>
    <row r="51" spans="1:42" s="53" customFormat="1" ht="5.25">
      <c r="A51" s="125" t="s">
        <v>208</v>
      </c>
      <c r="B51" s="125" t="s">
        <v>209</v>
      </c>
      <c r="C51" s="125"/>
      <c r="D51" s="125"/>
      <c r="E51" s="1153"/>
      <c r="F51" s="1153"/>
      <c r="G51" s="125"/>
      <c r="H51" s="125"/>
      <c r="I51" s="125"/>
      <c r="J51" s="125"/>
      <c r="K51" s="125"/>
      <c r="L51" s="184"/>
      <c r="M51" s="428"/>
      <c r="N51" s="428"/>
      <c r="P51" s="158"/>
      <c r="Q51" s="424"/>
      <c r="R51" s="158"/>
      <c r="S51" s="429"/>
      <c r="T51" s="432" t="s">
        <v>253</v>
      </c>
      <c r="U51" s="431"/>
      <c r="V51" s="431"/>
      <c r="W51" s="431"/>
      <c r="X51" s="431"/>
      <c r="Y51" s="431"/>
      <c r="Z51" s="431"/>
      <c r="AA51" s="431"/>
      <c r="AB51" s="431"/>
      <c r="AC51" s="431"/>
      <c r="AD51" s="431"/>
      <c r="AE51" s="431"/>
      <c r="AF51" s="431"/>
      <c r="AG51" s="431"/>
      <c r="AH51" s="431"/>
      <c r="AI51" s="431"/>
      <c r="AJ51" s="431"/>
      <c r="AK51" s="431"/>
      <c r="AM51" s="121"/>
      <c r="AN51" s="121" t="str">
        <f t="shared" si="1"/>
        <v>Добавить централизованную систему для дифференциации</v>
      </c>
      <c r="AO51" s="121"/>
      <c r="AP51" s="121"/>
    </row>
    <row r="52" spans="1:42" s="53" customFormat="1" ht="5.25">
      <c r="A52" s="125" t="s">
        <v>208</v>
      </c>
      <c r="B52" s="125"/>
      <c r="C52" s="125"/>
      <c r="D52" s="125"/>
      <c r="E52" s="1153"/>
      <c r="F52" s="125"/>
      <c r="G52" s="125"/>
      <c r="H52" s="125"/>
      <c r="I52" s="125"/>
      <c r="J52" s="125"/>
      <c r="K52" s="125"/>
      <c r="L52" s="184"/>
      <c r="M52" s="428"/>
      <c r="N52" s="428"/>
      <c r="P52" s="158"/>
      <c r="Q52" s="424"/>
      <c r="R52" s="158"/>
      <c r="S52" s="429"/>
      <c r="T52" s="432" t="s">
        <v>254</v>
      </c>
      <c r="U52" s="431"/>
      <c r="V52" s="431"/>
      <c r="W52" s="431"/>
      <c r="X52" s="431"/>
      <c r="Y52" s="431"/>
      <c r="Z52" s="431"/>
      <c r="AA52" s="431"/>
      <c r="AB52" s="431"/>
      <c r="AC52" s="431"/>
      <c r="AD52" s="431"/>
      <c r="AE52" s="431"/>
      <c r="AF52" s="431"/>
      <c r="AG52" s="431"/>
      <c r="AH52" s="431"/>
      <c r="AI52" s="431"/>
      <c r="AJ52" s="431"/>
      <c r="AK52" s="431"/>
      <c r="AM52" s="121"/>
      <c r="AN52" s="121" t="str">
        <f t="shared" si="1"/>
        <v>Добавить территорию для дифференциации</v>
      </c>
      <c r="AO52" s="121"/>
      <c r="AP52" s="121"/>
    </row>
    <row r="53" spans="1:42" s="53" customFormat="1" ht="5.25">
      <c r="A53" s="125"/>
      <c r="B53" s="125"/>
      <c r="C53" s="125"/>
      <c r="D53" s="125"/>
      <c r="E53" s="125"/>
      <c r="F53" s="125"/>
      <c r="G53" s="125"/>
      <c r="H53" s="125"/>
      <c r="I53" s="125"/>
      <c r="J53" s="125"/>
      <c r="K53" s="125"/>
      <c r="L53" s="184"/>
      <c r="M53" s="428"/>
      <c r="N53" s="428"/>
      <c r="P53" s="158"/>
      <c r="Q53" s="424"/>
      <c r="R53" s="158"/>
      <c r="S53" s="429"/>
      <c r="T53" s="432" t="s">
        <v>255</v>
      </c>
      <c r="U53" s="431"/>
      <c r="V53" s="431"/>
      <c r="W53" s="431"/>
      <c r="X53" s="431"/>
      <c r="Y53" s="431"/>
      <c r="Z53" s="431"/>
      <c r="AA53" s="431"/>
      <c r="AB53" s="431"/>
      <c r="AC53" s="431"/>
      <c r="AD53" s="431"/>
      <c r="AE53" s="431"/>
      <c r="AF53" s="431"/>
      <c r="AG53" s="431"/>
      <c r="AH53" s="431"/>
      <c r="AI53" s="431"/>
      <c r="AJ53" s="431"/>
      <c r="AK53" s="431"/>
      <c r="AM53" s="121"/>
      <c r="AN53" s="121" t="str">
        <f t="shared" si="1"/>
        <v>Добавить наименование тарифа</v>
      </c>
      <c r="AO53" s="121"/>
      <c r="AP53" s="121"/>
    </row>
    <row r="54" spans="1:42" ht="11.25" customHeight="1">
      <c r="M54" s="49"/>
      <c r="N54" s="49"/>
      <c r="O54" s="49"/>
      <c r="P54" s="46"/>
      <c r="Q54" s="46"/>
      <c r="R54" s="46"/>
      <c r="S54" s="46"/>
      <c r="AL54" s="46"/>
      <c r="AM54" s="46"/>
      <c r="AN54" s="46"/>
      <c r="AO54" s="46"/>
      <c r="AP54" s="46"/>
    </row>
    <row r="55" spans="1:42" ht="14.25" customHeight="1">
      <c r="O55" s="49"/>
      <c r="S55" s="387"/>
      <c r="T55" s="1171"/>
      <c r="U55" s="1171"/>
      <c r="V55" s="1171"/>
      <c r="W55" s="1171"/>
      <c r="X55" s="1171"/>
      <c r="Y55" s="1171"/>
      <c r="Z55" s="1171"/>
      <c r="AA55" s="1171"/>
      <c r="AB55" s="1171"/>
      <c r="AC55" s="1171"/>
      <c r="AD55" s="1171"/>
      <c r="AE55" s="1171"/>
      <c r="AF55" s="1171"/>
      <c r="AG55" s="1171"/>
      <c r="AH55" s="1171"/>
      <c r="AI55" s="1171"/>
      <c r="AJ55" s="1171"/>
      <c r="AK55" s="1171"/>
    </row>
    <row r="56" spans="1:42" ht="14.25" customHeight="1">
      <c r="O56" s="49"/>
    </row>
    <row r="57" spans="1:42" ht="14.25" customHeight="1">
      <c r="O57" s="49"/>
      <c r="S57" s="387"/>
      <c r="T57" s="1171"/>
      <c r="U57" s="1171"/>
      <c r="V57" s="1171"/>
      <c r="W57" s="1171"/>
      <c r="X57" s="1171"/>
      <c r="Y57" s="1171"/>
      <c r="Z57" s="1171"/>
      <c r="AA57" s="1171"/>
      <c r="AB57" s="1171"/>
      <c r="AC57" s="1171"/>
      <c r="AD57" s="1171"/>
      <c r="AE57" s="1171"/>
      <c r="AF57" s="1171"/>
      <c r="AG57" s="1171"/>
      <c r="AH57" s="1171"/>
      <c r="AI57" s="1171"/>
      <c r="AJ57" s="1171"/>
      <c r="AK57" s="1171"/>
    </row>
  </sheetData>
  <mergeCells count="101">
    <mergeCell ref="AB46:AB47"/>
    <mergeCell ref="AF46:AF47"/>
    <mergeCell ref="AG46:AG47"/>
    <mergeCell ref="AH46:AH47"/>
    <mergeCell ref="AI46:AI47"/>
    <mergeCell ref="AK46:AK47"/>
    <mergeCell ref="T55:AK55"/>
    <mergeCell ref="T57:AK5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S30:T30"/>
    <mergeCell ref="V30:AA30"/>
    <mergeCell ref="AC30:AH30"/>
    <mergeCell ref="S32:T32"/>
    <mergeCell ref="V32:AA32"/>
    <mergeCell ref="AC32:AH32"/>
    <mergeCell ref="S33:T33"/>
    <mergeCell ref="V33:AA33"/>
    <mergeCell ref="AC33:AH33"/>
    <mergeCell ref="S25:AH25"/>
    <mergeCell ref="S27:T27"/>
    <mergeCell ref="V27:AA27"/>
    <mergeCell ref="AC27:AH27"/>
    <mergeCell ref="S28:T28"/>
    <mergeCell ref="V28:AA28"/>
    <mergeCell ref="AC28:AH28"/>
    <mergeCell ref="S29:T29"/>
    <mergeCell ref="V29:AA29"/>
    <mergeCell ref="AC29:AH29"/>
    <mergeCell ref="AG7:AG8"/>
    <mergeCell ref="AH7:AH8"/>
    <mergeCell ref="AI7:AI8"/>
    <mergeCell ref="AK7:AK8"/>
    <mergeCell ref="AF15:AF16"/>
    <mergeCell ref="AG15:AG16"/>
    <mergeCell ref="AH15:AH16"/>
    <mergeCell ref="AI15:AI16"/>
    <mergeCell ref="S24:AH24"/>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s>
  <dataValidations count="4">
    <dataValidation allowBlank="1" showInputMessage="1" showErrorMessage="1" prompt="Для выбора выполните двойной щелчок левой клавиши мыши по соответствующей ячейке." sqref="Z7 AB7 AG7 AI7 AG15 AI15 Z46 AB46 AG46 AI46">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formula1>0</formula1>
      <formula2>0</formula2>
    </dataValidation>
    <dataValidation type="textLength" operator="lessThanOrEqual" allowBlank="1" showInputMessage="1" showErrorMessage="1" errorTitle="Ошибка" error="Допускается ввод не более 900 символов!" sqref="AC5:AJ5 T7 AC44:AJ44 T46">
      <formula1>900</formula1>
      <formula2>0</formula2>
    </dataValidation>
    <dataValidation allowBlank="1" promptTitle="checkPeriodRange" sqref="X8 AE8 AE16 X47 AE47">
      <formula1>0</formula1>
      <formula2>0</formula2>
    </dataValidation>
  </dataValidations>
  <pageMargins left="0.7" right="0.7" top="0.625" bottom="0.62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P57"/>
  <sheetViews>
    <sheetView showGridLines="0" topLeftCell="P23"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4.140625" style="49" hidden="1" customWidth="1"/>
    <col min="10" max="10" width="9.85546875" style="49" hidden="1" customWidth="1"/>
    <col min="11" max="11" width="14.7109375" style="49" hidden="1" customWidth="1"/>
    <col min="12" max="12" width="19.140625" style="107" hidden="1" customWidth="1"/>
    <col min="13" max="14" width="12.28515625" style="57" hidden="1" customWidth="1"/>
    <col min="15" max="15" width="23.42578125" style="57" hidden="1" customWidth="1"/>
    <col min="16" max="16" width="3.7109375" style="56" customWidth="1"/>
    <col min="17" max="18" width="3.7109375" style="389" customWidth="1"/>
    <col min="19" max="19" width="12.7109375" style="254" customWidth="1"/>
    <col min="20" max="20" width="35.7109375" style="46" customWidth="1"/>
    <col min="21" max="21" width="0.140625" style="46" customWidth="1"/>
    <col min="22" max="24" width="24.7109375" style="46" hidden="1" customWidth="1"/>
    <col min="25" max="25" width="11.7109375" style="46" hidden="1" customWidth="1"/>
    <col min="26" max="26" width="3.7109375" style="46" hidden="1" customWidth="1"/>
    <col min="27" max="27" width="11.7109375" style="46" hidden="1" customWidth="1"/>
    <col min="28" max="28" width="8.5703125" style="46" hidden="1" customWidth="1"/>
    <col min="29" max="31" width="24.7109375" style="46" customWidth="1"/>
    <col min="32" max="32" width="11.7109375" style="46" customWidth="1"/>
    <col min="33" max="33" width="3.7109375" style="46" customWidth="1"/>
    <col min="34" max="34" width="11.7109375" style="46" customWidth="1"/>
    <col min="35" max="35" width="8.5703125" style="46" hidden="1" customWidth="1"/>
    <col min="36" max="36" width="4.7109375" style="46" customWidth="1"/>
    <col min="37" max="37" width="115.7109375" style="46" customWidth="1"/>
    <col min="38" max="39" width="10.5703125" style="53"/>
    <col min="40" max="40" width="11.140625" style="53" customWidth="1"/>
    <col min="41" max="42" width="10.5703125" style="53"/>
  </cols>
  <sheetData>
    <row r="1" spans="1:42" ht="14.25" hidden="1" customHeight="1"/>
    <row r="2" spans="1:42" ht="23.25"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t="e">
        <f>INDEX(PT_DIFFERENTIATION_NTAR,MATCH(A2,PT_DIFFERENTIATION_NTAR_ID,0))</f>
        <v>#N/A</v>
      </c>
      <c r="AD2" s="1154"/>
      <c r="AE2" s="1154"/>
      <c r="AF2" s="1154"/>
      <c r="AG2" s="1154"/>
      <c r="AH2" s="1154"/>
      <c r="AI2" s="1154"/>
      <c r="AJ2" s="1154"/>
      <c r="AK2"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t="shared" ref="AN2:AN13" si="0">IF(T2="","",T2)</f>
        <v>Наименование тарифа</v>
      </c>
      <c r="AO2" s="121"/>
      <c r="AP2" s="121"/>
    </row>
    <row r="3" spans="1:42" ht="23.25"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t="e">
        <f>INDEX(PT_DIFFERENTIATION_TER,MATCH(B3,PT_DIFFERENTIATION_TER_ID,0))</f>
        <v>#N/A</v>
      </c>
      <c r="AD3" s="1154"/>
      <c r="AE3" s="1154"/>
      <c r="AF3" s="1154"/>
      <c r="AG3" s="1154"/>
      <c r="AH3" s="1154"/>
      <c r="AI3" s="1154"/>
      <c r="AJ3" s="1154"/>
      <c r="AK3" s="397" t="s">
        <v>387</v>
      </c>
      <c r="AM3" s="121"/>
      <c r="AN3" s="121" t="str">
        <f t="shared" si="0"/>
        <v>Территория действия тарифа</v>
      </c>
      <c r="AO3" s="121"/>
      <c r="AP3" s="121"/>
    </row>
    <row r="4" spans="1:42"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467</v>
      </c>
      <c r="U4" s="396"/>
      <c r="V4" s="1154"/>
      <c r="W4" s="1154"/>
      <c r="X4" s="1154"/>
      <c r="Y4" s="1154"/>
      <c r="Z4" s="1154"/>
      <c r="AA4" s="1154"/>
      <c r="AB4" s="1154"/>
      <c r="AC4" s="1154" t="e">
        <f>INDEX(PT_DIFFERENTIATION_CS,MATCH(C4,PT_DIFFERENTIATION_CS_ID,0))</f>
        <v>#N/A</v>
      </c>
      <c r="AD4" s="1154"/>
      <c r="AE4" s="1154"/>
      <c r="AF4" s="1154"/>
      <c r="AG4" s="1154"/>
      <c r="AH4" s="1154"/>
      <c r="AI4" s="1154"/>
      <c r="AJ4" s="1154"/>
      <c r="AK4" s="397" t="s">
        <v>468</v>
      </c>
      <c r="AM4" s="121"/>
      <c r="AN4" s="121" t="str">
        <f t="shared" si="0"/>
        <v>Наименование централизованной системы холодного водоснабжения</v>
      </c>
      <c r="AO4" s="121"/>
      <c r="AP4" s="121"/>
    </row>
    <row r="5" spans="1:42" ht="23.25" hidden="1" customHeight="1">
      <c r="A5" s="390"/>
      <c r="B5" s="390"/>
      <c r="C5" s="390"/>
      <c r="D5" s="390"/>
      <c r="E5" s="1153"/>
      <c r="F5" s="1153"/>
      <c r="G5" s="1153"/>
      <c r="H5" s="1189"/>
      <c r="I5" s="1155" t="e">
        <f>S4&amp;".1"</f>
        <v>#N/A</v>
      </c>
      <c r="J5" s="390"/>
      <c r="K5" s="390"/>
      <c r="L5" s="391"/>
      <c r="P5" s="1156">
        <v>1</v>
      </c>
      <c r="Q5" s="124"/>
      <c r="R5" s="405"/>
      <c r="S5" s="394" t="e">
        <f>$I5</f>
        <v>#N/A</v>
      </c>
      <c r="T5" s="406" t="s">
        <v>469</v>
      </c>
      <c r="U5" s="396"/>
      <c r="V5" s="1190"/>
      <c r="W5" s="1190"/>
      <c r="X5" s="1190"/>
      <c r="Y5" s="1190"/>
      <c r="Z5" s="1190"/>
      <c r="AA5" s="1190"/>
      <c r="AB5" s="1190"/>
      <c r="AC5" s="1123"/>
      <c r="AD5" s="1123"/>
      <c r="AE5" s="1123"/>
      <c r="AF5" s="1123"/>
      <c r="AG5" s="1123"/>
      <c r="AH5" s="1123"/>
      <c r="AI5" s="1123"/>
      <c r="AJ5" s="1123"/>
      <c r="AK5" s="397" t="s">
        <v>470</v>
      </c>
      <c r="AM5" s="121"/>
      <c r="AN5" s="121" t="str">
        <f t="shared" si="0"/>
        <v>Наименование признака дифференциации</v>
      </c>
      <c r="AO5" s="121"/>
      <c r="AP5" s="121"/>
    </row>
    <row r="6" spans="1:42" ht="23.25" hidden="1" customHeight="1">
      <c r="A6" s="390"/>
      <c r="B6" s="390"/>
      <c r="C6" s="390"/>
      <c r="D6" s="390"/>
      <c r="E6" s="1153"/>
      <c r="F6" s="1153"/>
      <c r="G6" s="1153"/>
      <c r="H6" s="1153"/>
      <c r="I6" s="1155"/>
      <c r="J6" s="1155" t="e">
        <f>I5&amp;".1"</f>
        <v>#N/A</v>
      </c>
      <c r="K6" s="390"/>
      <c r="L6" s="391" t="s">
        <v>395</v>
      </c>
      <c r="P6" s="1156"/>
      <c r="Q6" s="1156">
        <v>1</v>
      </c>
      <c r="R6" s="408"/>
      <c r="S6" s="394" t="e">
        <f>$J6</f>
        <v>#N/A</v>
      </c>
      <c r="T6" s="409" t="s">
        <v>396</v>
      </c>
      <c r="U6" s="396"/>
      <c r="V6" s="1157"/>
      <c r="W6" s="1157"/>
      <c r="X6" s="1157"/>
      <c r="Y6" s="1157"/>
      <c r="Z6" s="1157"/>
      <c r="AA6" s="1157"/>
      <c r="AB6" s="1157"/>
      <c r="AC6" s="1157"/>
      <c r="AD6" s="1157"/>
      <c r="AE6" s="1157"/>
      <c r="AF6" s="1157"/>
      <c r="AG6" s="1157"/>
      <c r="AH6" s="1157"/>
      <c r="AI6" s="1157"/>
      <c r="AJ6" s="1157"/>
      <c r="AK6" s="471" t="s">
        <v>471</v>
      </c>
      <c r="AM6" s="121"/>
      <c r="AN6" s="121" t="str">
        <f t="shared" si="0"/>
        <v>Группа потребителей</v>
      </c>
      <c r="AO6" s="121"/>
      <c r="AP6" s="121"/>
    </row>
    <row r="7" spans="1:42" ht="23.25" hidden="1" customHeight="1">
      <c r="A7" s="390"/>
      <c r="B7" s="390"/>
      <c r="C7" s="390"/>
      <c r="D7" s="390"/>
      <c r="E7" s="1153"/>
      <c r="F7" s="1153"/>
      <c r="G7" s="1153"/>
      <c r="H7" s="1153"/>
      <c r="I7" s="1155"/>
      <c r="J7" s="1155"/>
      <c r="K7" s="1155" t="e">
        <f>J6&amp;".1"</f>
        <v>#N/A</v>
      </c>
      <c r="L7" s="391"/>
      <c r="P7" s="1156"/>
      <c r="Q7" s="1156"/>
      <c r="R7" s="408">
        <v>1</v>
      </c>
      <c r="S7" s="394" t="e">
        <f>$K7</f>
        <v>#N/A</v>
      </c>
      <c r="T7" s="517"/>
      <c r="U7" s="396"/>
      <c r="V7" s="411"/>
      <c r="W7" s="411"/>
      <c r="X7" s="413"/>
      <c r="Y7" s="1158"/>
      <c r="Z7" s="1105" t="s">
        <v>63</v>
      </c>
      <c r="AA7" s="1158"/>
      <c r="AB7" s="1105" t="s">
        <v>63</v>
      </c>
      <c r="AC7" s="411"/>
      <c r="AD7" s="411"/>
      <c r="AE7" s="413"/>
      <c r="AF7" s="1158"/>
      <c r="AG7" s="1105" t="s">
        <v>63</v>
      </c>
      <c r="AH7" s="1158"/>
      <c r="AI7" s="1105" t="s">
        <v>63</v>
      </c>
      <c r="AJ7" s="518"/>
      <c r="AK7"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 t="e">
        <f ca="1">strcheckdate(V8:AJ8)</f>
        <v>#NAME?</v>
      </c>
      <c r="AM7" s="121"/>
      <c r="AN7" s="121" t="str">
        <f t="shared" si="0"/>
        <v/>
      </c>
      <c r="AO7" s="121"/>
      <c r="AP7" s="121"/>
    </row>
    <row r="8" spans="1:42" ht="14.25" hidden="1" customHeight="1">
      <c r="A8" s="390"/>
      <c r="B8" s="390"/>
      <c r="C8" s="390"/>
      <c r="D8" s="390"/>
      <c r="E8" s="1153"/>
      <c r="F8" s="1153"/>
      <c r="G8" s="1153"/>
      <c r="H8" s="1153"/>
      <c r="I8" s="1155"/>
      <c r="J8" s="1155"/>
      <c r="K8" s="1155"/>
      <c r="L8" s="391"/>
      <c r="P8" s="1156"/>
      <c r="Q8" s="1156"/>
      <c r="R8" s="408"/>
      <c r="S8" s="370"/>
      <c r="T8" s="396"/>
      <c r="U8" s="396"/>
      <c r="V8" s="412"/>
      <c r="W8" s="412"/>
      <c r="X8" s="415" t="str">
        <f>Y7&amp;"-"&amp;AA7</f>
        <v>-</v>
      </c>
      <c r="Y8" s="1158"/>
      <c r="Z8" s="1105"/>
      <c r="AA8" s="1158"/>
      <c r="AB8" s="1105"/>
      <c r="AC8" s="412"/>
      <c r="AD8" s="412"/>
      <c r="AE8" s="415" t="str">
        <f>AF7&amp;"-"&amp;AH7</f>
        <v>-</v>
      </c>
      <c r="AF8" s="1158"/>
      <c r="AG8" s="1105"/>
      <c r="AH8" s="1158"/>
      <c r="AI8" s="1105"/>
      <c r="AJ8" s="519"/>
      <c r="AK8" s="1191"/>
      <c r="AM8" s="121"/>
      <c r="AN8" s="121" t="str">
        <f t="shared" si="0"/>
        <v/>
      </c>
      <c r="AO8" s="121"/>
      <c r="AP8" s="121"/>
    </row>
    <row r="9" spans="1:42" ht="21" hidden="1" customHeight="1">
      <c r="A9" s="390"/>
      <c r="B9" s="390"/>
      <c r="C9" s="390"/>
      <c r="D9" s="390"/>
      <c r="E9" s="1153"/>
      <c r="F9" s="1153"/>
      <c r="G9" s="1153"/>
      <c r="H9" s="1153"/>
      <c r="I9" s="1155"/>
      <c r="J9" s="1155"/>
      <c r="K9" s="390"/>
      <c r="L9" s="391"/>
      <c r="P9" s="1156"/>
      <c r="Q9" s="1156"/>
      <c r="R9" s="405"/>
      <c r="S9" s="416"/>
      <c r="T9" s="419" t="s">
        <v>472</v>
      </c>
      <c r="U9" s="186"/>
      <c r="V9" s="186"/>
      <c r="W9" s="186"/>
      <c r="X9" s="186"/>
      <c r="Y9" s="186"/>
      <c r="Z9" s="186"/>
      <c r="AA9" s="186"/>
      <c r="AB9" s="186"/>
      <c r="AC9" s="186"/>
      <c r="AD9" s="186"/>
      <c r="AE9" s="186"/>
      <c r="AF9" s="186"/>
      <c r="AG9" s="186"/>
      <c r="AH9" s="186"/>
      <c r="AI9" s="186"/>
      <c r="AJ9" s="186"/>
      <c r="AK9" s="397" t="s">
        <v>473</v>
      </c>
      <c r="AM9" s="121"/>
      <c r="AN9" s="121" t="str">
        <f t="shared" si="0"/>
        <v>Добавить значение признака дифференциации</v>
      </c>
      <c r="AO9" s="121"/>
      <c r="AP9" s="121"/>
    </row>
    <row r="10" spans="1:42" ht="21" hidden="1" customHeight="1">
      <c r="A10" s="390"/>
      <c r="B10" s="390"/>
      <c r="C10" s="390"/>
      <c r="D10" s="390"/>
      <c r="E10" s="1153"/>
      <c r="F10" s="1153"/>
      <c r="G10" s="1153"/>
      <c r="H10" s="1153"/>
      <c r="I10" s="1155"/>
      <c r="J10" s="390"/>
      <c r="K10" s="390"/>
      <c r="L10" s="391"/>
      <c r="P10" s="1156"/>
      <c r="Q10" s="124"/>
      <c r="R10" s="405"/>
      <c r="S10" s="416"/>
      <c r="T10" s="423" t="s">
        <v>401</v>
      </c>
      <c r="U10" s="186"/>
      <c r="V10" s="186"/>
      <c r="W10" s="186"/>
      <c r="X10" s="186"/>
      <c r="Y10" s="186"/>
      <c r="Z10" s="186"/>
      <c r="AA10" s="186"/>
      <c r="AB10" s="420"/>
      <c r="AC10" s="186"/>
      <c r="AD10" s="186"/>
      <c r="AE10" s="186"/>
      <c r="AF10" s="186"/>
      <c r="AG10" s="186"/>
      <c r="AH10" s="186"/>
      <c r="AI10" s="420"/>
      <c r="AJ10" s="186"/>
      <c r="AK10" s="520"/>
      <c r="AM10" s="121"/>
      <c r="AN10" s="121" t="str">
        <f t="shared" si="0"/>
        <v>Добавить группу потребителей</v>
      </c>
      <c r="AO10" s="121"/>
      <c r="AP10" s="121"/>
    </row>
    <row r="11" spans="1:42" ht="21" hidden="1" customHeight="1">
      <c r="A11" s="390"/>
      <c r="B11" s="390"/>
      <c r="C11" s="390"/>
      <c r="D11" s="390"/>
      <c r="E11" s="1153"/>
      <c r="F11" s="1153"/>
      <c r="G11" s="1153"/>
      <c r="H11" s="1189"/>
      <c r="I11" s="390"/>
      <c r="J11" s="390"/>
      <c r="K11" s="390"/>
      <c r="L11" s="391"/>
      <c r="M11" s="392"/>
      <c r="N11" s="392"/>
      <c r="O11" s="49"/>
      <c r="P11" s="134"/>
      <c r="Q11" s="422"/>
      <c r="R11" s="393"/>
      <c r="S11" s="416"/>
      <c r="T11" s="521" t="s">
        <v>474</v>
      </c>
      <c r="U11" s="186"/>
      <c r="V11" s="186"/>
      <c r="W11" s="186"/>
      <c r="X11" s="186"/>
      <c r="Y11" s="186"/>
      <c r="Z11" s="186"/>
      <c r="AA11" s="186"/>
      <c r="AB11" s="420"/>
      <c r="AC11" s="186"/>
      <c r="AD11" s="186"/>
      <c r="AE11" s="186"/>
      <c r="AF11" s="186"/>
      <c r="AG11" s="186"/>
      <c r="AH11" s="186"/>
      <c r="AI11" s="420"/>
      <c r="AJ11" s="186"/>
      <c r="AK11" s="421"/>
      <c r="AM11" s="121"/>
      <c r="AN11" s="121" t="str">
        <f t="shared" si="0"/>
        <v>Добавить наименование признака дифференциации</v>
      </c>
      <c r="AO11" s="121"/>
      <c r="AP11" s="121"/>
    </row>
    <row r="12" spans="1:42" s="53" customFormat="1" ht="14.25" hidden="1" customHeight="1">
      <c r="A12" s="125"/>
      <c r="B12" s="125"/>
      <c r="C12" s="125"/>
      <c r="D12" s="125"/>
      <c r="E12" s="1153"/>
      <c r="F12" s="1153"/>
      <c r="G12" s="125"/>
      <c r="H12" s="125"/>
      <c r="I12" s="125"/>
      <c r="J12" s="125"/>
      <c r="K12" s="125"/>
      <c r="L12" s="184"/>
      <c r="M12" s="428"/>
      <c r="N12" s="428"/>
      <c r="P12" s="158"/>
      <c r="Q12" s="424"/>
      <c r="R12" s="158"/>
      <c r="S12" s="429"/>
      <c r="T12" s="432" t="s">
        <v>253</v>
      </c>
      <c r="U12" s="431"/>
      <c r="V12" s="431"/>
      <c r="W12" s="431"/>
      <c r="X12" s="431"/>
      <c r="Y12" s="431"/>
      <c r="Z12" s="431"/>
      <c r="AA12" s="431"/>
      <c r="AB12" s="431"/>
      <c r="AC12" s="431"/>
      <c r="AD12" s="431"/>
      <c r="AE12" s="431"/>
      <c r="AF12" s="431"/>
      <c r="AG12" s="431"/>
      <c r="AH12" s="431"/>
      <c r="AI12" s="431"/>
      <c r="AJ12" s="431"/>
      <c r="AK12" s="431"/>
      <c r="AM12" s="121"/>
      <c r="AN12" s="121" t="str">
        <f t="shared" si="0"/>
        <v>Добавить централизованную систему для дифференциации</v>
      </c>
      <c r="AO12" s="121"/>
      <c r="AP12" s="121"/>
    </row>
    <row r="13" spans="1:42" s="53" customFormat="1" ht="14.25" hidden="1" customHeight="1">
      <c r="A13" s="125"/>
      <c r="B13" s="125"/>
      <c r="C13" s="125"/>
      <c r="D13" s="125"/>
      <c r="E13" s="1153"/>
      <c r="F13" s="125"/>
      <c r="G13" s="125"/>
      <c r="H13" s="125"/>
      <c r="I13" s="125"/>
      <c r="J13" s="125"/>
      <c r="K13" s="125"/>
      <c r="L13" s="184"/>
      <c r="M13" s="428"/>
      <c r="N13" s="428"/>
      <c r="P13" s="158"/>
      <c r="Q13" s="424"/>
      <c r="R13" s="158"/>
      <c r="S13" s="429"/>
      <c r="T13" s="432" t="s">
        <v>254</v>
      </c>
      <c r="U13" s="431"/>
      <c r="V13" s="431"/>
      <c r="W13" s="431"/>
      <c r="X13" s="431"/>
      <c r="Y13" s="431"/>
      <c r="Z13" s="431"/>
      <c r="AA13" s="431"/>
      <c r="AB13" s="431"/>
      <c r="AC13" s="431"/>
      <c r="AD13" s="431"/>
      <c r="AE13" s="431"/>
      <c r="AF13" s="431"/>
      <c r="AG13" s="431"/>
      <c r="AH13" s="431"/>
      <c r="AI13" s="431"/>
      <c r="AJ13" s="431"/>
      <c r="AK13" s="431"/>
      <c r="AM13" s="121"/>
      <c r="AN13" s="121" t="str">
        <f t="shared" si="0"/>
        <v>Добавить территорию для дифференциации</v>
      </c>
      <c r="AO13" s="121"/>
      <c r="AP13" s="121"/>
    </row>
    <row r="14" spans="1:42" ht="14.25" hidden="1" customHeight="1"/>
    <row r="15" spans="1:42" ht="14.25" hidden="1" customHeight="1">
      <c r="AC15" s="433"/>
      <c r="AD15" s="433"/>
      <c r="AE15" s="434"/>
      <c r="AF15" s="1160"/>
      <c r="AG15" s="1161" t="s">
        <v>63</v>
      </c>
      <c r="AH15" s="1160"/>
      <c r="AI15" s="1161" t="s">
        <v>63</v>
      </c>
    </row>
    <row r="16" spans="1:42" ht="14.25" hidden="1" customHeight="1">
      <c r="AC16" s="433"/>
      <c r="AD16" s="433"/>
      <c r="AE16" s="415" t="str">
        <f>AF15&amp;"-"&amp;AH15</f>
        <v>-</v>
      </c>
      <c r="AF16" s="1160"/>
      <c r="AG16" s="1160"/>
      <c r="AH16" s="1160"/>
      <c r="AI16" s="1160"/>
    </row>
    <row r="17" spans="1:42" ht="14.25" hidden="1" customHeight="1"/>
    <row r="18" spans="1:42" s="49" customFormat="1" ht="22.5" hidden="1" customHeight="1">
      <c r="L18" s="107"/>
      <c r="M18" s="57"/>
      <c r="N18" s="57"/>
      <c r="O18" s="435" t="s">
        <v>404</v>
      </c>
      <c r="P18" s="57"/>
      <c r="Q18" s="436"/>
      <c r="R18" s="436"/>
      <c r="S18" s="392"/>
      <c r="Y18" s="435"/>
      <c r="AA18" s="435"/>
      <c r="AF18" s="435"/>
      <c r="AH18" s="435"/>
      <c r="AL18" s="53"/>
      <c r="AM18" s="53"/>
      <c r="AN18" s="53"/>
      <c r="AO18" s="53"/>
      <c r="AP18" s="53"/>
    </row>
    <row r="19" spans="1:42" s="49" customFormat="1" ht="14.25" hidden="1" customHeight="1">
      <c r="L19" s="107"/>
      <c r="M19" s="57"/>
      <c r="N19" s="57"/>
      <c r="O19" s="57"/>
      <c r="P19" s="57"/>
      <c r="Q19" s="436"/>
      <c r="R19" s="436"/>
      <c r="S19" s="392"/>
      <c r="AL19" s="53"/>
      <c r="AM19" s="53"/>
      <c r="AN19" s="53"/>
      <c r="AO19" s="53"/>
      <c r="AP19" s="53"/>
    </row>
    <row r="20" spans="1:42" s="49" customFormat="1" ht="12" hidden="1" customHeight="1">
      <c r="L20" s="107"/>
      <c r="M20" s="57"/>
      <c r="N20" s="57"/>
      <c r="O20" s="391" t="s">
        <v>405</v>
      </c>
      <c r="P20" s="57"/>
      <c r="Q20" s="522"/>
      <c r="R20" s="522"/>
      <c r="S20" s="392"/>
      <c r="T20" s="49" t="s">
        <v>406</v>
      </c>
      <c r="Z20" s="142" t="s">
        <v>407</v>
      </c>
      <c r="AB20" s="142" t="s">
        <v>408</v>
      </c>
      <c r="AC20" s="49" t="s">
        <v>406</v>
      </c>
      <c r="AG20" s="142" t="s">
        <v>409</v>
      </c>
      <c r="AI20" s="142" t="s">
        <v>408</v>
      </c>
    </row>
    <row r="21" spans="1:42" ht="14.25" hidden="1" customHeight="1">
      <c r="O21" s="391"/>
    </row>
    <row r="22" spans="1:42" ht="14.25" hidden="1" customHeight="1">
      <c r="O22" s="391"/>
    </row>
    <row r="23" spans="1:42" ht="14.25" customHeight="1">
      <c r="Q23" s="437"/>
      <c r="R23" s="437"/>
      <c r="S23" s="438"/>
      <c r="T23" s="83"/>
      <c r="U23" s="83"/>
    </row>
    <row r="24" spans="1:42" ht="14.25" customHeight="1">
      <c r="Q24" s="437"/>
      <c r="R24" s="437"/>
      <c r="S24" s="110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1106"/>
      <c r="U24" s="1106"/>
      <c r="V24" s="1106"/>
      <c r="W24" s="1106"/>
      <c r="X24" s="1106"/>
      <c r="Y24" s="1106"/>
      <c r="Z24" s="1106"/>
      <c r="AA24" s="1106"/>
      <c r="AB24" s="1106"/>
      <c r="AC24" s="1106"/>
      <c r="AD24" s="1106"/>
      <c r="AE24" s="1106"/>
      <c r="AF24" s="1106"/>
      <c r="AG24" s="1106"/>
      <c r="AH24" s="1106"/>
      <c r="AI24" s="201"/>
    </row>
    <row r="25" spans="1:42" ht="14.25" customHeight="1">
      <c r="Q25" s="437"/>
      <c r="R25" s="437"/>
      <c r="S25" s="1127" t="str">
        <f>IF(org=0,"Не определено",org)</f>
        <v>Филиал ПАО "ОГК-2" - Серовская ГРЭС, г. Серов</v>
      </c>
      <c r="T25" s="1127"/>
      <c r="U25" s="1127"/>
      <c r="V25" s="1127"/>
      <c r="W25" s="1127"/>
      <c r="X25" s="1127"/>
      <c r="Y25" s="1127"/>
      <c r="Z25" s="1127"/>
      <c r="AA25" s="1127"/>
      <c r="AB25" s="1127"/>
      <c r="AC25" s="1127"/>
      <c r="AD25" s="1127"/>
      <c r="AE25" s="1127"/>
      <c r="AF25" s="1127"/>
      <c r="AG25" s="1127"/>
      <c r="AH25" s="1127"/>
      <c r="AI25" s="201"/>
    </row>
    <row r="26" spans="1:42" ht="14.25" customHeight="1">
      <c r="Q26" s="437"/>
      <c r="R26" s="437"/>
      <c r="S26" s="438"/>
      <c r="T26" s="83"/>
      <c r="U26" s="83"/>
      <c r="V26" s="439"/>
      <c r="W26" s="439"/>
      <c r="X26" s="439"/>
      <c r="Y26" s="439"/>
      <c r="Z26" s="439"/>
      <c r="AA26" s="439"/>
      <c r="AB26" s="439"/>
      <c r="AC26" s="439"/>
      <c r="AD26" s="439"/>
      <c r="AE26" s="439"/>
      <c r="AF26" s="439"/>
      <c r="AG26" s="439"/>
      <c r="AH26" s="439"/>
      <c r="AI26" s="439"/>
    </row>
    <row r="27" spans="1:42" s="174" customFormat="1" ht="25.5" customHeight="1">
      <c r="A27" s="142"/>
      <c r="B27" s="142"/>
      <c r="C27" s="142"/>
      <c r="D27" s="142"/>
      <c r="E27" s="142"/>
      <c r="F27" s="142"/>
      <c r="G27" s="142"/>
      <c r="H27" s="142"/>
      <c r="I27" s="142"/>
      <c r="J27" s="142"/>
      <c r="K27" s="142"/>
      <c r="L27" s="391"/>
      <c r="M27" s="142"/>
      <c r="N27" s="142"/>
      <c r="O27" s="142"/>
      <c r="S27" s="1162" t="s">
        <v>37</v>
      </c>
      <c r="T27" s="1162"/>
      <c r="U27" s="441"/>
      <c r="V27" s="1163" t="str">
        <f>IF(TITLE_NAME_OR_PR_CHANGE="",IF(TITLE_NAME_OR_PR="","",TITLE_NAME_OR_PR),TITLE_NAME_OR_PR_CHANGE)</f>
        <v>Региональная энергетическая комиссия Свердловской области</v>
      </c>
      <c r="W27" s="1163"/>
      <c r="X27" s="1163"/>
      <c r="Y27" s="1163"/>
      <c r="Z27" s="1163"/>
      <c r="AA27" s="1163"/>
      <c r="AB27" s="46"/>
      <c r="AC27" s="1163" t="str">
        <f>IF(TITLE_NAME_OR_PR_CHANGE="",IF(TITLE_NAME_OR_PR="","",TITLE_NAME_OR_PR),TITLE_NAME_OR_PR_CHANGE)</f>
        <v>Региональная энергетическая комиссия Свердловской области</v>
      </c>
      <c r="AD27" s="1163"/>
      <c r="AE27" s="1163"/>
      <c r="AF27" s="1163"/>
      <c r="AG27" s="1163"/>
      <c r="AH27" s="1163"/>
      <c r="AI27" s="46"/>
      <c r="AJ27" s="46"/>
      <c r="AK27" s="442"/>
      <c r="AL27" s="121"/>
      <c r="AM27" s="121"/>
      <c r="AN27" s="121"/>
      <c r="AO27" s="121"/>
      <c r="AP27" s="121"/>
    </row>
    <row r="28" spans="1:42" s="174" customFormat="1" ht="18.75" customHeight="1">
      <c r="A28" s="142"/>
      <c r="B28" s="142"/>
      <c r="C28" s="142"/>
      <c r="D28" s="142"/>
      <c r="E28" s="142"/>
      <c r="F28" s="142"/>
      <c r="G28" s="142"/>
      <c r="H28" s="142"/>
      <c r="I28" s="142"/>
      <c r="J28" s="142"/>
      <c r="K28" s="142"/>
      <c r="L28" s="391"/>
      <c r="M28" s="142"/>
      <c r="N28" s="142"/>
      <c r="O28" s="142"/>
      <c r="S28" s="1162" t="s">
        <v>410</v>
      </c>
      <c r="T28" s="1162"/>
      <c r="U28" s="441"/>
      <c r="V28" s="1164">
        <f>IF(TITLE_DATE_PR_CHANGE="",IF(TITLE_DATE_PR="","",TITLE_DATE_PR),TITLE_DATE_PR_CHANGE)</f>
        <v>45266.462974536997</v>
      </c>
      <c r="W28" s="1164"/>
      <c r="X28" s="1164"/>
      <c r="Y28" s="1164"/>
      <c r="Z28" s="1164"/>
      <c r="AA28" s="1164"/>
      <c r="AB28" s="46"/>
      <c r="AC28" s="1164">
        <f>IF(TITLE_DATE_PR_CHANGE="",IF(TITLE_DATE_PR="","",TITLE_DATE_PR),TITLE_DATE_PR_CHANGE)</f>
        <v>45266.462974536997</v>
      </c>
      <c r="AD28" s="1164"/>
      <c r="AE28" s="1164"/>
      <c r="AF28" s="1164"/>
      <c r="AG28" s="1164"/>
      <c r="AH28" s="1164"/>
      <c r="AI28" s="46"/>
      <c r="AJ28" s="46"/>
      <c r="AK28" s="442"/>
      <c r="AL28" s="121"/>
      <c r="AM28" s="121"/>
      <c r="AN28" s="121"/>
      <c r="AO28" s="121"/>
      <c r="AP28" s="121"/>
    </row>
    <row r="29" spans="1:42" s="174" customFormat="1" ht="18.75" customHeight="1">
      <c r="A29" s="142"/>
      <c r="B29" s="142"/>
      <c r="C29" s="142"/>
      <c r="D29" s="142"/>
      <c r="E29" s="142"/>
      <c r="F29" s="142"/>
      <c r="G29" s="142"/>
      <c r="H29" s="142"/>
      <c r="I29" s="142"/>
      <c r="J29" s="142"/>
      <c r="K29" s="142"/>
      <c r="L29" s="391"/>
      <c r="M29" s="142"/>
      <c r="N29" s="142"/>
      <c r="O29" s="142"/>
      <c r="S29" s="1162" t="s">
        <v>411</v>
      </c>
      <c r="T29" s="1162"/>
      <c r="U29" s="441"/>
      <c r="V29" s="1163" t="str">
        <f>IF(TITLE_NUMBER_PR_CHANGE="",IF(TITLE_NUMBER_PR="","",TITLE_NUMBER_PR),TITLE_NUMBER_PR_CHANGE)</f>
        <v>216-ПК</v>
      </c>
      <c r="W29" s="1163"/>
      <c r="X29" s="1163"/>
      <c r="Y29" s="1163"/>
      <c r="Z29" s="1163"/>
      <c r="AA29" s="1163"/>
      <c r="AB29" s="46"/>
      <c r="AC29" s="1163" t="str">
        <f>IF(TITLE_NUMBER_PR_CHANGE="",IF(TITLE_NUMBER_PR="","",TITLE_NUMBER_PR),TITLE_NUMBER_PR_CHANGE)</f>
        <v>216-ПК</v>
      </c>
      <c r="AD29" s="1163"/>
      <c r="AE29" s="1163"/>
      <c r="AF29" s="1163"/>
      <c r="AG29" s="1163"/>
      <c r="AH29" s="1163"/>
      <c r="AI29" s="46"/>
      <c r="AJ29" s="46"/>
      <c r="AK29" s="442"/>
      <c r="AL29" s="121"/>
      <c r="AM29" s="121"/>
      <c r="AN29" s="121"/>
      <c r="AO29" s="121"/>
      <c r="AP29" s="121"/>
    </row>
    <row r="30" spans="1:42" s="174" customFormat="1" ht="18.75" customHeight="1">
      <c r="A30" s="142"/>
      <c r="B30" s="142"/>
      <c r="C30" s="142"/>
      <c r="D30" s="142"/>
      <c r="E30" s="142"/>
      <c r="F30" s="142"/>
      <c r="G30" s="142"/>
      <c r="H30" s="142"/>
      <c r="I30" s="142"/>
      <c r="J30" s="142"/>
      <c r="K30" s="142"/>
      <c r="L30" s="391"/>
      <c r="M30" s="142"/>
      <c r="N30" s="142"/>
      <c r="O30" s="142"/>
      <c r="S30" s="1162" t="s">
        <v>39</v>
      </c>
      <c r="T30" s="1162"/>
      <c r="U30" s="441"/>
      <c r="V30" s="1163" t="str">
        <f>IF(TITLE_IST_PUB_CHANGE="",IF(TITLE_IST_PUB="","",TITLE_IST_PUB),TITLE_IST_PUB_CHANGE)</f>
        <v>Региональная энергетическая комиссия Свердловской области</v>
      </c>
      <c r="W30" s="1163"/>
      <c r="X30" s="1163"/>
      <c r="Y30" s="1163"/>
      <c r="Z30" s="1163"/>
      <c r="AA30" s="1163"/>
      <c r="AB30" s="46"/>
      <c r="AC30" s="1163" t="str">
        <f>IF(TITLE_IST_PUB_CHANGE="",IF(TITLE_IST_PUB="","",TITLE_IST_PUB),TITLE_IST_PUB_CHANGE)</f>
        <v>Региональная энергетическая комиссия Свердловской области</v>
      </c>
      <c r="AD30" s="1163"/>
      <c r="AE30" s="1163"/>
      <c r="AF30" s="1163"/>
      <c r="AG30" s="1163"/>
      <c r="AH30" s="1163"/>
      <c r="AI30" s="46"/>
      <c r="AJ30" s="46"/>
      <c r="AK30" s="442"/>
      <c r="AL30" s="121"/>
      <c r="AM30" s="121"/>
      <c r="AN30" s="121"/>
      <c r="AO30" s="121"/>
      <c r="AP30" s="121"/>
    </row>
    <row r="31" spans="1:42" ht="14.25" hidden="1" customHeight="1">
      <c r="Q31" s="437"/>
      <c r="R31" s="437"/>
      <c r="S31" s="438"/>
      <c r="T31" s="83"/>
      <c r="U31" s="83"/>
      <c r="V31" s="439"/>
      <c r="W31" s="439"/>
      <c r="X31" s="439"/>
      <c r="Y31" s="439"/>
      <c r="Z31" s="439"/>
      <c r="AA31" s="439"/>
      <c r="AB31" s="439"/>
      <c r="AC31" s="439"/>
      <c r="AD31" s="439"/>
      <c r="AE31" s="439"/>
      <c r="AF31" s="439"/>
      <c r="AG31" s="439"/>
      <c r="AH31" s="439"/>
      <c r="AI31" s="439"/>
    </row>
    <row r="32" spans="1:42" s="174" customFormat="1" ht="18.75" hidden="1" customHeight="1">
      <c r="A32" s="142"/>
      <c r="B32" s="142"/>
      <c r="C32" s="142"/>
      <c r="D32" s="142"/>
      <c r="E32" s="142"/>
      <c r="F32" s="142"/>
      <c r="G32" s="142"/>
      <c r="H32" s="142"/>
      <c r="I32" s="142"/>
      <c r="J32" s="142"/>
      <c r="K32" s="142"/>
      <c r="L32" s="391"/>
      <c r="M32" s="142"/>
      <c r="N32" s="142"/>
      <c r="O32" s="142"/>
      <c r="S32" s="1162" t="s">
        <v>412</v>
      </c>
      <c r="T32" s="1162"/>
      <c r="U32" s="441"/>
      <c r="V32" s="1164">
        <f>IF(TITLE_DATE_PR_CHANGE="",IF(TITLE_DATE_PR="","",TITLE_DATE_PR),TITLE_DATE_PR_CHANGE)</f>
        <v>45266.462974536997</v>
      </c>
      <c r="W32" s="1164"/>
      <c r="X32" s="1164"/>
      <c r="Y32" s="1164"/>
      <c r="Z32" s="1164"/>
      <c r="AA32" s="1164"/>
      <c r="AB32" s="46"/>
      <c r="AC32" s="1164">
        <f>IF(TITLE_DATE_PR_CHANGE="",IF(TITLE_DATE_PR="","",TITLE_DATE_PR),TITLE_DATE_PR_CHANGE)</f>
        <v>45266.462974536997</v>
      </c>
      <c r="AD32" s="1164"/>
      <c r="AE32" s="1164"/>
      <c r="AF32" s="1164"/>
      <c r="AG32" s="1164"/>
      <c r="AH32" s="1164"/>
      <c r="AI32" s="46"/>
      <c r="AJ32" s="46"/>
      <c r="AK32" s="442"/>
      <c r="AL32" s="121"/>
      <c r="AM32" s="121"/>
      <c r="AN32" s="121"/>
      <c r="AO32" s="121"/>
      <c r="AP32" s="121"/>
    </row>
    <row r="33" spans="1:42" s="174" customFormat="1" ht="18.75" hidden="1" customHeight="1">
      <c r="A33" s="142"/>
      <c r="B33" s="142"/>
      <c r="C33" s="142"/>
      <c r="D33" s="142"/>
      <c r="E33" s="142"/>
      <c r="F33" s="142"/>
      <c r="G33" s="142"/>
      <c r="H33" s="142"/>
      <c r="I33" s="142"/>
      <c r="J33" s="142"/>
      <c r="K33" s="142"/>
      <c r="L33" s="391"/>
      <c r="M33" s="142"/>
      <c r="N33" s="142"/>
      <c r="O33" s="142"/>
      <c r="S33" s="1162" t="s">
        <v>413</v>
      </c>
      <c r="T33" s="1162"/>
      <c r="U33" s="441"/>
      <c r="V33" s="1163" t="str">
        <f>IF(TITLE_NUMBER_PR_CHANGE="",IF(TITLE_NUMBER_PR="","",TITLE_NUMBER_PR),TITLE_NUMBER_PR_CHANGE)</f>
        <v>216-ПК</v>
      </c>
      <c r="W33" s="1163"/>
      <c r="X33" s="1163"/>
      <c r="Y33" s="1163"/>
      <c r="Z33" s="1163"/>
      <c r="AA33" s="1163"/>
      <c r="AB33" s="46"/>
      <c r="AC33" s="1163" t="str">
        <f>IF(TITLE_NUMBER_PR_CHANGE="",IF(TITLE_NUMBER_PR="","",TITLE_NUMBER_PR),TITLE_NUMBER_PR_CHANGE)</f>
        <v>216-ПК</v>
      </c>
      <c r="AD33" s="1163"/>
      <c r="AE33" s="1163"/>
      <c r="AF33" s="1163"/>
      <c r="AG33" s="1163"/>
      <c r="AH33" s="1163"/>
      <c r="AI33" s="46"/>
      <c r="AJ33" s="46"/>
      <c r="AK33" s="442"/>
      <c r="AL33" s="121"/>
      <c r="AM33" s="121"/>
      <c r="AN33" s="121"/>
      <c r="AO33" s="121"/>
      <c r="AP33" s="121"/>
    </row>
    <row r="34" spans="1:42" s="174" customFormat="1" ht="0.75" customHeight="1">
      <c r="A34" s="142"/>
      <c r="B34" s="142"/>
      <c r="C34" s="142"/>
      <c r="D34" s="142"/>
      <c r="E34" s="142"/>
      <c r="F34" s="142"/>
      <c r="G34" s="142"/>
      <c r="H34" s="142"/>
      <c r="I34" s="142"/>
      <c r="J34" s="142"/>
      <c r="K34" s="142"/>
      <c r="L34" s="391"/>
      <c r="M34" s="142"/>
      <c r="N34" s="142"/>
      <c r="O34" s="142"/>
      <c r="S34" s="46"/>
      <c r="T34" s="46"/>
      <c r="U34" s="131"/>
      <c r="V34" s="46"/>
      <c r="W34" s="46"/>
      <c r="X34" s="46"/>
      <c r="Y34" s="46"/>
      <c r="Z34" s="46"/>
      <c r="AA34" s="46"/>
      <c r="AB34" s="53" t="s">
        <v>414</v>
      </c>
      <c r="AC34" s="46"/>
      <c r="AD34" s="46"/>
      <c r="AE34" s="46"/>
      <c r="AF34" s="46"/>
      <c r="AG34" s="46"/>
      <c r="AH34" s="46"/>
      <c r="AI34" s="53" t="s">
        <v>414</v>
      </c>
      <c r="AL34" s="121"/>
      <c r="AM34" s="121"/>
      <c r="AN34" s="121"/>
      <c r="AO34" s="121"/>
      <c r="AP34" s="121"/>
    </row>
    <row r="35" spans="1:42" ht="14.25" customHeight="1">
      <c r="Q35" s="437"/>
      <c r="R35" s="437"/>
      <c r="S35" s="438"/>
      <c r="T35" s="83"/>
      <c r="U35" s="443"/>
      <c r="V35" s="1165"/>
      <c r="W35" s="1165"/>
      <c r="X35" s="1165"/>
      <c r="Y35" s="1165"/>
      <c r="Z35" s="1165"/>
      <c r="AA35" s="1165"/>
      <c r="AB35" s="1165"/>
      <c r="AC35" s="1165"/>
      <c r="AD35" s="1165"/>
      <c r="AE35" s="1165"/>
      <c r="AF35" s="1165"/>
      <c r="AG35" s="1165"/>
      <c r="AH35" s="1165"/>
      <c r="AI35" s="1165"/>
    </row>
    <row r="36" spans="1:42" ht="14.25" customHeight="1">
      <c r="Q36" s="437"/>
      <c r="R36" s="437"/>
      <c r="S36" s="1087" t="s">
        <v>287</v>
      </c>
      <c r="T36" s="1087"/>
      <c r="U36" s="1087"/>
      <c r="V36" s="1087"/>
      <c r="W36" s="1087"/>
      <c r="X36" s="1087"/>
      <c r="Y36" s="1087"/>
      <c r="Z36" s="1087"/>
      <c r="AA36" s="1087"/>
      <c r="AB36" s="1087"/>
      <c r="AC36" s="1087"/>
      <c r="AD36" s="1087"/>
      <c r="AE36" s="1087"/>
      <c r="AF36" s="1087"/>
      <c r="AG36" s="1087"/>
      <c r="AH36" s="1087"/>
      <c r="AI36" s="1087"/>
      <c r="AJ36" s="1087"/>
      <c r="AK36" s="1087" t="s">
        <v>288</v>
      </c>
    </row>
    <row r="37" spans="1:42" ht="14.25" customHeight="1">
      <c r="Q37" s="437"/>
      <c r="R37" s="437"/>
      <c r="S37" s="1166" t="s">
        <v>84</v>
      </c>
      <c r="T37" s="1167" t="s">
        <v>415</v>
      </c>
      <c r="U37" s="444"/>
      <c r="V37" s="1140" t="s">
        <v>416</v>
      </c>
      <c r="W37" s="1140"/>
      <c r="X37" s="1140"/>
      <c r="Y37" s="1140"/>
      <c r="Z37" s="1140"/>
      <c r="AA37" s="1140"/>
      <c r="AB37" s="1167" t="s">
        <v>417</v>
      </c>
      <c r="AC37" s="1140" t="s">
        <v>416</v>
      </c>
      <c r="AD37" s="1140"/>
      <c r="AE37" s="1140"/>
      <c r="AF37" s="1140"/>
      <c r="AG37" s="1140"/>
      <c r="AH37" s="1140"/>
      <c r="AI37" s="1167" t="s">
        <v>418</v>
      </c>
      <c r="AJ37" s="1168" t="s">
        <v>419</v>
      </c>
      <c r="AK37" s="1087"/>
    </row>
    <row r="38" spans="1:42" ht="33.75" customHeight="1">
      <c r="Q38" s="437"/>
      <c r="R38" s="437"/>
      <c r="S38" s="1166"/>
      <c r="T38" s="1167"/>
      <c r="U38" s="445"/>
      <c r="V38" s="242" t="s">
        <v>475</v>
      </c>
      <c r="W38" s="1087" t="s">
        <v>422</v>
      </c>
      <c r="X38" s="1087"/>
      <c r="Y38" s="1087" t="s">
        <v>423</v>
      </c>
      <c r="Z38" s="1087"/>
      <c r="AA38" s="1087"/>
      <c r="AB38" s="1167"/>
      <c r="AC38" s="242" t="s">
        <v>475</v>
      </c>
      <c r="AD38" s="1087" t="s">
        <v>422</v>
      </c>
      <c r="AE38" s="1087"/>
      <c r="AF38" s="1087" t="s">
        <v>423</v>
      </c>
      <c r="AG38" s="1087"/>
      <c r="AH38" s="1087"/>
      <c r="AI38" s="1167"/>
      <c r="AJ38" s="1168"/>
      <c r="AK38" s="1087"/>
    </row>
    <row r="39" spans="1:42" ht="33.75" customHeight="1">
      <c r="A39" s="142"/>
      <c r="B39" s="142" t="s">
        <v>131</v>
      </c>
      <c r="C39" s="142" t="s">
        <v>132</v>
      </c>
      <c r="D39" s="142" t="s">
        <v>133</v>
      </c>
      <c r="E39" s="391" t="s">
        <v>424</v>
      </c>
      <c r="F39" s="391" t="s">
        <v>425</v>
      </c>
      <c r="G39" s="391" t="s">
        <v>426</v>
      </c>
      <c r="H39" s="391"/>
      <c r="I39" s="391" t="s">
        <v>476</v>
      </c>
      <c r="J39" s="391" t="s">
        <v>429</v>
      </c>
      <c r="K39" s="391" t="s">
        <v>477</v>
      </c>
      <c r="L39" s="391" t="s">
        <v>405</v>
      </c>
      <c r="Q39" s="437"/>
      <c r="R39" s="437"/>
      <c r="S39" s="1166"/>
      <c r="T39" s="1167"/>
      <c r="U39" s="446"/>
      <c r="V39" s="523" t="s">
        <v>478</v>
      </c>
      <c r="W39" s="203" t="s">
        <v>479</v>
      </c>
      <c r="X39" s="203" t="s">
        <v>480</v>
      </c>
      <c r="Y39" s="203" t="s">
        <v>433</v>
      </c>
      <c r="Z39" s="1108" t="s">
        <v>434</v>
      </c>
      <c r="AA39" s="1108"/>
      <c r="AB39" s="1167"/>
      <c r="AC39" s="523" t="s">
        <v>478</v>
      </c>
      <c r="AD39" s="203" t="s">
        <v>479</v>
      </c>
      <c r="AE39" s="203" t="s">
        <v>480</v>
      </c>
      <c r="AF39" s="203" t="s">
        <v>433</v>
      </c>
      <c r="AG39" s="1108" t="s">
        <v>434</v>
      </c>
      <c r="AH39" s="1108"/>
      <c r="AI39" s="1167"/>
      <c r="AJ39" s="1168"/>
      <c r="AK39" s="1087"/>
    </row>
    <row r="40" spans="1:42" s="123" customFormat="1" ht="11.25">
      <c r="A40" s="142"/>
      <c r="B40" s="142"/>
      <c r="C40" s="142"/>
      <c r="D40" s="142"/>
      <c r="E40" s="142"/>
      <c r="F40" s="142"/>
      <c r="G40" s="142"/>
      <c r="H40" s="142"/>
      <c r="I40" s="142"/>
      <c r="J40" s="142"/>
      <c r="K40" s="142"/>
      <c r="L40" s="391"/>
      <c r="M40" s="57"/>
      <c r="N40" s="57"/>
      <c r="O40" s="57"/>
      <c r="P40" s="447"/>
      <c r="Q40" s="448"/>
      <c r="R40" s="449">
        <v>1</v>
      </c>
      <c r="S40" s="450" t="s">
        <v>105</v>
      </c>
      <c r="T40" s="451" t="s">
        <v>106</v>
      </c>
      <c r="U40" s="452" t="str">
        <f ca="1">OFFSET(U40,0,-1)</f>
        <v>2</v>
      </c>
      <c r="V40" s="453">
        <f ca="1">OFFSET(V40,0,-1)+1</f>
        <v>3</v>
      </c>
      <c r="W40" s="453">
        <f ca="1">OFFSET(W40,0,-1)+1</f>
        <v>4</v>
      </c>
      <c r="X40" s="453">
        <f ca="1">OFFSET(X40,0,-1)+1</f>
        <v>5</v>
      </c>
      <c r="Y40" s="453">
        <f ca="1">OFFSET(Y40,0,-1)+1</f>
        <v>6</v>
      </c>
      <c r="Z40" s="1170">
        <f ca="1">OFFSET(Z40,0,-1)+1</f>
        <v>7</v>
      </c>
      <c r="AA40" s="1170"/>
      <c r="AB40" s="453">
        <f ca="1">OFFSET(AB40,0,-2)+1</f>
        <v>8</v>
      </c>
      <c r="AC40" s="453">
        <f ca="1">OFFSET(AC40,0,-1)+1</f>
        <v>9</v>
      </c>
      <c r="AD40" s="453">
        <f ca="1">OFFSET(AD40,0,-1)+1</f>
        <v>10</v>
      </c>
      <c r="AE40" s="453">
        <f ca="1">OFFSET(AE40,0,-1)+1</f>
        <v>11</v>
      </c>
      <c r="AF40" s="453">
        <f ca="1">OFFSET(AF40,0,-1)+1</f>
        <v>12</v>
      </c>
      <c r="AG40" s="1170">
        <f ca="1">OFFSET(AG40,0,-1)+1</f>
        <v>13</v>
      </c>
      <c r="AH40" s="1170"/>
      <c r="AI40" s="453">
        <f ca="1">OFFSET(AI40,0,-2)+1</f>
        <v>14</v>
      </c>
      <c r="AJ40" s="452">
        <f ca="1">OFFSET(AJ40,0,-1)</f>
        <v>14</v>
      </c>
      <c r="AK40" s="453">
        <f ca="1">OFFSET(AK40,0,-1)+1</f>
        <v>15</v>
      </c>
      <c r="AL40" s="53"/>
      <c r="AM40" s="53"/>
      <c r="AN40" s="53"/>
      <c r="AO40" s="53"/>
      <c r="AP40" s="53"/>
    </row>
    <row r="41" spans="1:42" ht="23.25" customHeight="1">
      <c r="A41" s="390" t="s">
        <v>213</v>
      </c>
      <c r="B41" s="390"/>
      <c r="C41" s="390"/>
      <c r="D41" s="390"/>
      <c r="E41" s="1153">
        <v>1</v>
      </c>
      <c r="F41" s="390"/>
      <c r="G41" s="390"/>
      <c r="H41" s="390"/>
      <c r="I41" s="390"/>
      <c r="J41" s="390"/>
      <c r="K41" s="390"/>
      <c r="L41" s="391"/>
      <c r="M41" s="392"/>
      <c r="N41" s="392"/>
      <c r="O41" s="392"/>
      <c r="Q41" s="134"/>
      <c r="R41" s="393"/>
      <c r="S41" s="394">
        <f>INDEX(PT_DIFFERENTIATION_NUM_NTAR,MATCH(A41,PT_DIFFERENTIATION_NTAR_ID,0))</f>
        <v>0</v>
      </c>
      <c r="T41" s="395" t="s">
        <v>119</v>
      </c>
      <c r="U41" s="396"/>
      <c r="V41" s="1154"/>
      <c r="W41" s="1154"/>
      <c r="X41" s="1154"/>
      <c r="Y41" s="1154"/>
      <c r="Z41" s="1154"/>
      <c r="AA41" s="1154"/>
      <c r="AB41" s="1154"/>
      <c r="AC41" s="1154" t="str">
        <f>INDEX(PT_DIFFERENTIATION_NTAR,MATCH(A41,PT_DIFFERENTIATION_NTAR_ID,0))</f>
        <v/>
      </c>
      <c r="AD41" s="1154"/>
      <c r="AE41" s="1154"/>
      <c r="AF41" s="1154"/>
      <c r="AG41" s="1154"/>
      <c r="AH41" s="1154"/>
      <c r="AI41" s="1154"/>
      <c r="AJ41" s="1154"/>
      <c r="AK41"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t="shared" ref="AN41:AN53" si="1">IF(T41="","",T41)</f>
        <v>Наименование тарифа</v>
      </c>
      <c r="AO41" s="121"/>
      <c r="AP41" s="121"/>
    </row>
    <row r="42" spans="1:42" ht="23.25" customHeight="1">
      <c r="A42" s="390" t="s">
        <v>213</v>
      </c>
      <c r="B42" s="390" t="s">
        <v>214</v>
      </c>
      <c r="C42" s="390"/>
      <c r="D42" s="390"/>
      <c r="E42" s="1153"/>
      <c r="F42" s="1153">
        <v>1</v>
      </c>
      <c r="G42" s="390"/>
      <c r="H42" s="390"/>
      <c r="I42" s="390"/>
      <c r="J42" s="390"/>
      <c r="K42" s="390"/>
      <c r="L42" s="391"/>
      <c r="M42" s="392"/>
      <c r="N42" s="392"/>
      <c r="O42" s="392"/>
      <c r="P42" s="47"/>
      <c r="Q42" s="398"/>
      <c r="R42" s="399"/>
      <c r="S42" s="394" t="str">
        <f>INDEX(PT_DIFFERENTIATION_NUM_TER,MATCH(B42,PT_DIFFERENTIATION_TER_ID,0))</f>
        <v>.</v>
      </c>
      <c r="T42" s="400" t="s">
        <v>386</v>
      </c>
      <c r="U42" s="396"/>
      <c r="V42" s="1154"/>
      <c r="W42" s="1154"/>
      <c r="X42" s="1154"/>
      <c r="Y42" s="1154"/>
      <c r="Z42" s="1154"/>
      <c r="AA42" s="1154"/>
      <c r="AB42" s="1154"/>
      <c r="AC42" s="1154" t="str">
        <f>INDEX(PT_DIFFERENTIATION_TER,MATCH(B42,PT_DIFFERENTIATION_TER_ID,0))</f>
        <v/>
      </c>
      <c r="AD42" s="1154"/>
      <c r="AE42" s="1154"/>
      <c r="AF42" s="1154"/>
      <c r="AG42" s="1154"/>
      <c r="AH42" s="1154"/>
      <c r="AI42" s="1154"/>
      <c r="AJ42" s="1154"/>
      <c r="AK42" s="397" t="s">
        <v>387</v>
      </c>
      <c r="AM42" s="121"/>
      <c r="AN42" s="121" t="str">
        <f t="shared" si="1"/>
        <v>Территория действия тарифа</v>
      </c>
      <c r="AO42" s="121"/>
      <c r="AP42" s="121"/>
    </row>
    <row r="43" spans="1:42" ht="23.25" customHeight="1">
      <c r="A43" s="390" t="s">
        <v>213</v>
      </c>
      <c r="B43" s="390" t="s">
        <v>214</v>
      </c>
      <c r="C43" s="390" t="s">
        <v>215</v>
      </c>
      <c r="D43" s="390"/>
      <c r="E43" s="1153"/>
      <c r="F43" s="1153"/>
      <c r="G43" s="1153">
        <v>1</v>
      </c>
      <c r="H43" s="390"/>
      <c r="I43" s="390"/>
      <c r="J43" s="390"/>
      <c r="K43" s="390"/>
      <c r="L43" s="391"/>
      <c r="M43" s="392"/>
      <c r="N43" s="392"/>
      <c r="O43" s="392"/>
      <c r="P43" s="401"/>
      <c r="Q43" s="398"/>
      <c r="R43" s="399"/>
      <c r="S43" s="394" t="str">
        <f>INDEX(PT_DIFFERENTIATION_NUM_CS,MATCH(C43,PT_DIFFERENTIATION_CS_ID,0))</f>
        <v>..</v>
      </c>
      <c r="T43" s="402" t="s">
        <v>467</v>
      </c>
      <c r="U43" s="396"/>
      <c r="V43" s="1154"/>
      <c r="W43" s="1154"/>
      <c r="X43" s="1154"/>
      <c r="Y43" s="1154"/>
      <c r="Z43" s="1154"/>
      <c r="AA43" s="1154"/>
      <c r="AB43" s="1154"/>
      <c r="AC43" s="1154" t="str">
        <f>INDEX(PT_DIFFERENTIATION_CS,MATCH(C43,PT_DIFFERENTIATION_CS_ID,0))</f>
        <v/>
      </c>
      <c r="AD43" s="1154"/>
      <c r="AE43" s="1154"/>
      <c r="AF43" s="1154"/>
      <c r="AG43" s="1154"/>
      <c r="AH43" s="1154"/>
      <c r="AI43" s="1154"/>
      <c r="AJ43" s="1154"/>
      <c r="AK43" s="397" t="s">
        <v>468</v>
      </c>
      <c r="AM43" s="121"/>
      <c r="AN43" s="121" t="str">
        <f t="shared" si="1"/>
        <v>Наименование централизованной системы холодного водоснабжения</v>
      </c>
      <c r="AO43" s="121"/>
      <c r="AP43" s="121"/>
    </row>
    <row r="44" spans="1:42" ht="23.25" customHeight="1">
      <c r="A44" s="390" t="s">
        <v>213</v>
      </c>
      <c r="B44" s="390" t="s">
        <v>214</v>
      </c>
      <c r="C44" s="390" t="s">
        <v>215</v>
      </c>
      <c r="D44" s="390" t="s">
        <v>482</v>
      </c>
      <c r="E44" s="1153"/>
      <c r="F44" s="1153"/>
      <c r="G44" s="1153"/>
      <c r="H44" s="1189"/>
      <c r="I44" s="1155" t="str">
        <f>S43&amp;".1"</f>
        <v>...1</v>
      </c>
      <c r="J44" s="390"/>
      <c r="K44" s="390"/>
      <c r="L44" s="391"/>
      <c r="P44" s="1156">
        <v>1</v>
      </c>
      <c r="Q44" s="124"/>
      <c r="R44" s="405"/>
      <c r="S44" s="394" t="str">
        <f>$I44</f>
        <v>...1</v>
      </c>
      <c r="T44" s="406" t="s">
        <v>469</v>
      </c>
      <c r="U44" s="396"/>
      <c r="V44" s="1190"/>
      <c r="W44" s="1190"/>
      <c r="X44" s="1190"/>
      <c r="Y44" s="1190"/>
      <c r="Z44" s="1190"/>
      <c r="AA44" s="1190"/>
      <c r="AB44" s="1190"/>
      <c r="AC44" s="1123"/>
      <c r="AD44" s="1123"/>
      <c r="AE44" s="1123"/>
      <c r="AF44" s="1123"/>
      <c r="AG44" s="1123"/>
      <c r="AH44" s="1123"/>
      <c r="AI44" s="1123"/>
      <c r="AJ44" s="1123"/>
      <c r="AK44" s="397" t="s">
        <v>470</v>
      </c>
      <c r="AM44" s="121"/>
      <c r="AN44" s="121" t="str">
        <f t="shared" si="1"/>
        <v>Наименование признака дифференциации</v>
      </c>
      <c r="AO44" s="121"/>
      <c r="AP44" s="121"/>
    </row>
    <row r="45" spans="1:42" ht="23.25" customHeight="1">
      <c r="A45" s="390" t="s">
        <v>213</v>
      </c>
      <c r="B45" s="390" t="s">
        <v>214</v>
      </c>
      <c r="C45" s="390" t="s">
        <v>215</v>
      </c>
      <c r="D45" s="390" t="s">
        <v>482</v>
      </c>
      <c r="E45" s="1153"/>
      <c r="F45" s="1153"/>
      <c r="G45" s="1153"/>
      <c r="H45" s="1153"/>
      <c r="I45" s="1155"/>
      <c r="J45" s="1155" t="str">
        <f>I44&amp;".1"</f>
        <v>...1.1</v>
      </c>
      <c r="K45" s="390"/>
      <c r="L45" s="391" t="s">
        <v>395</v>
      </c>
      <c r="P45" s="1156"/>
      <c r="Q45" s="1156">
        <v>1</v>
      </c>
      <c r="R45" s="408"/>
      <c r="S45" s="394" t="str">
        <f>$J45</f>
        <v>...1.1</v>
      </c>
      <c r="T45" s="409" t="s">
        <v>396</v>
      </c>
      <c r="U45" s="396"/>
      <c r="V45" s="1157"/>
      <c r="W45" s="1157"/>
      <c r="X45" s="1157"/>
      <c r="Y45" s="1157"/>
      <c r="Z45" s="1157"/>
      <c r="AA45" s="1157"/>
      <c r="AB45" s="1157"/>
      <c r="AC45" s="1157"/>
      <c r="AD45" s="1157"/>
      <c r="AE45" s="1157"/>
      <c r="AF45" s="1157"/>
      <c r="AG45" s="1157"/>
      <c r="AH45" s="1157"/>
      <c r="AI45" s="1157"/>
      <c r="AJ45" s="1157"/>
      <c r="AK45" s="471" t="s">
        <v>471</v>
      </c>
      <c r="AM45" s="121"/>
      <c r="AN45" s="121" t="str">
        <f t="shared" si="1"/>
        <v>Группа потребителей</v>
      </c>
      <c r="AO45" s="121"/>
      <c r="AP45" s="121"/>
    </row>
    <row r="46" spans="1:42" ht="23.25" customHeight="1">
      <c r="A46" s="390" t="s">
        <v>213</v>
      </c>
      <c r="B46" s="390" t="s">
        <v>214</v>
      </c>
      <c r="C46" s="390" t="s">
        <v>215</v>
      </c>
      <c r="D46" s="390" t="s">
        <v>482</v>
      </c>
      <c r="E46" s="1153"/>
      <c r="F46" s="1153"/>
      <c r="G46" s="1153"/>
      <c r="H46" s="1153"/>
      <c r="I46" s="1155"/>
      <c r="J46" s="1155"/>
      <c r="K46" s="1155" t="str">
        <f>J45&amp;".1"</f>
        <v>...1.1.1</v>
      </c>
      <c r="L46" s="391"/>
      <c r="P46" s="1156"/>
      <c r="Q46" s="1156"/>
      <c r="R46" s="408">
        <v>1</v>
      </c>
      <c r="S46" s="394" t="str">
        <f>$K46</f>
        <v>...1.1.1</v>
      </c>
      <c r="T46" s="517"/>
      <c r="U46" s="396"/>
      <c r="V46" s="411"/>
      <c r="W46" s="411"/>
      <c r="X46" s="413"/>
      <c r="Y46" s="1158"/>
      <c r="Z46" s="1105" t="s">
        <v>63</v>
      </c>
      <c r="AA46" s="1158"/>
      <c r="AB46" s="1105" t="s">
        <v>63</v>
      </c>
      <c r="AC46" s="411"/>
      <c r="AD46" s="411"/>
      <c r="AE46" s="413"/>
      <c r="AF46" s="1158"/>
      <c r="AG46" s="1105" t="s">
        <v>63</v>
      </c>
      <c r="AH46" s="1158"/>
      <c r="AI46" s="1105" t="s">
        <v>63</v>
      </c>
      <c r="AJ46" s="518"/>
      <c r="AK46"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 t="e">
        <f ca="1">strcheckdate(V47:AJ47)</f>
        <v>#NAME?</v>
      </c>
      <c r="AM46" s="121"/>
      <c r="AN46" s="121" t="str">
        <f t="shared" si="1"/>
        <v/>
      </c>
      <c r="AO46" s="121"/>
      <c r="AP46" s="121"/>
    </row>
    <row r="47" spans="1:42" ht="11.25">
      <c r="A47" s="390" t="s">
        <v>213</v>
      </c>
      <c r="B47" s="390" t="s">
        <v>214</v>
      </c>
      <c r="C47" s="390" t="s">
        <v>215</v>
      </c>
      <c r="D47" s="390" t="s">
        <v>482</v>
      </c>
      <c r="E47" s="1153"/>
      <c r="F47" s="1153"/>
      <c r="G47" s="1153"/>
      <c r="H47" s="1153"/>
      <c r="I47" s="1155"/>
      <c r="J47" s="1155"/>
      <c r="K47" s="1155"/>
      <c r="L47" s="391"/>
      <c r="P47" s="1156"/>
      <c r="Q47" s="1156"/>
      <c r="R47" s="408"/>
      <c r="S47" s="370"/>
      <c r="T47" s="396"/>
      <c r="U47" s="396"/>
      <c r="V47" s="412"/>
      <c r="W47" s="412"/>
      <c r="X47" s="415" t="str">
        <f>Y46&amp;"-"&amp;AA46</f>
        <v>-</v>
      </c>
      <c r="Y47" s="1158"/>
      <c r="Z47" s="1105"/>
      <c r="AA47" s="1158"/>
      <c r="AB47" s="1105"/>
      <c r="AC47" s="412"/>
      <c r="AD47" s="412"/>
      <c r="AE47" s="415" t="str">
        <f>AF46&amp;"-"&amp;AH46</f>
        <v>-</v>
      </c>
      <c r="AF47" s="1158"/>
      <c r="AG47" s="1105"/>
      <c r="AH47" s="1158"/>
      <c r="AI47" s="1105"/>
      <c r="AJ47" s="519"/>
      <c r="AK47" s="1191"/>
      <c r="AM47" s="121"/>
      <c r="AN47" s="121" t="str">
        <f t="shared" si="1"/>
        <v/>
      </c>
      <c r="AO47" s="121"/>
      <c r="AP47" s="121"/>
    </row>
    <row r="48" spans="1:42" ht="21" customHeight="1">
      <c r="A48" s="390" t="s">
        <v>213</v>
      </c>
      <c r="B48" s="390" t="s">
        <v>214</v>
      </c>
      <c r="C48" s="390" t="s">
        <v>215</v>
      </c>
      <c r="D48" s="390" t="s">
        <v>482</v>
      </c>
      <c r="E48" s="1153"/>
      <c r="F48" s="1153"/>
      <c r="G48" s="1153"/>
      <c r="H48" s="1153"/>
      <c r="I48" s="1155"/>
      <c r="J48" s="1155"/>
      <c r="K48" s="390"/>
      <c r="L48" s="391"/>
      <c r="P48" s="1156"/>
      <c r="Q48" s="1156"/>
      <c r="R48" s="405"/>
      <c r="S48" s="416"/>
      <c r="T48" s="419" t="s">
        <v>472</v>
      </c>
      <c r="U48" s="186"/>
      <c r="V48" s="186"/>
      <c r="W48" s="186"/>
      <c r="X48" s="186"/>
      <c r="Y48" s="186"/>
      <c r="Z48" s="186"/>
      <c r="AA48" s="186"/>
      <c r="AB48" s="186"/>
      <c r="AC48" s="186"/>
      <c r="AD48" s="186"/>
      <c r="AE48" s="186"/>
      <c r="AF48" s="186"/>
      <c r="AG48" s="186"/>
      <c r="AH48" s="186"/>
      <c r="AI48" s="186"/>
      <c r="AJ48" s="186"/>
      <c r="AK48" s="397" t="s">
        <v>473</v>
      </c>
      <c r="AM48" s="121"/>
      <c r="AN48" s="121" t="str">
        <f t="shared" si="1"/>
        <v>Добавить значение признака дифференциации</v>
      </c>
      <c r="AO48" s="121"/>
      <c r="AP48" s="121"/>
    </row>
    <row r="49" spans="1:42" ht="21" customHeight="1">
      <c r="A49" s="390" t="s">
        <v>213</v>
      </c>
      <c r="B49" s="390" t="s">
        <v>214</v>
      </c>
      <c r="C49" s="390" t="s">
        <v>215</v>
      </c>
      <c r="D49" s="390" t="s">
        <v>482</v>
      </c>
      <c r="E49" s="1153"/>
      <c r="F49" s="1153"/>
      <c r="G49" s="1153"/>
      <c r="H49" s="1153"/>
      <c r="I49" s="1155"/>
      <c r="J49" s="390"/>
      <c r="K49" s="390"/>
      <c r="L49" s="391"/>
      <c r="P49" s="1156"/>
      <c r="Q49" s="124"/>
      <c r="R49" s="405"/>
      <c r="S49" s="416"/>
      <c r="T49" s="423" t="s">
        <v>401</v>
      </c>
      <c r="U49" s="186"/>
      <c r="V49" s="186"/>
      <c r="W49" s="186"/>
      <c r="X49" s="186"/>
      <c r="Y49" s="186"/>
      <c r="Z49" s="186"/>
      <c r="AA49" s="186"/>
      <c r="AB49" s="420"/>
      <c r="AC49" s="186"/>
      <c r="AD49" s="186"/>
      <c r="AE49" s="186"/>
      <c r="AF49" s="186"/>
      <c r="AG49" s="186"/>
      <c r="AH49" s="186"/>
      <c r="AI49" s="420"/>
      <c r="AJ49" s="186"/>
      <c r="AK49" s="520"/>
      <c r="AM49" s="121"/>
      <c r="AN49" s="121" t="str">
        <f t="shared" si="1"/>
        <v>Добавить группу потребителей</v>
      </c>
      <c r="AO49" s="121"/>
      <c r="AP49" s="121"/>
    </row>
    <row r="50" spans="1:42" ht="21" customHeight="1">
      <c r="A50" s="390" t="s">
        <v>213</v>
      </c>
      <c r="B50" s="390" t="s">
        <v>214</v>
      </c>
      <c r="C50" s="390" t="s">
        <v>215</v>
      </c>
      <c r="D50" s="390" t="s">
        <v>482</v>
      </c>
      <c r="E50" s="1153"/>
      <c r="F50" s="1153"/>
      <c r="G50" s="1153"/>
      <c r="H50" s="1189"/>
      <c r="I50" s="390"/>
      <c r="J50" s="390"/>
      <c r="K50" s="390"/>
      <c r="L50" s="391"/>
      <c r="M50" s="392"/>
      <c r="N50" s="392"/>
      <c r="O50" s="49"/>
      <c r="P50" s="134"/>
      <c r="Q50" s="422"/>
      <c r="R50" s="393"/>
      <c r="S50" s="416"/>
      <c r="T50" s="521" t="s">
        <v>474</v>
      </c>
      <c r="U50" s="186"/>
      <c r="V50" s="186"/>
      <c r="W50" s="186"/>
      <c r="X50" s="186"/>
      <c r="Y50" s="186"/>
      <c r="Z50" s="186"/>
      <c r="AA50" s="186"/>
      <c r="AB50" s="420"/>
      <c r="AC50" s="186"/>
      <c r="AD50" s="186"/>
      <c r="AE50" s="186"/>
      <c r="AF50" s="186"/>
      <c r="AG50" s="186"/>
      <c r="AH50" s="186"/>
      <c r="AI50" s="420"/>
      <c r="AJ50" s="186"/>
      <c r="AK50" s="421"/>
      <c r="AM50" s="121"/>
      <c r="AN50" s="121" t="str">
        <f t="shared" si="1"/>
        <v>Добавить наименование признака дифференциации</v>
      </c>
      <c r="AO50" s="121"/>
      <c r="AP50" s="121"/>
    </row>
    <row r="51" spans="1:42" s="53" customFormat="1" ht="5.25">
      <c r="A51" s="125" t="s">
        <v>213</v>
      </c>
      <c r="B51" s="125" t="s">
        <v>214</v>
      </c>
      <c r="C51" s="125"/>
      <c r="D51" s="125"/>
      <c r="E51" s="1153"/>
      <c r="F51" s="1153"/>
      <c r="G51" s="125"/>
      <c r="H51" s="125"/>
      <c r="I51" s="125"/>
      <c r="J51" s="125"/>
      <c r="K51" s="125"/>
      <c r="L51" s="184"/>
      <c r="M51" s="428"/>
      <c r="N51" s="428"/>
      <c r="P51" s="158"/>
      <c r="Q51" s="424"/>
      <c r="R51" s="158"/>
      <c r="S51" s="429"/>
      <c r="T51" s="432" t="s">
        <v>253</v>
      </c>
      <c r="U51" s="431"/>
      <c r="V51" s="431"/>
      <c r="W51" s="431"/>
      <c r="X51" s="431"/>
      <c r="Y51" s="431"/>
      <c r="Z51" s="431"/>
      <c r="AA51" s="431"/>
      <c r="AB51" s="431"/>
      <c r="AC51" s="431"/>
      <c r="AD51" s="431"/>
      <c r="AE51" s="431"/>
      <c r="AF51" s="431"/>
      <c r="AG51" s="431"/>
      <c r="AH51" s="431"/>
      <c r="AI51" s="431"/>
      <c r="AJ51" s="431"/>
      <c r="AK51" s="431"/>
      <c r="AM51" s="121"/>
      <c r="AN51" s="121" t="str">
        <f t="shared" si="1"/>
        <v>Добавить централизованную систему для дифференциации</v>
      </c>
      <c r="AO51" s="121"/>
      <c r="AP51" s="121"/>
    </row>
    <row r="52" spans="1:42" s="53" customFormat="1" ht="5.25">
      <c r="A52" s="125" t="s">
        <v>213</v>
      </c>
      <c r="B52" s="125"/>
      <c r="C52" s="125"/>
      <c r="D52" s="125"/>
      <c r="E52" s="1153"/>
      <c r="F52" s="125"/>
      <c r="G52" s="125"/>
      <c r="H52" s="125"/>
      <c r="I52" s="125"/>
      <c r="J52" s="125"/>
      <c r="K52" s="125"/>
      <c r="L52" s="184"/>
      <c r="M52" s="428"/>
      <c r="N52" s="428"/>
      <c r="P52" s="158"/>
      <c r="Q52" s="424"/>
      <c r="R52" s="158"/>
      <c r="S52" s="429"/>
      <c r="T52" s="432" t="s">
        <v>254</v>
      </c>
      <c r="U52" s="431"/>
      <c r="V52" s="431"/>
      <c r="W52" s="431"/>
      <c r="X52" s="431"/>
      <c r="Y52" s="431"/>
      <c r="Z52" s="431"/>
      <c r="AA52" s="431"/>
      <c r="AB52" s="431"/>
      <c r="AC52" s="431"/>
      <c r="AD52" s="431"/>
      <c r="AE52" s="431"/>
      <c r="AF52" s="431"/>
      <c r="AG52" s="431"/>
      <c r="AH52" s="431"/>
      <c r="AI52" s="431"/>
      <c r="AJ52" s="431"/>
      <c r="AK52" s="431"/>
      <c r="AM52" s="121"/>
      <c r="AN52" s="121" t="str">
        <f t="shared" si="1"/>
        <v>Добавить территорию для дифференциации</v>
      </c>
      <c r="AO52" s="121"/>
      <c r="AP52" s="121"/>
    </row>
    <row r="53" spans="1:42" s="53" customFormat="1" ht="5.25">
      <c r="A53" s="125"/>
      <c r="B53" s="125"/>
      <c r="C53" s="125"/>
      <c r="D53" s="125"/>
      <c r="E53" s="125"/>
      <c r="F53" s="125"/>
      <c r="G53" s="125"/>
      <c r="H53" s="125"/>
      <c r="I53" s="125"/>
      <c r="J53" s="125"/>
      <c r="K53" s="125"/>
      <c r="L53" s="184"/>
      <c r="M53" s="428"/>
      <c r="N53" s="428"/>
      <c r="P53" s="158"/>
      <c r="Q53" s="424"/>
      <c r="R53" s="158"/>
      <c r="S53" s="429"/>
      <c r="T53" s="432" t="s">
        <v>255</v>
      </c>
      <c r="U53" s="431"/>
      <c r="V53" s="431"/>
      <c r="W53" s="431"/>
      <c r="X53" s="431"/>
      <c r="Y53" s="431"/>
      <c r="Z53" s="431"/>
      <c r="AA53" s="431"/>
      <c r="AB53" s="431"/>
      <c r="AC53" s="431"/>
      <c r="AD53" s="431"/>
      <c r="AE53" s="431"/>
      <c r="AF53" s="431"/>
      <c r="AG53" s="431"/>
      <c r="AH53" s="431"/>
      <c r="AI53" s="431"/>
      <c r="AJ53" s="431"/>
      <c r="AK53" s="431"/>
      <c r="AM53" s="121"/>
      <c r="AN53" s="121" t="str">
        <f t="shared" si="1"/>
        <v>Добавить наименование тарифа</v>
      </c>
      <c r="AO53" s="121"/>
      <c r="AP53" s="121"/>
    </row>
    <row r="54" spans="1:42" ht="11.25" customHeight="1">
      <c r="M54" s="49"/>
      <c r="N54" s="49"/>
      <c r="O54" s="49"/>
      <c r="P54" s="46"/>
      <c r="Q54" s="46"/>
      <c r="R54" s="46"/>
      <c r="S54" s="46"/>
      <c r="AL54" s="46"/>
      <c r="AM54" s="46"/>
      <c r="AN54" s="46"/>
      <c r="AO54" s="46"/>
      <c r="AP54" s="46"/>
    </row>
    <row r="55" spans="1:42" ht="14.25" customHeight="1">
      <c r="O55" s="49"/>
      <c r="S55" s="387"/>
      <c r="T55" s="1171"/>
      <c r="U55" s="1171"/>
      <c r="V55" s="1171"/>
      <c r="W55" s="1171"/>
      <c r="X55" s="1171"/>
      <c r="Y55" s="1171"/>
      <c r="Z55" s="1171"/>
      <c r="AA55" s="1171"/>
      <c r="AB55" s="1171"/>
      <c r="AC55" s="1171"/>
      <c r="AD55" s="1171"/>
      <c r="AE55" s="1171"/>
      <c r="AF55" s="1171"/>
      <c r="AG55" s="1171"/>
      <c r="AH55" s="1171"/>
      <c r="AI55" s="1171"/>
      <c r="AJ55" s="1171"/>
      <c r="AK55" s="1171"/>
    </row>
    <row r="56" spans="1:42" ht="14.25" customHeight="1">
      <c r="O56" s="49"/>
    </row>
    <row r="57" spans="1:42" ht="14.25" customHeight="1">
      <c r="O57" s="49"/>
      <c r="S57" s="387"/>
      <c r="T57" s="1171"/>
      <c r="U57" s="1171"/>
      <c r="V57" s="1171"/>
      <c r="W57" s="1171"/>
      <c r="X57" s="1171"/>
      <c r="Y57" s="1171"/>
      <c r="Z57" s="1171"/>
      <c r="AA57" s="1171"/>
      <c r="AB57" s="1171"/>
      <c r="AC57" s="1171"/>
      <c r="AD57" s="1171"/>
      <c r="AE57" s="1171"/>
      <c r="AF57" s="1171"/>
      <c r="AG57" s="1171"/>
      <c r="AH57" s="1171"/>
      <c r="AI57" s="1171"/>
      <c r="AJ57" s="1171"/>
      <c r="AK57" s="1171"/>
    </row>
  </sheetData>
  <mergeCells count="101">
    <mergeCell ref="AB46:AB47"/>
    <mergeCell ref="AF46:AF47"/>
    <mergeCell ref="AG46:AG47"/>
    <mergeCell ref="AH46:AH47"/>
    <mergeCell ref="AI46:AI47"/>
    <mergeCell ref="AK46:AK47"/>
    <mergeCell ref="T55:AK55"/>
    <mergeCell ref="T57:AK5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S30:T30"/>
    <mergeCell ref="V30:AA30"/>
    <mergeCell ref="AC30:AH30"/>
    <mergeCell ref="S32:T32"/>
    <mergeCell ref="V32:AA32"/>
    <mergeCell ref="AC32:AH32"/>
    <mergeCell ref="S33:T33"/>
    <mergeCell ref="V33:AA33"/>
    <mergeCell ref="AC33:AH33"/>
    <mergeCell ref="S25:AH25"/>
    <mergeCell ref="S27:T27"/>
    <mergeCell ref="V27:AA27"/>
    <mergeCell ref="AC27:AH27"/>
    <mergeCell ref="S28:T28"/>
    <mergeCell ref="V28:AA28"/>
    <mergeCell ref="AC28:AH28"/>
    <mergeCell ref="S29:T29"/>
    <mergeCell ref="V29:AA29"/>
    <mergeCell ref="AC29:AH29"/>
    <mergeCell ref="AG7:AG8"/>
    <mergeCell ref="AH7:AH8"/>
    <mergeCell ref="AI7:AI8"/>
    <mergeCell ref="AK7:AK8"/>
    <mergeCell ref="AF15:AF16"/>
    <mergeCell ref="AG15:AG16"/>
    <mergeCell ref="AH15:AH16"/>
    <mergeCell ref="AI15:AI16"/>
    <mergeCell ref="S24:AH24"/>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s>
  <dataValidations count="4">
    <dataValidation allowBlank="1" showInputMessage="1" showErrorMessage="1" prompt="Для выбора выполните двойной щелчок левой клавиши мыши по соответствующей ячейке." sqref="Z7 AB7 AG7 AI7 AG15 AI15 Z46 AB46 AG46 AI46">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formula1>0</formula1>
      <formula2>0</formula2>
    </dataValidation>
    <dataValidation type="textLength" operator="lessThanOrEqual" allowBlank="1" showInputMessage="1" showErrorMessage="1" errorTitle="Ошибка" error="Допускается ввод не более 900 символов!" sqref="AC5:AJ5 T7 AC44:AJ44 T46">
      <formula1>900</formula1>
      <formula2>0</formula2>
    </dataValidation>
    <dataValidation allowBlank="1" promptTitle="checkPeriodRange" sqref="X8 AE8 AE16 X47 AE47">
      <formula1>0</formula1>
      <formula2>0</formula2>
    </dataValidation>
  </dataValidations>
  <pageMargins left="0.7" right="0.7" top="0.625" bottom="0.625" header="0.3" footer="0.3"/>
  <pageSetup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P57"/>
  <sheetViews>
    <sheetView showGridLines="0" topLeftCell="P23"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4.140625" style="49" hidden="1" customWidth="1"/>
    <col min="10" max="10" width="9.85546875" style="49" hidden="1" customWidth="1"/>
    <col min="11" max="11" width="14.7109375" style="49" hidden="1" customWidth="1"/>
    <col min="12" max="12" width="19.140625" style="107" hidden="1" customWidth="1"/>
    <col min="13" max="14" width="12.28515625" style="57" hidden="1" customWidth="1"/>
    <col min="15" max="15" width="23.42578125" style="57" hidden="1" customWidth="1"/>
    <col min="16" max="16" width="3.7109375" style="56" customWidth="1"/>
    <col min="17" max="18" width="3.7109375" style="389" customWidth="1"/>
    <col min="19" max="19" width="12.7109375" style="254" customWidth="1"/>
    <col min="20" max="20" width="35.7109375" style="46" customWidth="1"/>
    <col min="21" max="21" width="0.140625" style="46" customWidth="1"/>
    <col min="22" max="24" width="24.7109375" style="46" hidden="1" customWidth="1"/>
    <col min="25" max="25" width="11.7109375" style="46" hidden="1" customWidth="1"/>
    <col min="26" max="26" width="3.7109375" style="46" hidden="1" customWidth="1"/>
    <col min="27" max="27" width="11.7109375" style="46" hidden="1" customWidth="1"/>
    <col min="28" max="28" width="8.5703125" style="46" hidden="1" customWidth="1"/>
    <col min="29" max="31" width="24.7109375" style="46" customWidth="1"/>
    <col min="32" max="32" width="11.7109375" style="46" customWidth="1"/>
    <col min="33" max="33" width="3.7109375" style="46" customWidth="1"/>
    <col min="34" max="34" width="11.7109375" style="46" customWidth="1"/>
    <col min="35" max="35" width="8.5703125" style="46" hidden="1" customWidth="1"/>
    <col min="36" max="36" width="4.7109375" style="46" customWidth="1"/>
    <col min="37" max="37" width="115.7109375" style="46" customWidth="1"/>
    <col min="38" max="39" width="10.5703125" style="53"/>
    <col min="40" max="40" width="11.140625" style="53" customWidth="1"/>
    <col min="41" max="42" width="10.5703125" style="53"/>
  </cols>
  <sheetData>
    <row r="1" spans="1:42" ht="14.25" hidden="1" customHeight="1"/>
    <row r="2" spans="1:42" ht="23.25"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t="e">
        <f>INDEX(PT_DIFFERENTIATION_NTAR,MATCH(A2,PT_DIFFERENTIATION_NTAR_ID,0))</f>
        <v>#N/A</v>
      </c>
      <c r="AD2" s="1154"/>
      <c r="AE2" s="1154"/>
      <c r="AF2" s="1154"/>
      <c r="AG2" s="1154"/>
      <c r="AH2" s="1154"/>
      <c r="AI2" s="1154"/>
      <c r="AJ2" s="1154"/>
      <c r="AK2"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t="shared" ref="AN2:AN13" si="0">IF(T2="","",T2)</f>
        <v>Наименование тарифа</v>
      </c>
      <c r="AO2" s="121"/>
      <c r="AP2" s="121"/>
    </row>
    <row r="3" spans="1:42" ht="23.25"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t="e">
        <f>INDEX(PT_DIFFERENTIATION_TER,MATCH(B3,PT_DIFFERENTIATION_TER_ID,0))</f>
        <v>#N/A</v>
      </c>
      <c r="AD3" s="1154"/>
      <c r="AE3" s="1154"/>
      <c r="AF3" s="1154"/>
      <c r="AG3" s="1154"/>
      <c r="AH3" s="1154"/>
      <c r="AI3" s="1154"/>
      <c r="AJ3" s="1154"/>
      <c r="AK3" s="397" t="s">
        <v>387</v>
      </c>
      <c r="AM3" s="121"/>
      <c r="AN3" s="121" t="str">
        <f t="shared" si="0"/>
        <v>Территория действия тарифа</v>
      </c>
      <c r="AO3" s="121"/>
      <c r="AP3" s="121"/>
    </row>
    <row r="4" spans="1:42"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467</v>
      </c>
      <c r="U4" s="396"/>
      <c r="V4" s="1154"/>
      <c r="W4" s="1154"/>
      <c r="X4" s="1154"/>
      <c r="Y4" s="1154"/>
      <c r="Z4" s="1154"/>
      <c r="AA4" s="1154"/>
      <c r="AB4" s="1154"/>
      <c r="AC4" s="1154" t="e">
        <f>INDEX(PT_DIFFERENTIATION_CS,MATCH(C4,PT_DIFFERENTIATION_CS_ID,0))</f>
        <v>#N/A</v>
      </c>
      <c r="AD4" s="1154"/>
      <c r="AE4" s="1154"/>
      <c r="AF4" s="1154"/>
      <c r="AG4" s="1154"/>
      <c r="AH4" s="1154"/>
      <c r="AI4" s="1154"/>
      <c r="AJ4" s="1154"/>
      <c r="AK4" s="397" t="s">
        <v>468</v>
      </c>
      <c r="AM4" s="121"/>
      <c r="AN4" s="121" t="str">
        <f t="shared" si="0"/>
        <v>Наименование централизованной системы холодного водоснабжения</v>
      </c>
      <c r="AO4" s="121"/>
      <c r="AP4" s="121"/>
    </row>
    <row r="5" spans="1:42" ht="23.25" hidden="1" customHeight="1">
      <c r="A5" s="390"/>
      <c r="B5" s="390"/>
      <c r="C5" s="390"/>
      <c r="D5" s="390"/>
      <c r="E5" s="1153"/>
      <c r="F5" s="1153"/>
      <c r="G5" s="1153"/>
      <c r="H5" s="1189"/>
      <c r="I5" s="1155" t="e">
        <f>S4&amp;".1"</f>
        <v>#N/A</v>
      </c>
      <c r="J5" s="390"/>
      <c r="K5" s="390"/>
      <c r="L5" s="391"/>
      <c r="P5" s="1156">
        <v>1</v>
      </c>
      <c r="Q5" s="124"/>
      <c r="R5" s="405"/>
      <c r="S5" s="394" t="e">
        <f>$I5</f>
        <v>#N/A</v>
      </c>
      <c r="T5" s="406" t="s">
        <v>469</v>
      </c>
      <c r="U5" s="396"/>
      <c r="V5" s="1190"/>
      <c r="W5" s="1190"/>
      <c r="X5" s="1190"/>
      <c r="Y5" s="1190"/>
      <c r="Z5" s="1190"/>
      <c r="AA5" s="1190"/>
      <c r="AB5" s="1190"/>
      <c r="AC5" s="1123"/>
      <c r="AD5" s="1123"/>
      <c r="AE5" s="1123"/>
      <c r="AF5" s="1123"/>
      <c r="AG5" s="1123"/>
      <c r="AH5" s="1123"/>
      <c r="AI5" s="1123"/>
      <c r="AJ5" s="1123"/>
      <c r="AK5" s="397" t="s">
        <v>470</v>
      </c>
      <c r="AM5" s="121"/>
      <c r="AN5" s="121" t="str">
        <f t="shared" si="0"/>
        <v>Наименование признака дифференциации</v>
      </c>
      <c r="AO5" s="121"/>
      <c r="AP5" s="121"/>
    </row>
    <row r="6" spans="1:42" ht="23.25" hidden="1" customHeight="1">
      <c r="A6" s="390"/>
      <c r="B6" s="390"/>
      <c r="C6" s="390"/>
      <c r="D6" s="390"/>
      <c r="E6" s="1153"/>
      <c r="F6" s="1153"/>
      <c r="G6" s="1153"/>
      <c r="H6" s="1153"/>
      <c r="I6" s="1155"/>
      <c r="J6" s="1155" t="e">
        <f>I5&amp;".1"</f>
        <v>#N/A</v>
      </c>
      <c r="K6" s="390"/>
      <c r="L6" s="391" t="s">
        <v>395</v>
      </c>
      <c r="P6" s="1156"/>
      <c r="Q6" s="1156">
        <v>1</v>
      </c>
      <c r="R6" s="408"/>
      <c r="S6" s="394" t="e">
        <f>$J6</f>
        <v>#N/A</v>
      </c>
      <c r="T6" s="409" t="s">
        <v>396</v>
      </c>
      <c r="U6" s="396"/>
      <c r="V6" s="1157"/>
      <c r="W6" s="1157"/>
      <c r="X6" s="1157"/>
      <c r="Y6" s="1157"/>
      <c r="Z6" s="1157"/>
      <c r="AA6" s="1157"/>
      <c r="AB6" s="1157"/>
      <c r="AC6" s="1157"/>
      <c r="AD6" s="1157"/>
      <c r="AE6" s="1157"/>
      <c r="AF6" s="1157"/>
      <c r="AG6" s="1157"/>
      <c r="AH6" s="1157"/>
      <c r="AI6" s="1157"/>
      <c r="AJ6" s="1157"/>
      <c r="AK6" s="471" t="s">
        <v>471</v>
      </c>
      <c r="AM6" s="121"/>
      <c r="AN6" s="121" t="str">
        <f t="shared" si="0"/>
        <v>Группа потребителей</v>
      </c>
      <c r="AO6" s="121"/>
      <c r="AP6" s="121"/>
    </row>
    <row r="7" spans="1:42" ht="23.25" hidden="1" customHeight="1">
      <c r="A7" s="390"/>
      <c r="B7" s="390"/>
      <c r="C7" s="390"/>
      <c r="D7" s="390"/>
      <c r="E7" s="1153"/>
      <c r="F7" s="1153"/>
      <c r="G7" s="1153"/>
      <c r="H7" s="1153"/>
      <c r="I7" s="1155"/>
      <c r="J7" s="1155"/>
      <c r="K7" s="1155" t="e">
        <f>J6&amp;".1"</f>
        <v>#N/A</v>
      </c>
      <c r="L7" s="391"/>
      <c r="P7" s="1156"/>
      <c r="Q7" s="1156"/>
      <c r="R7" s="408">
        <v>1</v>
      </c>
      <c r="S7" s="394" t="e">
        <f>$K7</f>
        <v>#N/A</v>
      </c>
      <c r="T7" s="517"/>
      <c r="U7" s="396"/>
      <c r="V7" s="411"/>
      <c r="W7" s="411"/>
      <c r="X7" s="413"/>
      <c r="Y7" s="1158"/>
      <c r="Z7" s="1105" t="s">
        <v>63</v>
      </c>
      <c r="AA7" s="1158"/>
      <c r="AB7" s="1105" t="s">
        <v>63</v>
      </c>
      <c r="AC7" s="411"/>
      <c r="AD7" s="411"/>
      <c r="AE7" s="413"/>
      <c r="AF7" s="1158"/>
      <c r="AG7" s="1105" t="s">
        <v>63</v>
      </c>
      <c r="AH7" s="1158"/>
      <c r="AI7" s="1105" t="s">
        <v>63</v>
      </c>
      <c r="AJ7" s="518"/>
      <c r="AK7"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 t="e">
        <f ca="1">strcheckdate(V8:AJ8)</f>
        <v>#NAME?</v>
      </c>
      <c r="AM7" s="121"/>
      <c r="AN7" s="121" t="str">
        <f t="shared" si="0"/>
        <v/>
      </c>
      <c r="AO7" s="121"/>
      <c r="AP7" s="121"/>
    </row>
    <row r="8" spans="1:42" ht="14.25" hidden="1" customHeight="1">
      <c r="A8" s="390"/>
      <c r="B8" s="390"/>
      <c r="C8" s="390"/>
      <c r="D8" s="390"/>
      <c r="E8" s="1153"/>
      <c r="F8" s="1153"/>
      <c r="G8" s="1153"/>
      <c r="H8" s="1153"/>
      <c r="I8" s="1155"/>
      <c r="J8" s="1155"/>
      <c r="K8" s="1155"/>
      <c r="L8" s="391"/>
      <c r="P8" s="1156"/>
      <c r="Q8" s="1156"/>
      <c r="R8" s="408"/>
      <c r="S8" s="370"/>
      <c r="T8" s="396"/>
      <c r="U8" s="396"/>
      <c r="V8" s="412"/>
      <c r="W8" s="412"/>
      <c r="X8" s="415" t="str">
        <f>Y7&amp;"-"&amp;AA7</f>
        <v>-</v>
      </c>
      <c r="Y8" s="1158"/>
      <c r="Z8" s="1105"/>
      <c r="AA8" s="1158"/>
      <c r="AB8" s="1105"/>
      <c r="AC8" s="412"/>
      <c r="AD8" s="412"/>
      <c r="AE8" s="415" t="str">
        <f>AF7&amp;"-"&amp;AH7</f>
        <v>-</v>
      </c>
      <c r="AF8" s="1158"/>
      <c r="AG8" s="1105"/>
      <c r="AH8" s="1158"/>
      <c r="AI8" s="1105"/>
      <c r="AJ8" s="519"/>
      <c r="AK8" s="1191"/>
      <c r="AM8" s="121"/>
      <c r="AN8" s="121" t="str">
        <f t="shared" si="0"/>
        <v/>
      </c>
      <c r="AO8" s="121"/>
      <c r="AP8" s="121"/>
    </row>
    <row r="9" spans="1:42" ht="21" hidden="1" customHeight="1">
      <c r="A9" s="390"/>
      <c r="B9" s="390"/>
      <c r="C9" s="390"/>
      <c r="D9" s="390"/>
      <c r="E9" s="1153"/>
      <c r="F9" s="1153"/>
      <c r="G9" s="1153"/>
      <c r="H9" s="1153"/>
      <c r="I9" s="1155"/>
      <c r="J9" s="1155"/>
      <c r="K9" s="390"/>
      <c r="L9" s="391"/>
      <c r="P9" s="1156"/>
      <c r="Q9" s="1156"/>
      <c r="R9" s="405"/>
      <c r="S9" s="416"/>
      <c r="T9" s="419" t="s">
        <v>472</v>
      </c>
      <c r="U9" s="186"/>
      <c r="V9" s="186"/>
      <c r="W9" s="186"/>
      <c r="X9" s="186"/>
      <c r="Y9" s="186"/>
      <c r="Z9" s="186"/>
      <c r="AA9" s="186"/>
      <c r="AB9" s="186"/>
      <c r="AC9" s="186"/>
      <c r="AD9" s="186"/>
      <c r="AE9" s="186"/>
      <c r="AF9" s="186"/>
      <c r="AG9" s="186"/>
      <c r="AH9" s="186"/>
      <c r="AI9" s="186"/>
      <c r="AJ9" s="186"/>
      <c r="AK9" s="397" t="s">
        <v>473</v>
      </c>
      <c r="AM9" s="121"/>
      <c r="AN9" s="121" t="str">
        <f t="shared" si="0"/>
        <v>Добавить значение признака дифференциации</v>
      </c>
      <c r="AO9" s="121"/>
      <c r="AP9" s="121"/>
    </row>
    <row r="10" spans="1:42" ht="21" hidden="1" customHeight="1">
      <c r="A10" s="390"/>
      <c r="B10" s="390"/>
      <c r="C10" s="390"/>
      <c r="D10" s="390"/>
      <c r="E10" s="1153"/>
      <c r="F10" s="1153"/>
      <c r="G10" s="1153"/>
      <c r="H10" s="1153"/>
      <c r="I10" s="1155"/>
      <c r="J10" s="390"/>
      <c r="K10" s="390"/>
      <c r="L10" s="391"/>
      <c r="P10" s="1156"/>
      <c r="Q10" s="124"/>
      <c r="R10" s="405"/>
      <c r="S10" s="416"/>
      <c r="T10" s="423" t="s">
        <v>401</v>
      </c>
      <c r="U10" s="186"/>
      <c r="V10" s="186"/>
      <c r="W10" s="186"/>
      <c r="X10" s="186"/>
      <c r="Y10" s="186"/>
      <c r="Z10" s="186"/>
      <c r="AA10" s="186"/>
      <c r="AB10" s="420"/>
      <c r="AC10" s="186"/>
      <c r="AD10" s="186"/>
      <c r="AE10" s="186"/>
      <c r="AF10" s="186"/>
      <c r="AG10" s="186"/>
      <c r="AH10" s="186"/>
      <c r="AI10" s="420"/>
      <c r="AJ10" s="186"/>
      <c r="AK10" s="520"/>
      <c r="AM10" s="121"/>
      <c r="AN10" s="121" t="str">
        <f t="shared" si="0"/>
        <v>Добавить группу потребителей</v>
      </c>
      <c r="AO10" s="121"/>
      <c r="AP10" s="121"/>
    </row>
    <row r="11" spans="1:42" ht="21" hidden="1" customHeight="1">
      <c r="A11" s="390"/>
      <c r="B11" s="390"/>
      <c r="C11" s="390"/>
      <c r="D11" s="390"/>
      <c r="E11" s="1153"/>
      <c r="F11" s="1153"/>
      <c r="G11" s="1153"/>
      <c r="H11" s="1189"/>
      <c r="I11" s="390"/>
      <c r="J11" s="390"/>
      <c r="K11" s="390"/>
      <c r="L11" s="391"/>
      <c r="M11" s="392"/>
      <c r="N11" s="392"/>
      <c r="O11" s="49"/>
      <c r="P11" s="134"/>
      <c r="Q11" s="422"/>
      <c r="R11" s="393"/>
      <c r="S11" s="416"/>
      <c r="T11" s="521" t="s">
        <v>474</v>
      </c>
      <c r="U11" s="186"/>
      <c r="V11" s="186"/>
      <c r="W11" s="186"/>
      <c r="X11" s="186"/>
      <c r="Y11" s="186"/>
      <c r="Z11" s="186"/>
      <c r="AA11" s="186"/>
      <c r="AB11" s="420"/>
      <c r="AC11" s="186"/>
      <c r="AD11" s="186"/>
      <c r="AE11" s="186"/>
      <c r="AF11" s="186"/>
      <c r="AG11" s="186"/>
      <c r="AH11" s="186"/>
      <c r="AI11" s="420"/>
      <c r="AJ11" s="186"/>
      <c r="AK11" s="421"/>
      <c r="AM11" s="121"/>
      <c r="AN11" s="121" t="str">
        <f t="shared" si="0"/>
        <v>Добавить наименование признака дифференциации</v>
      </c>
      <c r="AO11" s="121"/>
      <c r="AP11" s="121"/>
    </row>
    <row r="12" spans="1:42" s="53" customFormat="1" ht="14.25" hidden="1" customHeight="1">
      <c r="A12" s="125"/>
      <c r="B12" s="125"/>
      <c r="C12" s="125"/>
      <c r="D12" s="125"/>
      <c r="E12" s="1153"/>
      <c r="F12" s="1153"/>
      <c r="G12" s="125"/>
      <c r="H12" s="125"/>
      <c r="I12" s="125"/>
      <c r="J12" s="125"/>
      <c r="K12" s="125"/>
      <c r="L12" s="184"/>
      <c r="M12" s="428"/>
      <c r="N12" s="428"/>
      <c r="P12" s="158"/>
      <c r="Q12" s="424"/>
      <c r="R12" s="158"/>
      <c r="S12" s="429"/>
      <c r="T12" s="432" t="s">
        <v>253</v>
      </c>
      <c r="U12" s="431"/>
      <c r="V12" s="431"/>
      <c r="W12" s="431"/>
      <c r="X12" s="431"/>
      <c r="Y12" s="431"/>
      <c r="Z12" s="431"/>
      <c r="AA12" s="431"/>
      <c r="AB12" s="431"/>
      <c r="AC12" s="431"/>
      <c r="AD12" s="431"/>
      <c r="AE12" s="431"/>
      <c r="AF12" s="431"/>
      <c r="AG12" s="431"/>
      <c r="AH12" s="431"/>
      <c r="AI12" s="431"/>
      <c r="AJ12" s="431"/>
      <c r="AK12" s="431"/>
      <c r="AM12" s="121"/>
      <c r="AN12" s="121" t="str">
        <f t="shared" si="0"/>
        <v>Добавить централизованную систему для дифференциации</v>
      </c>
      <c r="AO12" s="121"/>
      <c r="AP12" s="121"/>
    </row>
    <row r="13" spans="1:42" s="53" customFormat="1" ht="14.25" hidden="1" customHeight="1">
      <c r="A13" s="125"/>
      <c r="B13" s="125"/>
      <c r="C13" s="125"/>
      <c r="D13" s="125"/>
      <c r="E13" s="1153"/>
      <c r="F13" s="125"/>
      <c r="G13" s="125"/>
      <c r="H13" s="125"/>
      <c r="I13" s="125"/>
      <c r="J13" s="125"/>
      <c r="K13" s="125"/>
      <c r="L13" s="184"/>
      <c r="M13" s="428"/>
      <c r="N13" s="428"/>
      <c r="P13" s="158"/>
      <c r="Q13" s="424"/>
      <c r="R13" s="158"/>
      <c r="S13" s="429"/>
      <c r="T13" s="432" t="s">
        <v>254</v>
      </c>
      <c r="U13" s="431"/>
      <c r="V13" s="431"/>
      <c r="W13" s="431"/>
      <c r="X13" s="431"/>
      <c r="Y13" s="431"/>
      <c r="Z13" s="431"/>
      <c r="AA13" s="431"/>
      <c r="AB13" s="431"/>
      <c r="AC13" s="431"/>
      <c r="AD13" s="431"/>
      <c r="AE13" s="431"/>
      <c r="AF13" s="431"/>
      <c r="AG13" s="431"/>
      <c r="AH13" s="431"/>
      <c r="AI13" s="431"/>
      <c r="AJ13" s="431"/>
      <c r="AK13" s="431"/>
      <c r="AM13" s="121"/>
      <c r="AN13" s="121" t="str">
        <f t="shared" si="0"/>
        <v>Добавить территорию для дифференциации</v>
      </c>
      <c r="AO13" s="121"/>
      <c r="AP13" s="121"/>
    </row>
    <row r="14" spans="1:42" ht="14.25" hidden="1" customHeight="1"/>
    <row r="15" spans="1:42" ht="14.25" hidden="1" customHeight="1">
      <c r="AC15" s="433"/>
      <c r="AD15" s="433"/>
      <c r="AE15" s="434"/>
      <c r="AF15" s="1160"/>
      <c r="AG15" s="1161" t="s">
        <v>63</v>
      </c>
      <c r="AH15" s="1160"/>
      <c r="AI15" s="1161" t="s">
        <v>63</v>
      </c>
    </row>
    <row r="16" spans="1:42" ht="14.25" hidden="1" customHeight="1">
      <c r="AC16" s="433"/>
      <c r="AD16" s="433"/>
      <c r="AE16" s="415" t="str">
        <f>AF15&amp;"-"&amp;AH15</f>
        <v>-</v>
      </c>
      <c r="AF16" s="1160"/>
      <c r="AG16" s="1160"/>
      <c r="AH16" s="1160"/>
      <c r="AI16" s="1160"/>
    </row>
    <row r="17" spans="1:42" ht="14.25" hidden="1" customHeight="1"/>
    <row r="18" spans="1:42" s="49" customFormat="1" ht="22.5" hidden="1" customHeight="1">
      <c r="L18" s="107"/>
      <c r="M18" s="57"/>
      <c r="N18" s="57"/>
      <c r="O18" s="435" t="s">
        <v>404</v>
      </c>
      <c r="P18" s="57"/>
      <c r="Q18" s="436"/>
      <c r="R18" s="436"/>
      <c r="S18" s="392"/>
      <c r="Y18" s="435"/>
      <c r="AA18" s="435"/>
      <c r="AF18" s="435"/>
      <c r="AH18" s="435"/>
      <c r="AL18" s="53"/>
      <c r="AM18" s="53"/>
      <c r="AN18" s="53"/>
      <c r="AO18" s="53"/>
      <c r="AP18" s="53"/>
    </row>
    <row r="19" spans="1:42" s="49" customFormat="1" ht="14.25" hidden="1" customHeight="1">
      <c r="L19" s="107"/>
      <c r="M19" s="57"/>
      <c r="N19" s="57"/>
      <c r="O19" s="57"/>
      <c r="P19" s="57"/>
      <c r="Q19" s="436"/>
      <c r="R19" s="436"/>
      <c r="S19" s="392"/>
      <c r="AL19" s="53"/>
      <c r="AM19" s="53"/>
      <c r="AN19" s="53"/>
      <c r="AO19" s="53"/>
      <c r="AP19" s="53"/>
    </row>
    <row r="20" spans="1:42" s="49" customFormat="1" ht="12" hidden="1" customHeight="1">
      <c r="L20" s="107"/>
      <c r="M20" s="57"/>
      <c r="N20" s="57"/>
      <c r="O20" s="391" t="s">
        <v>405</v>
      </c>
      <c r="P20" s="57"/>
      <c r="Q20" s="522"/>
      <c r="R20" s="522"/>
      <c r="S20" s="392"/>
      <c r="T20" s="49" t="s">
        <v>406</v>
      </c>
      <c r="Z20" s="142" t="s">
        <v>407</v>
      </c>
      <c r="AB20" s="142" t="s">
        <v>408</v>
      </c>
      <c r="AC20" s="49" t="s">
        <v>406</v>
      </c>
      <c r="AG20" s="142" t="s">
        <v>409</v>
      </c>
      <c r="AI20" s="142" t="s">
        <v>408</v>
      </c>
    </row>
    <row r="21" spans="1:42" ht="14.25" hidden="1" customHeight="1">
      <c r="O21" s="391"/>
    </row>
    <row r="22" spans="1:42" ht="14.25" hidden="1" customHeight="1">
      <c r="O22" s="391"/>
    </row>
    <row r="23" spans="1:42" ht="14.25" customHeight="1">
      <c r="Q23" s="437"/>
      <c r="R23" s="437"/>
      <c r="S23" s="438"/>
      <c r="T23" s="83"/>
      <c r="U23" s="83"/>
    </row>
    <row r="24" spans="1:42" ht="14.25" customHeight="1">
      <c r="Q24" s="437"/>
      <c r="R24" s="437"/>
      <c r="S24" s="110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1106"/>
      <c r="U24" s="1106"/>
      <c r="V24" s="1106"/>
      <c r="W24" s="1106"/>
      <c r="X24" s="1106"/>
      <c r="Y24" s="1106"/>
      <c r="Z24" s="1106"/>
      <c r="AA24" s="1106"/>
      <c r="AB24" s="1106"/>
      <c r="AC24" s="1106"/>
      <c r="AD24" s="1106"/>
      <c r="AE24" s="1106"/>
      <c r="AF24" s="1106"/>
      <c r="AG24" s="1106"/>
      <c r="AH24" s="1106"/>
      <c r="AI24" s="201"/>
    </row>
    <row r="25" spans="1:42" ht="14.25" customHeight="1">
      <c r="Q25" s="437"/>
      <c r="R25" s="437"/>
      <c r="S25" s="1127" t="str">
        <f>IF(org=0,"Не определено",org)</f>
        <v>Филиал ПАО "ОГК-2" - Серовская ГРЭС, г. Серов</v>
      </c>
      <c r="T25" s="1127"/>
      <c r="U25" s="1127"/>
      <c r="V25" s="1127"/>
      <c r="W25" s="1127"/>
      <c r="X25" s="1127"/>
      <c r="Y25" s="1127"/>
      <c r="Z25" s="1127"/>
      <c r="AA25" s="1127"/>
      <c r="AB25" s="1127"/>
      <c r="AC25" s="1127"/>
      <c r="AD25" s="1127"/>
      <c r="AE25" s="1127"/>
      <c r="AF25" s="1127"/>
      <c r="AG25" s="1127"/>
      <c r="AH25" s="1127"/>
      <c r="AI25" s="201"/>
    </row>
    <row r="26" spans="1:42" ht="14.25" customHeight="1">
      <c r="Q26" s="437"/>
      <c r="R26" s="437"/>
      <c r="S26" s="438"/>
      <c r="T26" s="83"/>
      <c r="U26" s="83"/>
      <c r="V26" s="439"/>
      <c r="W26" s="439"/>
      <c r="X26" s="439"/>
      <c r="Y26" s="439"/>
      <c r="Z26" s="439"/>
      <c r="AA26" s="439"/>
      <c r="AB26" s="439"/>
      <c r="AC26" s="439"/>
      <c r="AD26" s="439"/>
      <c r="AE26" s="439"/>
      <c r="AF26" s="439"/>
      <c r="AG26" s="439"/>
      <c r="AH26" s="439"/>
      <c r="AI26" s="439"/>
    </row>
    <row r="27" spans="1:42" s="174" customFormat="1" ht="25.5" customHeight="1">
      <c r="A27" s="142"/>
      <c r="B27" s="142"/>
      <c r="C27" s="142"/>
      <c r="D27" s="142"/>
      <c r="E27" s="142"/>
      <c r="F27" s="142"/>
      <c r="G27" s="142"/>
      <c r="H27" s="142"/>
      <c r="I27" s="142"/>
      <c r="J27" s="142"/>
      <c r="K27" s="142"/>
      <c r="L27" s="391"/>
      <c r="M27" s="142"/>
      <c r="N27" s="142"/>
      <c r="O27" s="142"/>
      <c r="S27" s="1162" t="s">
        <v>37</v>
      </c>
      <c r="T27" s="1162"/>
      <c r="U27" s="441"/>
      <c r="V27" s="1163" t="str">
        <f>IF(TITLE_NAME_OR_PR_CHANGE="",IF(TITLE_NAME_OR_PR="","",TITLE_NAME_OR_PR),TITLE_NAME_OR_PR_CHANGE)</f>
        <v>Региональная энергетическая комиссия Свердловской области</v>
      </c>
      <c r="W27" s="1163"/>
      <c r="X27" s="1163"/>
      <c r="Y27" s="1163"/>
      <c r="Z27" s="1163"/>
      <c r="AA27" s="1163"/>
      <c r="AB27" s="46"/>
      <c r="AC27" s="1163" t="str">
        <f>IF(TITLE_NAME_OR_PR_CHANGE="",IF(TITLE_NAME_OR_PR="","",TITLE_NAME_OR_PR),TITLE_NAME_OR_PR_CHANGE)</f>
        <v>Региональная энергетическая комиссия Свердловской области</v>
      </c>
      <c r="AD27" s="1163"/>
      <c r="AE27" s="1163"/>
      <c r="AF27" s="1163"/>
      <c r="AG27" s="1163"/>
      <c r="AH27" s="1163"/>
      <c r="AI27" s="46"/>
      <c r="AJ27" s="46"/>
      <c r="AK27" s="442"/>
      <c r="AL27" s="121"/>
      <c r="AM27" s="121"/>
      <c r="AN27" s="121"/>
      <c r="AO27" s="121"/>
      <c r="AP27" s="121"/>
    </row>
    <row r="28" spans="1:42" s="174" customFormat="1" ht="18.75" customHeight="1">
      <c r="A28" s="142"/>
      <c r="B28" s="142"/>
      <c r="C28" s="142"/>
      <c r="D28" s="142"/>
      <c r="E28" s="142"/>
      <c r="F28" s="142"/>
      <c r="G28" s="142"/>
      <c r="H28" s="142"/>
      <c r="I28" s="142"/>
      <c r="J28" s="142"/>
      <c r="K28" s="142"/>
      <c r="L28" s="391"/>
      <c r="M28" s="142"/>
      <c r="N28" s="142"/>
      <c r="O28" s="142"/>
      <c r="S28" s="1162" t="s">
        <v>410</v>
      </c>
      <c r="T28" s="1162"/>
      <c r="U28" s="441"/>
      <c r="V28" s="1164">
        <f>IF(TITLE_DATE_PR_CHANGE="",IF(TITLE_DATE_PR="","",TITLE_DATE_PR),TITLE_DATE_PR_CHANGE)</f>
        <v>45266.462974536997</v>
      </c>
      <c r="W28" s="1164"/>
      <c r="X28" s="1164"/>
      <c r="Y28" s="1164"/>
      <c r="Z28" s="1164"/>
      <c r="AA28" s="1164"/>
      <c r="AB28" s="46"/>
      <c r="AC28" s="1164">
        <f>IF(TITLE_DATE_PR_CHANGE="",IF(TITLE_DATE_PR="","",TITLE_DATE_PR),TITLE_DATE_PR_CHANGE)</f>
        <v>45266.462974536997</v>
      </c>
      <c r="AD28" s="1164"/>
      <c r="AE28" s="1164"/>
      <c r="AF28" s="1164"/>
      <c r="AG28" s="1164"/>
      <c r="AH28" s="1164"/>
      <c r="AI28" s="46"/>
      <c r="AJ28" s="46"/>
      <c r="AK28" s="442"/>
      <c r="AL28" s="121"/>
      <c r="AM28" s="121"/>
      <c r="AN28" s="121"/>
      <c r="AO28" s="121"/>
      <c r="AP28" s="121"/>
    </row>
    <row r="29" spans="1:42" s="174" customFormat="1" ht="18.75" customHeight="1">
      <c r="A29" s="142"/>
      <c r="B29" s="142"/>
      <c r="C29" s="142"/>
      <c r="D29" s="142"/>
      <c r="E29" s="142"/>
      <c r="F29" s="142"/>
      <c r="G29" s="142"/>
      <c r="H29" s="142"/>
      <c r="I29" s="142"/>
      <c r="J29" s="142"/>
      <c r="K29" s="142"/>
      <c r="L29" s="391"/>
      <c r="M29" s="142"/>
      <c r="N29" s="142"/>
      <c r="O29" s="142"/>
      <c r="S29" s="1162" t="s">
        <v>411</v>
      </c>
      <c r="T29" s="1162"/>
      <c r="U29" s="441"/>
      <c r="V29" s="1163" t="str">
        <f>IF(TITLE_NUMBER_PR_CHANGE="",IF(TITLE_NUMBER_PR="","",TITLE_NUMBER_PR),TITLE_NUMBER_PR_CHANGE)</f>
        <v>216-ПК</v>
      </c>
      <c r="W29" s="1163"/>
      <c r="X29" s="1163"/>
      <c r="Y29" s="1163"/>
      <c r="Z29" s="1163"/>
      <c r="AA29" s="1163"/>
      <c r="AB29" s="46"/>
      <c r="AC29" s="1163" t="str">
        <f>IF(TITLE_NUMBER_PR_CHANGE="",IF(TITLE_NUMBER_PR="","",TITLE_NUMBER_PR),TITLE_NUMBER_PR_CHANGE)</f>
        <v>216-ПК</v>
      </c>
      <c r="AD29" s="1163"/>
      <c r="AE29" s="1163"/>
      <c r="AF29" s="1163"/>
      <c r="AG29" s="1163"/>
      <c r="AH29" s="1163"/>
      <c r="AI29" s="46"/>
      <c r="AJ29" s="46"/>
      <c r="AK29" s="442"/>
      <c r="AL29" s="121"/>
      <c r="AM29" s="121"/>
      <c r="AN29" s="121"/>
      <c r="AO29" s="121"/>
      <c r="AP29" s="121"/>
    </row>
    <row r="30" spans="1:42" s="174" customFormat="1" ht="18.75" customHeight="1">
      <c r="A30" s="142"/>
      <c r="B30" s="142"/>
      <c r="C30" s="142"/>
      <c r="D30" s="142"/>
      <c r="E30" s="142"/>
      <c r="F30" s="142"/>
      <c r="G30" s="142"/>
      <c r="H30" s="142"/>
      <c r="I30" s="142"/>
      <c r="J30" s="142"/>
      <c r="K30" s="142"/>
      <c r="L30" s="391"/>
      <c r="M30" s="142"/>
      <c r="N30" s="142"/>
      <c r="O30" s="142"/>
      <c r="S30" s="1162" t="s">
        <v>39</v>
      </c>
      <c r="T30" s="1162"/>
      <c r="U30" s="441"/>
      <c r="V30" s="1163" t="str">
        <f>IF(TITLE_IST_PUB_CHANGE="",IF(TITLE_IST_PUB="","",TITLE_IST_PUB),TITLE_IST_PUB_CHANGE)</f>
        <v>Региональная энергетическая комиссия Свердловской области</v>
      </c>
      <c r="W30" s="1163"/>
      <c r="X30" s="1163"/>
      <c r="Y30" s="1163"/>
      <c r="Z30" s="1163"/>
      <c r="AA30" s="1163"/>
      <c r="AB30" s="46"/>
      <c r="AC30" s="1163" t="str">
        <f>IF(TITLE_IST_PUB_CHANGE="",IF(TITLE_IST_PUB="","",TITLE_IST_PUB),TITLE_IST_PUB_CHANGE)</f>
        <v>Региональная энергетическая комиссия Свердловской области</v>
      </c>
      <c r="AD30" s="1163"/>
      <c r="AE30" s="1163"/>
      <c r="AF30" s="1163"/>
      <c r="AG30" s="1163"/>
      <c r="AH30" s="1163"/>
      <c r="AI30" s="46"/>
      <c r="AJ30" s="46"/>
      <c r="AK30" s="442"/>
      <c r="AL30" s="121"/>
      <c r="AM30" s="121"/>
      <c r="AN30" s="121"/>
      <c r="AO30" s="121"/>
      <c r="AP30" s="121"/>
    </row>
    <row r="31" spans="1:42" ht="14.25" hidden="1" customHeight="1">
      <c r="Q31" s="437"/>
      <c r="R31" s="437"/>
      <c r="S31" s="438"/>
      <c r="T31" s="83"/>
      <c r="U31" s="83"/>
      <c r="V31" s="439"/>
      <c r="W31" s="439"/>
      <c r="X31" s="439"/>
      <c r="Y31" s="439"/>
      <c r="Z31" s="439"/>
      <c r="AA31" s="439"/>
      <c r="AB31" s="439"/>
      <c r="AC31" s="439"/>
      <c r="AD31" s="439"/>
      <c r="AE31" s="439"/>
      <c r="AF31" s="439"/>
      <c r="AG31" s="439"/>
      <c r="AH31" s="439"/>
      <c r="AI31" s="439"/>
    </row>
    <row r="32" spans="1:42" s="174" customFormat="1" ht="18.75" hidden="1" customHeight="1">
      <c r="A32" s="142"/>
      <c r="B32" s="142"/>
      <c r="C32" s="142"/>
      <c r="D32" s="142"/>
      <c r="E32" s="142"/>
      <c r="F32" s="142"/>
      <c r="G32" s="142"/>
      <c r="H32" s="142"/>
      <c r="I32" s="142"/>
      <c r="J32" s="142"/>
      <c r="K32" s="142"/>
      <c r="L32" s="391"/>
      <c r="M32" s="142"/>
      <c r="N32" s="142"/>
      <c r="O32" s="142"/>
      <c r="S32" s="1162" t="s">
        <v>412</v>
      </c>
      <c r="T32" s="1162"/>
      <c r="U32" s="441"/>
      <c r="V32" s="1164">
        <f>IF(TITLE_DATE_PR_CHANGE="",IF(TITLE_DATE_PR="","",TITLE_DATE_PR),TITLE_DATE_PR_CHANGE)</f>
        <v>45266.462974536997</v>
      </c>
      <c r="W32" s="1164"/>
      <c r="X32" s="1164"/>
      <c r="Y32" s="1164"/>
      <c r="Z32" s="1164"/>
      <c r="AA32" s="1164"/>
      <c r="AB32" s="46"/>
      <c r="AC32" s="1164">
        <f>IF(TITLE_DATE_PR_CHANGE="",IF(TITLE_DATE_PR="","",TITLE_DATE_PR),TITLE_DATE_PR_CHANGE)</f>
        <v>45266.462974536997</v>
      </c>
      <c r="AD32" s="1164"/>
      <c r="AE32" s="1164"/>
      <c r="AF32" s="1164"/>
      <c r="AG32" s="1164"/>
      <c r="AH32" s="1164"/>
      <c r="AI32" s="46"/>
      <c r="AJ32" s="46"/>
      <c r="AK32" s="442"/>
      <c r="AL32" s="121"/>
      <c r="AM32" s="121"/>
      <c r="AN32" s="121"/>
      <c r="AO32" s="121"/>
      <c r="AP32" s="121"/>
    </row>
    <row r="33" spans="1:42" s="174" customFormat="1" ht="18.75" hidden="1" customHeight="1">
      <c r="A33" s="142"/>
      <c r="B33" s="142"/>
      <c r="C33" s="142"/>
      <c r="D33" s="142"/>
      <c r="E33" s="142"/>
      <c r="F33" s="142"/>
      <c r="G33" s="142"/>
      <c r="H33" s="142"/>
      <c r="I33" s="142"/>
      <c r="J33" s="142"/>
      <c r="K33" s="142"/>
      <c r="L33" s="391"/>
      <c r="M33" s="142"/>
      <c r="N33" s="142"/>
      <c r="O33" s="142"/>
      <c r="S33" s="1162" t="s">
        <v>413</v>
      </c>
      <c r="T33" s="1162"/>
      <c r="U33" s="441"/>
      <c r="V33" s="1163" t="str">
        <f>IF(TITLE_NUMBER_PR_CHANGE="",IF(TITLE_NUMBER_PR="","",TITLE_NUMBER_PR),TITLE_NUMBER_PR_CHANGE)</f>
        <v>216-ПК</v>
      </c>
      <c r="W33" s="1163"/>
      <c r="X33" s="1163"/>
      <c r="Y33" s="1163"/>
      <c r="Z33" s="1163"/>
      <c r="AA33" s="1163"/>
      <c r="AB33" s="46"/>
      <c r="AC33" s="1163" t="str">
        <f>IF(TITLE_NUMBER_PR_CHANGE="",IF(TITLE_NUMBER_PR="","",TITLE_NUMBER_PR),TITLE_NUMBER_PR_CHANGE)</f>
        <v>216-ПК</v>
      </c>
      <c r="AD33" s="1163"/>
      <c r="AE33" s="1163"/>
      <c r="AF33" s="1163"/>
      <c r="AG33" s="1163"/>
      <c r="AH33" s="1163"/>
      <c r="AI33" s="46"/>
      <c r="AJ33" s="46"/>
      <c r="AK33" s="442"/>
      <c r="AL33" s="121"/>
      <c r="AM33" s="121"/>
      <c r="AN33" s="121"/>
      <c r="AO33" s="121"/>
      <c r="AP33" s="121"/>
    </row>
    <row r="34" spans="1:42" s="174" customFormat="1" ht="0.75" customHeight="1">
      <c r="A34" s="142"/>
      <c r="B34" s="142"/>
      <c r="C34" s="142"/>
      <c r="D34" s="142"/>
      <c r="E34" s="142"/>
      <c r="F34" s="142"/>
      <c r="G34" s="142"/>
      <c r="H34" s="142"/>
      <c r="I34" s="142"/>
      <c r="J34" s="142"/>
      <c r="K34" s="142"/>
      <c r="L34" s="391"/>
      <c r="M34" s="142"/>
      <c r="N34" s="142"/>
      <c r="O34" s="142"/>
      <c r="S34" s="46"/>
      <c r="T34" s="46"/>
      <c r="U34" s="131"/>
      <c r="V34" s="46"/>
      <c r="W34" s="46"/>
      <c r="X34" s="46"/>
      <c r="Y34" s="46"/>
      <c r="Z34" s="46"/>
      <c r="AA34" s="46"/>
      <c r="AB34" s="53" t="s">
        <v>414</v>
      </c>
      <c r="AC34" s="46"/>
      <c r="AD34" s="46"/>
      <c r="AE34" s="46"/>
      <c r="AF34" s="46"/>
      <c r="AG34" s="46"/>
      <c r="AH34" s="46"/>
      <c r="AI34" s="53" t="s">
        <v>414</v>
      </c>
      <c r="AL34" s="121"/>
      <c r="AM34" s="121"/>
      <c r="AN34" s="121"/>
      <c r="AO34" s="121"/>
      <c r="AP34" s="121"/>
    </row>
    <row r="35" spans="1:42" ht="14.25" customHeight="1">
      <c r="Q35" s="437"/>
      <c r="R35" s="437"/>
      <c r="S35" s="438"/>
      <c r="T35" s="83"/>
      <c r="U35" s="443"/>
      <c r="V35" s="1165"/>
      <c r="W35" s="1165"/>
      <c r="X35" s="1165"/>
      <c r="Y35" s="1165"/>
      <c r="Z35" s="1165"/>
      <c r="AA35" s="1165"/>
      <c r="AB35" s="1165"/>
      <c r="AC35" s="1165"/>
      <c r="AD35" s="1165"/>
      <c r="AE35" s="1165"/>
      <c r="AF35" s="1165"/>
      <c r="AG35" s="1165"/>
      <c r="AH35" s="1165"/>
      <c r="AI35" s="1165"/>
    </row>
    <row r="36" spans="1:42" ht="14.25" customHeight="1">
      <c r="Q36" s="437"/>
      <c r="R36" s="437"/>
      <c r="S36" s="1087" t="s">
        <v>287</v>
      </c>
      <c r="T36" s="1087"/>
      <c r="U36" s="1087"/>
      <c r="V36" s="1087"/>
      <c r="W36" s="1087"/>
      <c r="X36" s="1087"/>
      <c r="Y36" s="1087"/>
      <c r="Z36" s="1087"/>
      <c r="AA36" s="1087"/>
      <c r="AB36" s="1087"/>
      <c r="AC36" s="1087"/>
      <c r="AD36" s="1087"/>
      <c r="AE36" s="1087"/>
      <c r="AF36" s="1087"/>
      <c r="AG36" s="1087"/>
      <c r="AH36" s="1087"/>
      <c r="AI36" s="1087"/>
      <c r="AJ36" s="1087"/>
      <c r="AK36" s="1087" t="s">
        <v>288</v>
      </c>
    </row>
    <row r="37" spans="1:42" ht="14.25" customHeight="1">
      <c r="Q37" s="437"/>
      <c r="R37" s="437"/>
      <c r="S37" s="1166" t="s">
        <v>84</v>
      </c>
      <c r="T37" s="1167" t="s">
        <v>415</v>
      </c>
      <c r="U37" s="444"/>
      <c r="V37" s="1140" t="s">
        <v>416</v>
      </c>
      <c r="W37" s="1140"/>
      <c r="X37" s="1140"/>
      <c r="Y37" s="1140"/>
      <c r="Z37" s="1140"/>
      <c r="AA37" s="1140"/>
      <c r="AB37" s="1167" t="s">
        <v>417</v>
      </c>
      <c r="AC37" s="1140" t="s">
        <v>416</v>
      </c>
      <c r="AD37" s="1140"/>
      <c r="AE37" s="1140"/>
      <c r="AF37" s="1140"/>
      <c r="AG37" s="1140"/>
      <c r="AH37" s="1140"/>
      <c r="AI37" s="1167" t="s">
        <v>418</v>
      </c>
      <c r="AJ37" s="1168" t="s">
        <v>419</v>
      </c>
      <c r="AK37" s="1087"/>
    </row>
    <row r="38" spans="1:42" ht="33.75" customHeight="1">
      <c r="Q38" s="437"/>
      <c r="R38" s="437"/>
      <c r="S38" s="1166"/>
      <c r="T38" s="1167"/>
      <c r="U38" s="445"/>
      <c r="V38" s="242" t="s">
        <v>475</v>
      </c>
      <c r="W38" s="1087" t="s">
        <v>422</v>
      </c>
      <c r="X38" s="1087"/>
      <c r="Y38" s="1087" t="s">
        <v>423</v>
      </c>
      <c r="Z38" s="1087"/>
      <c r="AA38" s="1087"/>
      <c r="AB38" s="1167"/>
      <c r="AC38" s="242" t="s">
        <v>475</v>
      </c>
      <c r="AD38" s="1087" t="s">
        <v>422</v>
      </c>
      <c r="AE38" s="1087"/>
      <c r="AF38" s="1087" t="s">
        <v>423</v>
      </c>
      <c r="AG38" s="1087"/>
      <c r="AH38" s="1087"/>
      <c r="AI38" s="1167"/>
      <c r="AJ38" s="1168"/>
      <c r="AK38" s="1087"/>
    </row>
    <row r="39" spans="1:42" ht="33.75" customHeight="1">
      <c r="A39" s="142"/>
      <c r="B39" s="142" t="s">
        <v>131</v>
      </c>
      <c r="C39" s="142" t="s">
        <v>132</v>
      </c>
      <c r="D39" s="142" t="s">
        <v>133</v>
      </c>
      <c r="E39" s="391" t="s">
        <v>424</v>
      </c>
      <c r="F39" s="391" t="s">
        <v>425</v>
      </c>
      <c r="G39" s="391" t="s">
        <v>426</v>
      </c>
      <c r="H39" s="391"/>
      <c r="I39" s="391" t="s">
        <v>476</v>
      </c>
      <c r="J39" s="391" t="s">
        <v>429</v>
      </c>
      <c r="K39" s="391" t="s">
        <v>477</v>
      </c>
      <c r="L39" s="391" t="s">
        <v>405</v>
      </c>
      <c r="Q39" s="437"/>
      <c r="R39" s="437"/>
      <c r="S39" s="1166"/>
      <c r="T39" s="1167"/>
      <c r="U39" s="446"/>
      <c r="V39" s="523" t="s">
        <v>478</v>
      </c>
      <c r="W39" s="203" t="s">
        <v>479</v>
      </c>
      <c r="X39" s="203" t="s">
        <v>480</v>
      </c>
      <c r="Y39" s="203" t="s">
        <v>433</v>
      </c>
      <c r="Z39" s="1108" t="s">
        <v>434</v>
      </c>
      <c r="AA39" s="1108"/>
      <c r="AB39" s="1167"/>
      <c r="AC39" s="523" t="s">
        <v>478</v>
      </c>
      <c r="AD39" s="203" t="s">
        <v>479</v>
      </c>
      <c r="AE39" s="203" t="s">
        <v>480</v>
      </c>
      <c r="AF39" s="203" t="s">
        <v>433</v>
      </c>
      <c r="AG39" s="1108" t="s">
        <v>434</v>
      </c>
      <c r="AH39" s="1108"/>
      <c r="AI39" s="1167"/>
      <c r="AJ39" s="1168"/>
      <c r="AK39" s="1087"/>
    </row>
    <row r="40" spans="1:42" s="123" customFormat="1" ht="11.25">
      <c r="A40" s="142"/>
      <c r="B40" s="142"/>
      <c r="C40" s="142"/>
      <c r="D40" s="142"/>
      <c r="E40" s="142"/>
      <c r="F40" s="142"/>
      <c r="G40" s="142"/>
      <c r="H40" s="142"/>
      <c r="I40" s="142"/>
      <c r="J40" s="142"/>
      <c r="K40" s="142"/>
      <c r="L40" s="391"/>
      <c r="M40" s="57"/>
      <c r="N40" s="57"/>
      <c r="O40" s="57"/>
      <c r="P40" s="447"/>
      <c r="Q40" s="448"/>
      <c r="R40" s="449">
        <v>1</v>
      </c>
      <c r="S40" s="450" t="s">
        <v>105</v>
      </c>
      <c r="T40" s="451" t="s">
        <v>106</v>
      </c>
      <c r="U40" s="452" t="str">
        <f ca="1">OFFSET(U40,0,-1)</f>
        <v>2</v>
      </c>
      <c r="V40" s="453">
        <f ca="1">OFFSET(V40,0,-1)+1</f>
        <v>3</v>
      </c>
      <c r="W40" s="453">
        <f ca="1">OFFSET(W40,0,-1)+1</f>
        <v>4</v>
      </c>
      <c r="X40" s="453">
        <f ca="1">OFFSET(X40,0,-1)+1</f>
        <v>5</v>
      </c>
      <c r="Y40" s="453">
        <f ca="1">OFFSET(Y40,0,-1)+1</f>
        <v>6</v>
      </c>
      <c r="Z40" s="1170">
        <f ca="1">OFFSET(Z40,0,-1)+1</f>
        <v>7</v>
      </c>
      <c r="AA40" s="1170"/>
      <c r="AB40" s="453">
        <f ca="1">OFFSET(AB40,0,-2)+1</f>
        <v>8</v>
      </c>
      <c r="AC40" s="453">
        <f ca="1">OFFSET(AC40,0,-1)+1</f>
        <v>9</v>
      </c>
      <c r="AD40" s="453">
        <f ca="1">OFFSET(AD40,0,-1)+1</f>
        <v>10</v>
      </c>
      <c r="AE40" s="453">
        <f ca="1">OFFSET(AE40,0,-1)+1</f>
        <v>11</v>
      </c>
      <c r="AF40" s="453">
        <f ca="1">OFFSET(AF40,0,-1)+1</f>
        <v>12</v>
      </c>
      <c r="AG40" s="1170">
        <f ca="1">OFFSET(AG40,0,-1)+1</f>
        <v>13</v>
      </c>
      <c r="AH40" s="1170"/>
      <c r="AI40" s="453">
        <f ca="1">OFFSET(AI40,0,-2)+1</f>
        <v>14</v>
      </c>
      <c r="AJ40" s="452">
        <f ca="1">OFFSET(AJ40,0,-1)</f>
        <v>14</v>
      </c>
      <c r="AK40" s="453">
        <f ca="1">OFFSET(AK40,0,-1)+1</f>
        <v>15</v>
      </c>
      <c r="AL40" s="53"/>
      <c r="AM40" s="53"/>
      <c r="AN40" s="53"/>
      <c r="AO40" s="53"/>
      <c r="AP40" s="53"/>
    </row>
    <row r="41" spans="1:42" ht="23.25" customHeight="1">
      <c r="A41" s="390" t="s">
        <v>218</v>
      </c>
      <c r="B41" s="390"/>
      <c r="C41" s="390"/>
      <c r="D41" s="390"/>
      <c r="E41" s="1153">
        <v>1</v>
      </c>
      <c r="F41" s="390"/>
      <c r="G41" s="390"/>
      <c r="H41" s="390"/>
      <c r="I41" s="390"/>
      <c r="J41" s="390"/>
      <c r="K41" s="390"/>
      <c r="L41" s="391"/>
      <c r="M41" s="392"/>
      <c r="N41" s="392"/>
      <c r="O41" s="392"/>
      <c r="Q41" s="134"/>
      <c r="R41" s="393"/>
      <c r="S41" s="394">
        <f>INDEX(PT_DIFFERENTIATION_NUM_NTAR,MATCH(A41,PT_DIFFERENTIATION_NTAR_ID,0))</f>
        <v>0</v>
      </c>
      <c r="T41" s="395" t="s">
        <v>119</v>
      </c>
      <c r="U41" s="396"/>
      <c r="V41" s="1154"/>
      <c r="W41" s="1154"/>
      <c r="X41" s="1154"/>
      <c r="Y41" s="1154"/>
      <c r="Z41" s="1154"/>
      <c r="AA41" s="1154"/>
      <c r="AB41" s="1154"/>
      <c r="AC41" s="1154" t="str">
        <f>INDEX(PT_DIFFERENTIATION_NTAR,MATCH(A41,PT_DIFFERENTIATION_NTAR_ID,0))</f>
        <v/>
      </c>
      <c r="AD41" s="1154"/>
      <c r="AE41" s="1154"/>
      <c r="AF41" s="1154"/>
      <c r="AG41" s="1154"/>
      <c r="AH41" s="1154"/>
      <c r="AI41" s="1154"/>
      <c r="AJ41" s="1154"/>
      <c r="AK41"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t="shared" ref="AN41:AN53" si="1">IF(T41="","",T41)</f>
        <v>Наименование тарифа</v>
      </c>
      <c r="AO41" s="121"/>
      <c r="AP41" s="121"/>
    </row>
    <row r="42" spans="1:42" ht="23.25" customHeight="1">
      <c r="A42" s="390" t="s">
        <v>218</v>
      </c>
      <c r="B42" s="390" t="s">
        <v>219</v>
      </c>
      <c r="C42" s="390"/>
      <c r="D42" s="390"/>
      <c r="E42" s="1153"/>
      <c r="F42" s="1153">
        <v>1</v>
      </c>
      <c r="G42" s="390"/>
      <c r="H42" s="390"/>
      <c r="I42" s="390"/>
      <c r="J42" s="390"/>
      <c r="K42" s="390"/>
      <c r="L42" s="391"/>
      <c r="M42" s="392"/>
      <c r="N42" s="392"/>
      <c r="O42" s="392"/>
      <c r="P42" s="47"/>
      <c r="Q42" s="398"/>
      <c r="R42" s="399"/>
      <c r="S42" s="394" t="str">
        <f>INDEX(PT_DIFFERENTIATION_NUM_TER,MATCH(B42,PT_DIFFERENTIATION_TER_ID,0))</f>
        <v>.</v>
      </c>
      <c r="T42" s="400" t="s">
        <v>386</v>
      </c>
      <c r="U42" s="396"/>
      <c r="V42" s="1154"/>
      <c r="W42" s="1154"/>
      <c r="X42" s="1154"/>
      <c r="Y42" s="1154"/>
      <c r="Z42" s="1154"/>
      <c r="AA42" s="1154"/>
      <c r="AB42" s="1154"/>
      <c r="AC42" s="1154" t="str">
        <f>INDEX(PT_DIFFERENTIATION_TER,MATCH(B42,PT_DIFFERENTIATION_TER_ID,0))</f>
        <v/>
      </c>
      <c r="AD42" s="1154"/>
      <c r="AE42" s="1154"/>
      <c r="AF42" s="1154"/>
      <c r="AG42" s="1154"/>
      <c r="AH42" s="1154"/>
      <c r="AI42" s="1154"/>
      <c r="AJ42" s="1154"/>
      <c r="AK42" s="397" t="s">
        <v>387</v>
      </c>
      <c r="AM42" s="121"/>
      <c r="AN42" s="121" t="str">
        <f t="shared" si="1"/>
        <v>Территория действия тарифа</v>
      </c>
      <c r="AO42" s="121"/>
      <c r="AP42" s="121"/>
    </row>
    <row r="43" spans="1:42" ht="23.25" customHeight="1">
      <c r="A43" s="390" t="s">
        <v>218</v>
      </c>
      <c r="B43" s="390" t="s">
        <v>219</v>
      </c>
      <c r="C43" s="390" t="s">
        <v>220</v>
      </c>
      <c r="D43" s="390"/>
      <c r="E43" s="1153"/>
      <c r="F43" s="1153"/>
      <c r="G43" s="1153">
        <v>1</v>
      </c>
      <c r="H43" s="390"/>
      <c r="I43" s="390"/>
      <c r="J43" s="390"/>
      <c r="K43" s="390"/>
      <c r="L43" s="391"/>
      <c r="M43" s="392"/>
      <c r="N43" s="392"/>
      <c r="O43" s="392"/>
      <c r="P43" s="401"/>
      <c r="Q43" s="398"/>
      <c r="R43" s="399"/>
      <c r="S43" s="394" t="str">
        <f>INDEX(PT_DIFFERENTIATION_NUM_CS,MATCH(C43,PT_DIFFERENTIATION_CS_ID,0))</f>
        <v>..</v>
      </c>
      <c r="T43" s="402" t="s">
        <v>467</v>
      </c>
      <c r="U43" s="396"/>
      <c r="V43" s="1154"/>
      <c r="W43" s="1154"/>
      <c r="X43" s="1154"/>
      <c r="Y43" s="1154"/>
      <c r="Z43" s="1154"/>
      <c r="AA43" s="1154"/>
      <c r="AB43" s="1154"/>
      <c r="AC43" s="1154" t="str">
        <f>INDEX(PT_DIFFERENTIATION_CS,MATCH(C43,PT_DIFFERENTIATION_CS_ID,0))</f>
        <v/>
      </c>
      <c r="AD43" s="1154"/>
      <c r="AE43" s="1154"/>
      <c r="AF43" s="1154"/>
      <c r="AG43" s="1154"/>
      <c r="AH43" s="1154"/>
      <c r="AI43" s="1154"/>
      <c r="AJ43" s="1154"/>
      <c r="AK43" s="397" t="s">
        <v>468</v>
      </c>
      <c r="AM43" s="121"/>
      <c r="AN43" s="121" t="str">
        <f t="shared" si="1"/>
        <v>Наименование централизованной системы холодного водоснабжения</v>
      </c>
      <c r="AO43" s="121"/>
      <c r="AP43" s="121"/>
    </row>
    <row r="44" spans="1:42" ht="23.25" customHeight="1">
      <c r="A44" s="390" t="s">
        <v>218</v>
      </c>
      <c r="B44" s="390" t="s">
        <v>219</v>
      </c>
      <c r="C44" s="390" t="s">
        <v>220</v>
      </c>
      <c r="D44" s="390" t="s">
        <v>483</v>
      </c>
      <c r="E44" s="1153"/>
      <c r="F44" s="1153"/>
      <c r="G44" s="1153"/>
      <c r="H44" s="1189"/>
      <c r="I44" s="1155" t="str">
        <f>S43&amp;".1"</f>
        <v>...1</v>
      </c>
      <c r="J44" s="390"/>
      <c r="K44" s="390"/>
      <c r="L44" s="391"/>
      <c r="P44" s="1156">
        <v>1</v>
      </c>
      <c r="Q44" s="124"/>
      <c r="R44" s="405"/>
      <c r="S44" s="394" t="str">
        <f>$I44</f>
        <v>...1</v>
      </c>
      <c r="T44" s="406" t="s">
        <v>469</v>
      </c>
      <c r="U44" s="396"/>
      <c r="V44" s="1190"/>
      <c r="W44" s="1190"/>
      <c r="X44" s="1190"/>
      <c r="Y44" s="1190"/>
      <c r="Z44" s="1190"/>
      <c r="AA44" s="1190"/>
      <c r="AB44" s="1190"/>
      <c r="AC44" s="1123"/>
      <c r="AD44" s="1123"/>
      <c r="AE44" s="1123"/>
      <c r="AF44" s="1123"/>
      <c r="AG44" s="1123"/>
      <c r="AH44" s="1123"/>
      <c r="AI44" s="1123"/>
      <c r="AJ44" s="1123"/>
      <c r="AK44" s="397" t="s">
        <v>470</v>
      </c>
      <c r="AM44" s="121"/>
      <c r="AN44" s="121" t="str">
        <f t="shared" si="1"/>
        <v>Наименование признака дифференциации</v>
      </c>
      <c r="AO44" s="121"/>
      <c r="AP44" s="121"/>
    </row>
    <row r="45" spans="1:42" ht="23.25" customHeight="1">
      <c r="A45" s="390" t="s">
        <v>218</v>
      </c>
      <c r="B45" s="390" t="s">
        <v>219</v>
      </c>
      <c r="C45" s="390" t="s">
        <v>220</v>
      </c>
      <c r="D45" s="390" t="s">
        <v>483</v>
      </c>
      <c r="E45" s="1153"/>
      <c r="F45" s="1153"/>
      <c r="G45" s="1153"/>
      <c r="H45" s="1153"/>
      <c r="I45" s="1155"/>
      <c r="J45" s="1155" t="str">
        <f>I44&amp;".1"</f>
        <v>...1.1</v>
      </c>
      <c r="K45" s="390"/>
      <c r="L45" s="391" t="s">
        <v>395</v>
      </c>
      <c r="P45" s="1156"/>
      <c r="Q45" s="1156">
        <v>1</v>
      </c>
      <c r="R45" s="408"/>
      <c r="S45" s="394" t="str">
        <f>$J45</f>
        <v>...1.1</v>
      </c>
      <c r="T45" s="409" t="s">
        <v>396</v>
      </c>
      <c r="U45" s="396"/>
      <c r="V45" s="1157"/>
      <c r="W45" s="1157"/>
      <c r="X45" s="1157"/>
      <c r="Y45" s="1157"/>
      <c r="Z45" s="1157"/>
      <c r="AA45" s="1157"/>
      <c r="AB45" s="1157"/>
      <c r="AC45" s="1157"/>
      <c r="AD45" s="1157"/>
      <c r="AE45" s="1157"/>
      <c r="AF45" s="1157"/>
      <c r="AG45" s="1157"/>
      <c r="AH45" s="1157"/>
      <c r="AI45" s="1157"/>
      <c r="AJ45" s="1157"/>
      <c r="AK45" s="471" t="s">
        <v>471</v>
      </c>
      <c r="AM45" s="121"/>
      <c r="AN45" s="121" t="str">
        <f t="shared" si="1"/>
        <v>Группа потребителей</v>
      </c>
      <c r="AO45" s="121"/>
      <c r="AP45" s="121"/>
    </row>
    <row r="46" spans="1:42" ht="23.25" customHeight="1">
      <c r="A46" s="390" t="s">
        <v>218</v>
      </c>
      <c r="B46" s="390" t="s">
        <v>219</v>
      </c>
      <c r="C46" s="390" t="s">
        <v>220</v>
      </c>
      <c r="D46" s="390" t="s">
        <v>483</v>
      </c>
      <c r="E46" s="1153"/>
      <c r="F46" s="1153"/>
      <c r="G46" s="1153"/>
      <c r="H46" s="1153"/>
      <c r="I46" s="1155"/>
      <c r="J46" s="1155"/>
      <c r="K46" s="1155" t="str">
        <f>J45&amp;".1"</f>
        <v>...1.1.1</v>
      </c>
      <c r="L46" s="391"/>
      <c r="P46" s="1156"/>
      <c r="Q46" s="1156"/>
      <c r="R46" s="408">
        <v>1</v>
      </c>
      <c r="S46" s="394" t="str">
        <f>$K46</f>
        <v>...1.1.1</v>
      </c>
      <c r="T46" s="517"/>
      <c r="U46" s="396"/>
      <c r="V46" s="411"/>
      <c r="W46" s="411"/>
      <c r="X46" s="413"/>
      <c r="Y46" s="1158"/>
      <c r="Z46" s="1105" t="s">
        <v>63</v>
      </c>
      <c r="AA46" s="1158"/>
      <c r="AB46" s="1105" t="s">
        <v>63</v>
      </c>
      <c r="AC46" s="411"/>
      <c r="AD46" s="411"/>
      <c r="AE46" s="413"/>
      <c r="AF46" s="1158"/>
      <c r="AG46" s="1105" t="s">
        <v>63</v>
      </c>
      <c r="AH46" s="1158"/>
      <c r="AI46" s="1105" t="s">
        <v>63</v>
      </c>
      <c r="AJ46" s="518"/>
      <c r="AK46"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 t="e">
        <f ca="1">strcheckdate(V47:AJ47)</f>
        <v>#NAME?</v>
      </c>
      <c r="AM46" s="121"/>
      <c r="AN46" s="121" t="str">
        <f t="shared" si="1"/>
        <v/>
      </c>
      <c r="AO46" s="121"/>
      <c r="AP46" s="121"/>
    </row>
    <row r="47" spans="1:42" ht="11.25">
      <c r="A47" s="390" t="s">
        <v>218</v>
      </c>
      <c r="B47" s="390" t="s">
        <v>219</v>
      </c>
      <c r="C47" s="390" t="s">
        <v>220</v>
      </c>
      <c r="D47" s="390" t="s">
        <v>483</v>
      </c>
      <c r="E47" s="1153"/>
      <c r="F47" s="1153"/>
      <c r="G47" s="1153"/>
      <c r="H47" s="1153"/>
      <c r="I47" s="1155"/>
      <c r="J47" s="1155"/>
      <c r="K47" s="1155"/>
      <c r="L47" s="391"/>
      <c r="P47" s="1156"/>
      <c r="Q47" s="1156"/>
      <c r="R47" s="408"/>
      <c r="S47" s="370"/>
      <c r="T47" s="396"/>
      <c r="U47" s="396"/>
      <c r="V47" s="412"/>
      <c r="W47" s="412"/>
      <c r="X47" s="415" t="str">
        <f>Y46&amp;"-"&amp;AA46</f>
        <v>-</v>
      </c>
      <c r="Y47" s="1158"/>
      <c r="Z47" s="1105"/>
      <c r="AA47" s="1158"/>
      <c r="AB47" s="1105"/>
      <c r="AC47" s="412"/>
      <c r="AD47" s="412"/>
      <c r="AE47" s="415" t="str">
        <f>AF46&amp;"-"&amp;AH46</f>
        <v>-</v>
      </c>
      <c r="AF47" s="1158"/>
      <c r="AG47" s="1105"/>
      <c r="AH47" s="1158"/>
      <c r="AI47" s="1105"/>
      <c r="AJ47" s="519"/>
      <c r="AK47" s="1191"/>
      <c r="AM47" s="121"/>
      <c r="AN47" s="121" t="str">
        <f t="shared" si="1"/>
        <v/>
      </c>
      <c r="AO47" s="121"/>
      <c r="AP47" s="121"/>
    </row>
    <row r="48" spans="1:42" ht="21" customHeight="1">
      <c r="A48" s="390" t="s">
        <v>218</v>
      </c>
      <c r="B48" s="390" t="s">
        <v>219</v>
      </c>
      <c r="C48" s="390" t="s">
        <v>220</v>
      </c>
      <c r="D48" s="390" t="s">
        <v>483</v>
      </c>
      <c r="E48" s="1153"/>
      <c r="F48" s="1153"/>
      <c r="G48" s="1153"/>
      <c r="H48" s="1153"/>
      <c r="I48" s="1155"/>
      <c r="J48" s="1155"/>
      <c r="K48" s="390"/>
      <c r="L48" s="391"/>
      <c r="P48" s="1156"/>
      <c r="Q48" s="1156"/>
      <c r="R48" s="405"/>
      <c r="S48" s="416"/>
      <c r="T48" s="419" t="s">
        <v>472</v>
      </c>
      <c r="U48" s="186"/>
      <c r="V48" s="186"/>
      <c r="W48" s="186"/>
      <c r="X48" s="186"/>
      <c r="Y48" s="186"/>
      <c r="Z48" s="186"/>
      <c r="AA48" s="186"/>
      <c r="AB48" s="186"/>
      <c r="AC48" s="186"/>
      <c r="AD48" s="186"/>
      <c r="AE48" s="186"/>
      <c r="AF48" s="186"/>
      <c r="AG48" s="186"/>
      <c r="AH48" s="186"/>
      <c r="AI48" s="186"/>
      <c r="AJ48" s="186"/>
      <c r="AK48" s="397" t="s">
        <v>473</v>
      </c>
      <c r="AM48" s="121"/>
      <c r="AN48" s="121" t="str">
        <f t="shared" si="1"/>
        <v>Добавить значение признака дифференциации</v>
      </c>
      <c r="AO48" s="121"/>
      <c r="AP48" s="121"/>
    </row>
    <row r="49" spans="1:42" ht="21" customHeight="1">
      <c r="A49" s="390" t="s">
        <v>218</v>
      </c>
      <c r="B49" s="390" t="s">
        <v>219</v>
      </c>
      <c r="C49" s="390" t="s">
        <v>220</v>
      </c>
      <c r="D49" s="390" t="s">
        <v>483</v>
      </c>
      <c r="E49" s="1153"/>
      <c r="F49" s="1153"/>
      <c r="G49" s="1153"/>
      <c r="H49" s="1153"/>
      <c r="I49" s="1155"/>
      <c r="J49" s="390"/>
      <c r="K49" s="390"/>
      <c r="L49" s="391"/>
      <c r="P49" s="1156"/>
      <c r="Q49" s="124"/>
      <c r="R49" s="405"/>
      <c r="S49" s="416"/>
      <c r="T49" s="423" t="s">
        <v>401</v>
      </c>
      <c r="U49" s="186"/>
      <c r="V49" s="186"/>
      <c r="W49" s="186"/>
      <c r="X49" s="186"/>
      <c r="Y49" s="186"/>
      <c r="Z49" s="186"/>
      <c r="AA49" s="186"/>
      <c r="AB49" s="420"/>
      <c r="AC49" s="186"/>
      <c r="AD49" s="186"/>
      <c r="AE49" s="186"/>
      <c r="AF49" s="186"/>
      <c r="AG49" s="186"/>
      <c r="AH49" s="186"/>
      <c r="AI49" s="420"/>
      <c r="AJ49" s="186"/>
      <c r="AK49" s="520"/>
      <c r="AM49" s="121"/>
      <c r="AN49" s="121" t="str">
        <f t="shared" si="1"/>
        <v>Добавить группу потребителей</v>
      </c>
      <c r="AO49" s="121"/>
      <c r="AP49" s="121"/>
    </row>
    <row r="50" spans="1:42" ht="21" customHeight="1">
      <c r="A50" s="390" t="s">
        <v>218</v>
      </c>
      <c r="B50" s="390" t="s">
        <v>219</v>
      </c>
      <c r="C50" s="390" t="s">
        <v>220</v>
      </c>
      <c r="D50" s="390" t="s">
        <v>483</v>
      </c>
      <c r="E50" s="1153"/>
      <c r="F50" s="1153"/>
      <c r="G50" s="1153"/>
      <c r="H50" s="1189"/>
      <c r="I50" s="390"/>
      <c r="J50" s="390"/>
      <c r="K50" s="390"/>
      <c r="L50" s="391"/>
      <c r="M50" s="392"/>
      <c r="N50" s="392"/>
      <c r="O50" s="49"/>
      <c r="P50" s="134"/>
      <c r="Q50" s="422"/>
      <c r="R50" s="393"/>
      <c r="S50" s="416"/>
      <c r="T50" s="521" t="s">
        <v>474</v>
      </c>
      <c r="U50" s="186"/>
      <c r="V50" s="186"/>
      <c r="W50" s="186"/>
      <c r="X50" s="186"/>
      <c r="Y50" s="186"/>
      <c r="Z50" s="186"/>
      <c r="AA50" s="186"/>
      <c r="AB50" s="420"/>
      <c r="AC50" s="186"/>
      <c r="AD50" s="186"/>
      <c r="AE50" s="186"/>
      <c r="AF50" s="186"/>
      <c r="AG50" s="186"/>
      <c r="AH50" s="186"/>
      <c r="AI50" s="420"/>
      <c r="AJ50" s="186"/>
      <c r="AK50" s="421"/>
      <c r="AM50" s="121"/>
      <c r="AN50" s="121" t="str">
        <f t="shared" si="1"/>
        <v>Добавить наименование признака дифференциации</v>
      </c>
      <c r="AO50" s="121"/>
      <c r="AP50" s="121"/>
    </row>
    <row r="51" spans="1:42" s="53" customFormat="1" ht="5.25">
      <c r="A51" s="125" t="s">
        <v>218</v>
      </c>
      <c r="B51" s="125" t="s">
        <v>219</v>
      </c>
      <c r="C51" s="125"/>
      <c r="D51" s="125"/>
      <c r="E51" s="1153"/>
      <c r="F51" s="1153"/>
      <c r="G51" s="125"/>
      <c r="H51" s="125"/>
      <c r="I51" s="125"/>
      <c r="J51" s="125"/>
      <c r="K51" s="125"/>
      <c r="L51" s="184"/>
      <c r="M51" s="428"/>
      <c r="N51" s="428"/>
      <c r="P51" s="158"/>
      <c r="Q51" s="424"/>
      <c r="R51" s="158"/>
      <c r="S51" s="429"/>
      <c r="T51" s="432" t="s">
        <v>253</v>
      </c>
      <c r="U51" s="431"/>
      <c r="V51" s="431"/>
      <c r="W51" s="431"/>
      <c r="X51" s="431"/>
      <c r="Y51" s="431"/>
      <c r="Z51" s="431"/>
      <c r="AA51" s="431"/>
      <c r="AB51" s="431"/>
      <c r="AC51" s="431"/>
      <c r="AD51" s="431"/>
      <c r="AE51" s="431"/>
      <c r="AF51" s="431"/>
      <c r="AG51" s="431"/>
      <c r="AH51" s="431"/>
      <c r="AI51" s="431"/>
      <c r="AJ51" s="431"/>
      <c r="AK51" s="431"/>
      <c r="AM51" s="121"/>
      <c r="AN51" s="121" t="str">
        <f t="shared" si="1"/>
        <v>Добавить централизованную систему для дифференциации</v>
      </c>
      <c r="AO51" s="121"/>
      <c r="AP51" s="121"/>
    </row>
    <row r="52" spans="1:42" s="53" customFormat="1" ht="5.25">
      <c r="A52" s="125" t="s">
        <v>218</v>
      </c>
      <c r="B52" s="125"/>
      <c r="C52" s="125"/>
      <c r="D52" s="125"/>
      <c r="E52" s="1153"/>
      <c r="F52" s="125"/>
      <c r="G52" s="125"/>
      <c r="H52" s="125"/>
      <c r="I52" s="125"/>
      <c r="J52" s="125"/>
      <c r="K52" s="125"/>
      <c r="L52" s="184"/>
      <c r="M52" s="428"/>
      <c r="N52" s="428"/>
      <c r="P52" s="158"/>
      <c r="Q52" s="424"/>
      <c r="R52" s="158"/>
      <c r="S52" s="429"/>
      <c r="T52" s="432" t="s">
        <v>254</v>
      </c>
      <c r="U52" s="431"/>
      <c r="V52" s="431"/>
      <c r="W52" s="431"/>
      <c r="X52" s="431"/>
      <c r="Y52" s="431"/>
      <c r="Z52" s="431"/>
      <c r="AA52" s="431"/>
      <c r="AB52" s="431"/>
      <c r="AC52" s="431"/>
      <c r="AD52" s="431"/>
      <c r="AE52" s="431"/>
      <c r="AF52" s="431"/>
      <c r="AG52" s="431"/>
      <c r="AH52" s="431"/>
      <c r="AI52" s="431"/>
      <c r="AJ52" s="431"/>
      <c r="AK52" s="431"/>
      <c r="AM52" s="121"/>
      <c r="AN52" s="121" t="str">
        <f t="shared" si="1"/>
        <v>Добавить территорию для дифференциации</v>
      </c>
      <c r="AO52" s="121"/>
      <c r="AP52" s="121"/>
    </row>
    <row r="53" spans="1:42" s="53" customFormat="1" ht="5.25">
      <c r="A53" s="125"/>
      <c r="B53" s="125"/>
      <c r="C53" s="125"/>
      <c r="D53" s="125"/>
      <c r="E53" s="125"/>
      <c r="F53" s="125"/>
      <c r="G53" s="125"/>
      <c r="H53" s="125"/>
      <c r="I53" s="125"/>
      <c r="J53" s="125"/>
      <c r="K53" s="125"/>
      <c r="L53" s="184"/>
      <c r="M53" s="428"/>
      <c r="N53" s="428"/>
      <c r="P53" s="158"/>
      <c r="Q53" s="424"/>
      <c r="R53" s="158"/>
      <c r="S53" s="429"/>
      <c r="T53" s="432" t="s">
        <v>255</v>
      </c>
      <c r="U53" s="431"/>
      <c r="V53" s="431"/>
      <c r="W53" s="431"/>
      <c r="X53" s="431"/>
      <c r="Y53" s="431"/>
      <c r="Z53" s="431"/>
      <c r="AA53" s="431"/>
      <c r="AB53" s="431"/>
      <c r="AC53" s="431"/>
      <c r="AD53" s="431"/>
      <c r="AE53" s="431"/>
      <c r="AF53" s="431"/>
      <c r="AG53" s="431"/>
      <c r="AH53" s="431"/>
      <c r="AI53" s="431"/>
      <c r="AJ53" s="431"/>
      <c r="AK53" s="431"/>
      <c r="AM53" s="121"/>
      <c r="AN53" s="121" t="str">
        <f t="shared" si="1"/>
        <v>Добавить наименование тарифа</v>
      </c>
      <c r="AO53" s="121"/>
      <c r="AP53" s="121"/>
    </row>
    <row r="54" spans="1:42" ht="11.25" customHeight="1">
      <c r="M54" s="49"/>
      <c r="N54" s="49"/>
      <c r="O54" s="49"/>
      <c r="P54" s="46"/>
      <c r="Q54" s="46"/>
      <c r="R54" s="46"/>
      <c r="S54" s="46"/>
      <c r="AL54" s="46"/>
      <c r="AM54" s="46"/>
      <c r="AN54" s="46"/>
      <c r="AO54" s="46"/>
      <c r="AP54" s="46"/>
    </row>
    <row r="55" spans="1:42" ht="14.25" customHeight="1">
      <c r="O55" s="49"/>
      <c r="S55" s="387"/>
      <c r="T55" s="1171"/>
      <c r="U55" s="1171"/>
      <c r="V55" s="1171"/>
      <c r="W55" s="1171"/>
      <c r="X55" s="1171"/>
      <c r="Y55" s="1171"/>
      <c r="Z55" s="1171"/>
      <c r="AA55" s="1171"/>
      <c r="AB55" s="1171"/>
      <c r="AC55" s="1171"/>
      <c r="AD55" s="1171"/>
      <c r="AE55" s="1171"/>
      <c r="AF55" s="1171"/>
      <c r="AG55" s="1171"/>
      <c r="AH55" s="1171"/>
      <c r="AI55" s="1171"/>
      <c r="AJ55" s="1171"/>
      <c r="AK55" s="1171"/>
    </row>
    <row r="56" spans="1:42" ht="14.25" customHeight="1">
      <c r="O56" s="49"/>
    </row>
    <row r="57" spans="1:42" ht="14.25" customHeight="1">
      <c r="O57" s="49"/>
      <c r="S57" s="387"/>
      <c r="T57" s="1171"/>
      <c r="U57" s="1171"/>
      <c r="V57" s="1171"/>
      <c r="W57" s="1171"/>
      <c r="X57" s="1171"/>
      <c r="Y57" s="1171"/>
      <c r="Z57" s="1171"/>
      <c r="AA57" s="1171"/>
      <c r="AB57" s="1171"/>
      <c r="AC57" s="1171"/>
      <c r="AD57" s="1171"/>
      <c r="AE57" s="1171"/>
      <c r="AF57" s="1171"/>
      <c r="AG57" s="1171"/>
      <c r="AH57" s="1171"/>
      <c r="AI57" s="1171"/>
      <c r="AJ57" s="1171"/>
      <c r="AK57" s="1171"/>
    </row>
  </sheetData>
  <mergeCells count="101">
    <mergeCell ref="AB46:AB47"/>
    <mergeCell ref="AF46:AF47"/>
    <mergeCell ref="AG46:AG47"/>
    <mergeCell ref="AH46:AH47"/>
    <mergeCell ref="AI46:AI47"/>
    <mergeCell ref="AK46:AK47"/>
    <mergeCell ref="T55:AK55"/>
    <mergeCell ref="T57:AK5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S30:T30"/>
    <mergeCell ref="V30:AA30"/>
    <mergeCell ref="AC30:AH30"/>
    <mergeCell ref="S32:T32"/>
    <mergeCell ref="V32:AA32"/>
    <mergeCell ref="AC32:AH32"/>
    <mergeCell ref="S33:T33"/>
    <mergeCell ref="V33:AA33"/>
    <mergeCell ref="AC33:AH33"/>
    <mergeCell ref="S25:AH25"/>
    <mergeCell ref="S27:T27"/>
    <mergeCell ref="V27:AA27"/>
    <mergeCell ref="AC27:AH27"/>
    <mergeCell ref="S28:T28"/>
    <mergeCell ref="V28:AA28"/>
    <mergeCell ref="AC28:AH28"/>
    <mergeCell ref="S29:T29"/>
    <mergeCell ref="V29:AA29"/>
    <mergeCell ref="AC29:AH29"/>
    <mergeCell ref="AG7:AG8"/>
    <mergeCell ref="AH7:AH8"/>
    <mergeCell ref="AI7:AI8"/>
    <mergeCell ref="AK7:AK8"/>
    <mergeCell ref="AF15:AF16"/>
    <mergeCell ref="AG15:AG16"/>
    <mergeCell ref="AH15:AH16"/>
    <mergeCell ref="AI15:AI16"/>
    <mergeCell ref="S24:AH24"/>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s>
  <dataValidations count="4">
    <dataValidation allowBlank="1" showInputMessage="1" showErrorMessage="1" prompt="Для выбора выполните двойной щелчок левой клавиши мыши по соответствующей ячейке." sqref="Z7 AB7 AG7 AI7 AG15 AI15 Z46 AB46 AG46 AI46">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formula1>0</formula1>
      <formula2>0</formula2>
    </dataValidation>
    <dataValidation type="textLength" operator="lessThanOrEqual" allowBlank="1" showInputMessage="1" showErrorMessage="1" errorTitle="Ошибка" error="Допускается ввод не более 900 символов!" sqref="AC5:AJ5 T7 AC44:AJ44 T46">
      <formula1>900</formula1>
      <formula2>0</formula2>
    </dataValidation>
    <dataValidation allowBlank="1" promptTitle="checkPeriodRange" sqref="X8 AE8 AE16 X47 AE47">
      <formula1>0</formula1>
      <formula2>0</formula2>
    </dataValidation>
  </dataValidations>
  <pageMargins left="0.7" right="0.7" top="0.625" bottom="0.625" header="0.3" footer="0.3"/>
  <pageSetup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P57"/>
  <sheetViews>
    <sheetView showGridLines="0" topLeftCell="P23"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4.140625" style="49" hidden="1" customWidth="1"/>
    <col min="10" max="10" width="9.85546875" style="49" hidden="1" customWidth="1"/>
    <col min="11" max="11" width="14.7109375" style="49" hidden="1" customWidth="1"/>
    <col min="12" max="12" width="19.140625" style="107" hidden="1" customWidth="1"/>
    <col min="13" max="14" width="12.28515625" style="57" hidden="1" customWidth="1"/>
    <col min="15" max="15" width="23.42578125" style="57" hidden="1" customWidth="1"/>
    <col min="16" max="16" width="3.7109375" style="56" customWidth="1"/>
    <col min="17" max="18" width="3.7109375" style="389" customWidth="1"/>
    <col min="19" max="19" width="12.7109375" style="254" customWidth="1"/>
    <col min="20" max="20" width="35.7109375" style="46" customWidth="1"/>
    <col min="21" max="21" width="0.140625" style="46" customWidth="1"/>
    <col min="22" max="24" width="24.7109375" style="46" hidden="1" customWidth="1"/>
    <col min="25" max="25" width="11.7109375" style="46" hidden="1" customWidth="1"/>
    <col min="26" max="26" width="3.7109375" style="46" hidden="1" customWidth="1"/>
    <col min="27" max="27" width="11.7109375" style="46" hidden="1" customWidth="1"/>
    <col min="28" max="28" width="8.5703125" style="46" hidden="1" customWidth="1"/>
    <col min="29" max="31" width="24.7109375" style="46" customWidth="1"/>
    <col min="32" max="32" width="11.7109375" style="46" customWidth="1"/>
    <col min="33" max="33" width="3.7109375" style="46" customWidth="1"/>
    <col min="34" max="34" width="11.7109375" style="46" customWidth="1"/>
    <col min="35" max="35" width="8.5703125" style="46" hidden="1" customWidth="1"/>
    <col min="36" max="36" width="4.7109375" style="46" customWidth="1"/>
    <col min="37" max="37" width="115.7109375" style="46" customWidth="1"/>
    <col min="38" max="39" width="10.5703125" style="53"/>
    <col min="40" max="40" width="11.140625" style="53" customWidth="1"/>
    <col min="41" max="42" width="10.5703125" style="53"/>
  </cols>
  <sheetData>
    <row r="1" spans="1:42" ht="14.25" hidden="1" customHeight="1"/>
    <row r="2" spans="1:42" ht="23.25"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t="e">
        <f>INDEX(PT_DIFFERENTIATION_NTAR,MATCH(A2,PT_DIFFERENTIATION_NTAR_ID,0))</f>
        <v>#N/A</v>
      </c>
      <c r="AD2" s="1154"/>
      <c r="AE2" s="1154"/>
      <c r="AF2" s="1154"/>
      <c r="AG2" s="1154"/>
      <c r="AH2" s="1154"/>
      <c r="AI2" s="1154"/>
      <c r="AJ2" s="1154"/>
      <c r="AK2"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t="shared" ref="AN2:AN13" si="0">IF(T2="","",T2)</f>
        <v>Наименование тарифа</v>
      </c>
      <c r="AO2" s="121"/>
      <c r="AP2" s="121"/>
    </row>
    <row r="3" spans="1:42" ht="23.25"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t="e">
        <f>INDEX(PT_DIFFERENTIATION_TER,MATCH(B3,PT_DIFFERENTIATION_TER_ID,0))</f>
        <v>#N/A</v>
      </c>
      <c r="AD3" s="1154"/>
      <c r="AE3" s="1154"/>
      <c r="AF3" s="1154"/>
      <c r="AG3" s="1154"/>
      <c r="AH3" s="1154"/>
      <c r="AI3" s="1154"/>
      <c r="AJ3" s="1154"/>
      <c r="AK3" s="397" t="s">
        <v>387</v>
      </c>
      <c r="AM3" s="121"/>
      <c r="AN3" s="121" t="str">
        <f t="shared" si="0"/>
        <v>Территория действия тарифа</v>
      </c>
      <c r="AO3" s="121"/>
      <c r="AP3" s="121"/>
    </row>
    <row r="4" spans="1:42"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467</v>
      </c>
      <c r="U4" s="396"/>
      <c r="V4" s="1154"/>
      <c r="W4" s="1154"/>
      <c r="X4" s="1154"/>
      <c r="Y4" s="1154"/>
      <c r="Z4" s="1154"/>
      <c r="AA4" s="1154"/>
      <c r="AB4" s="1154"/>
      <c r="AC4" s="1154" t="e">
        <f>INDEX(PT_DIFFERENTIATION_CS,MATCH(C4,PT_DIFFERENTIATION_CS_ID,0))</f>
        <v>#N/A</v>
      </c>
      <c r="AD4" s="1154"/>
      <c r="AE4" s="1154"/>
      <c r="AF4" s="1154"/>
      <c r="AG4" s="1154"/>
      <c r="AH4" s="1154"/>
      <c r="AI4" s="1154"/>
      <c r="AJ4" s="1154"/>
      <c r="AK4" s="397" t="s">
        <v>468</v>
      </c>
      <c r="AM4" s="121"/>
      <c r="AN4" s="121" t="str">
        <f t="shared" si="0"/>
        <v>Наименование централизованной системы холодного водоснабжения</v>
      </c>
      <c r="AO4" s="121"/>
      <c r="AP4" s="121"/>
    </row>
    <row r="5" spans="1:42" ht="23.25" hidden="1" customHeight="1">
      <c r="A5" s="390"/>
      <c r="B5" s="390"/>
      <c r="C5" s="390"/>
      <c r="D5" s="390"/>
      <c r="E5" s="1153"/>
      <c r="F5" s="1153"/>
      <c r="G5" s="1153"/>
      <c r="H5" s="1189"/>
      <c r="I5" s="1155" t="e">
        <f>S4&amp;".1"</f>
        <v>#N/A</v>
      </c>
      <c r="J5" s="390"/>
      <c r="K5" s="390"/>
      <c r="L5" s="391"/>
      <c r="P5" s="1156">
        <v>1</v>
      </c>
      <c r="Q5" s="124"/>
      <c r="R5" s="405"/>
      <c r="S5" s="394" t="e">
        <f>$I5</f>
        <v>#N/A</v>
      </c>
      <c r="T5" s="406" t="s">
        <v>469</v>
      </c>
      <c r="U5" s="396"/>
      <c r="V5" s="1190"/>
      <c r="W5" s="1190"/>
      <c r="X5" s="1190"/>
      <c r="Y5" s="1190"/>
      <c r="Z5" s="1190"/>
      <c r="AA5" s="1190"/>
      <c r="AB5" s="1190"/>
      <c r="AC5" s="1123"/>
      <c r="AD5" s="1123"/>
      <c r="AE5" s="1123"/>
      <c r="AF5" s="1123"/>
      <c r="AG5" s="1123"/>
      <c r="AH5" s="1123"/>
      <c r="AI5" s="1123"/>
      <c r="AJ5" s="1123"/>
      <c r="AK5" s="397" t="s">
        <v>470</v>
      </c>
      <c r="AM5" s="121"/>
      <c r="AN5" s="121" t="str">
        <f t="shared" si="0"/>
        <v>Наименование признака дифференциации</v>
      </c>
      <c r="AO5" s="121"/>
      <c r="AP5" s="121"/>
    </row>
    <row r="6" spans="1:42" ht="23.25" hidden="1" customHeight="1">
      <c r="A6" s="390"/>
      <c r="B6" s="390"/>
      <c r="C6" s="390"/>
      <c r="D6" s="390"/>
      <c r="E6" s="1153"/>
      <c r="F6" s="1153"/>
      <c r="G6" s="1153"/>
      <c r="H6" s="1153"/>
      <c r="I6" s="1155"/>
      <c r="J6" s="1155" t="e">
        <f>I5&amp;".1"</f>
        <v>#N/A</v>
      </c>
      <c r="K6" s="390"/>
      <c r="L6" s="391" t="s">
        <v>395</v>
      </c>
      <c r="P6" s="1156"/>
      <c r="Q6" s="1156">
        <v>1</v>
      </c>
      <c r="R6" s="408"/>
      <c r="S6" s="394" t="e">
        <f>$J6</f>
        <v>#N/A</v>
      </c>
      <c r="T6" s="409" t="s">
        <v>396</v>
      </c>
      <c r="U6" s="396"/>
      <c r="V6" s="1157"/>
      <c r="W6" s="1157"/>
      <c r="X6" s="1157"/>
      <c r="Y6" s="1157"/>
      <c r="Z6" s="1157"/>
      <c r="AA6" s="1157"/>
      <c r="AB6" s="1157"/>
      <c r="AC6" s="1157"/>
      <c r="AD6" s="1157"/>
      <c r="AE6" s="1157"/>
      <c r="AF6" s="1157"/>
      <c r="AG6" s="1157"/>
      <c r="AH6" s="1157"/>
      <c r="AI6" s="1157"/>
      <c r="AJ6" s="1157"/>
      <c r="AK6" s="471" t="s">
        <v>471</v>
      </c>
      <c r="AM6" s="121"/>
      <c r="AN6" s="121" t="str">
        <f t="shared" si="0"/>
        <v>Группа потребителей</v>
      </c>
      <c r="AO6" s="121"/>
      <c r="AP6" s="121"/>
    </row>
    <row r="7" spans="1:42" ht="23.25" hidden="1" customHeight="1">
      <c r="A7" s="390"/>
      <c r="B7" s="390"/>
      <c r="C7" s="390"/>
      <c r="D7" s="390"/>
      <c r="E7" s="1153"/>
      <c r="F7" s="1153"/>
      <c r="G7" s="1153"/>
      <c r="H7" s="1153"/>
      <c r="I7" s="1155"/>
      <c r="J7" s="1155"/>
      <c r="K7" s="1155" t="e">
        <f>J6&amp;".1"</f>
        <v>#N/A</v>
      </c>
      <c r="L7" s="391"/>
      <c r="P7" s="1156"/>
      <c r="Q7" s="1156"/>
      <c r="R7" s="408">
        <v>1</v>
      </c>
      <c r="S7" s="394" t="e">
        <f>$K7</f>
        <v>#N/A</v>
      </c>
      <c r="T7" s="517"/>
      <c r="U7" s="396"/>
      <c r="V7" s="411"/>
      <c r="W7" s="411"/>
      <c r="X7" s="413"/>
      <c r="Y7" s="1158"/>
      <c r="Z7" s="1105" t="s">
        <v>63</v>
      </c>
      <c r="AA7" s="1158"/>
      <c r="AB7" s="1105" t="s">
        <v>63</v>
      </c>
      <c r="AC7" s="411"/>
      <c r="AD7" s="411"/>
      <c r="AE7" s="413"/>
      <c r="AF7" s="1158"/>
      <c r="AG7" s="1105" t="s">
        <v>63</v>
      </c>
      <c r="AH7" s="1158"/>
      <c r="AI7" s="1105" t="s">
        <v>63</v>
      </c>
      <c r="AJ7" s="518"/>
      <c r="AK7"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 t="e">
        <f ca="1">strcheckdate(V8:AJ8)</f>
        <v>#NAME?</v>
      </c>
      <c r="AM7" s="121"/>
      <c r="AN7" s="121" t="str">
        <f t="shared" si="0"/>
        <v/>
      </c>
      <c r="AO7" s="121"/>
      <c r="AP7" s="121"/>
    </row>
    <row r="8" spans="1:42" ht="14.25" hidden="1" customHeight="1">
      <c r="A8" s="390"/>
      <c r="B8" s="390"/>
      <c r="C8" s="390"/>
      <c r="D8" s="390"/>
      <c r="E8" s="1153"/>
      <c r="F8" s="1153"/>
      <c r="G8" s="1153"/>
      <c r="H8" s="1153"/>
      <c r="I8" s="1155"/>
      <c r="J8" s="1155"/>
      <c r="K8" s="1155"/>
      <c r="L8" s="391"/>
      <c r="P8" s="1156"/>
      <c r="Q8" s="1156"/>
      <c r="R8" s="408"/>
      <c r="S8" s="370"/>
      <c r="T8" s="396"/>
      <c r="U8" s="396"/>
      <c r="V8" s="412"/>
      <c r="W8" s="412"/>
      <c r="X8" s="415" t="str">
        <f>Y7&amp;"-"&amp;AA7</f>
        <v>-</v>
      </c>
      <c r="Y8" s="1158"/>
      <c r="Z8" s="1105"/>
      <c r="AA8" s="1158"/>
      <c r="AB8" s="1105"/>
      <c r="AC8" s="412"/>
      <c r="AD8" s="412"/>
      <c r="AE8" s="415" t="str">
        <f>AF7&amp;"-"&amp;AH7</f>
        <v>-</v>
      </c>
      <c r="AF8" s="1158"/>
      <c r="AG8" s="1105"/>
      <c r="AH8" s="1158"/>
      <c r="AI8" s="1105"/>
      <c r="AJ8" s="519"/>
      <c r="AK8" s="1191"/>
      <c r="AM8" s="121"/>
      <c r="AN8" s="121" t="str">
        <f t="shared" si="0"/>
        <v/>
      </c>
      <c r="AO8" s="121"/>
      <c r="AP8" s="121"/>
    </row>
    <row r="9" spans="1:42" ht="21" hidden="1" customHeight="1">
      <c r="A9" s="390"/>
      <c r="B9" s="390"/>
      <c r="C9" s="390"/>
      <c r="D9" s="390"/>
      <c r="E9" s="1153"/>
      <c r="F9" s="1153"/>
      <c r="G9" s="1153"/>
      <c r="H9" s="1153"/>
      <c r="I9" s="1155"/>
      <c r="J9" s="1155"/>
      <c r="K9" s="390"/>
      <c r="L9" s="391"/>
      <c r="P9" s="1156"/>
      <c r="Q9" s="1156"/>
      <c r="R9" s="405"/>
      <c r="S9" s="416"/>
      <c r="T9" s="419" t="s">
        <v>472</v>
      </c>
      <c r="U9" s="186"/>
      <c r="V9" s="186"/>
      <c r="W9" s="186"/>
      <c r="X9" s="186"/>
      <c r="Y9" s="186"/>
      <c r="Z9" s="186"/>
      <c r="AA9" s="186"/>
      <c r="AB9" s="186"/>
      <c r="AC9" s="186"/>
      <c r="AD9" s="186"/>
      <c r="AE9" s="186"/>
      <c r="AF9" s="186"/>
      <c r="AG9" s="186"/>
      <c r="AH9" s="186"/>
      <c r="AI9" s="186"/>
      <c r="AJ9" s="186"/>
      <c r="AK9" s="397" t="s">
        <v>473</v>
      </c>
      <c r="AM9" s="121"/>
      <c r="AN9" s="121" t="str">
        <f t="shared" si="0"/>
        <v>Добавить значение признака дифференциации</v>
      </c>
      <c r="AO9" s="121"/>
      <c r="AP9" s="121"/>
    </row>
    <row r="10" spans="1:42" ht="21" hidden="1" customHeight="1">
      <c r="A10" s="390"/>
      <c r="B10" s="390"/>
      <c r="C10" s="390"/>
      <c r="D10" s="390"/>
      <c r="E10" s="1153"/>
      <c r="F10" s="1153"/>
      <c r="G10" s="1153"/>
      <c r="H10" s="1153"/>
      <c r="I10" s="1155"/>
      <c r="J10" s="390"/>
      <c r="K10" s="390"/>
      <c r="L10" s="391"/>
      <c r="P10" s="1156"/>
      <c r="Q10" s="124"/>
      <c r="R10" s="405"/>
      <c r="S10" s="416"/>
      <c r="T10" s="423" t="s">
        <v>401</v>
      </c>
      <c r="U10" s="186"/>
      <c r="V10" s="186"/>
      <c r="W10" s="186"/>
      <c r="X10" s="186"/>
      <c r="Y10" s="186"/>
      <c r="Z10" s="186"/>
      <c r="AA10" s="186"/>
      <c r="AB10" s="420"/>
      <c r="AC10" s="186"/>
      <c r="AD10" s="186"/>
      <c r="AE10" s="186"/>
      <c r="AF10" s="186"/>
      <c r="AG10" s="186"/>
      <c r="AH10" s="186"/>
      <c r="AI10" s="420"/>
      <c r="AJ10" s="186"/>
      <c r="AK10" s="520"/>
      <c r="AM10" s="121"/>
      <c r="AN10" s="121" t="str">
        <f t="shared" si="0"/>
        <v>Добавить группу потребителей</v>
      </c>
      <c r="AO10" s="121"/>
      <c r="AP10" s="121"/>
    </row>
    <row r="11" spans="1:42" ht="21" hidden="1" customHeight="1">
      <c r="A11" s="390"/>
      <c r="B11" s="390"/>
      <c r="C11" s="390"/>
      <c r="D11" s="390"/>
      <c r="E11" s="1153"/>
      <c r="F11" s="1153"/>
      <c r="G11" s="1153"/>
      <c r="H11" s="1189"/>
      <c r="I11" s="390"/>
      <c r="J11" s="390"/>
      <c r="K11" s="390"/>
      <c r="L11" s="391"/>
      <c r="M11" s="392"/>
      <c r="N11" s="392"/>
      <c r="O11" s="49"/>
      <c r="P11" s="134"/>
      <c r="Q11" s="422"/>
      <c r="R11" s="393"/>
      <c r="S11" s="416"/>
      <c r="T11" s="521" t="s">
        <v>474</v>
      </c>
      <c r="U11" s="186"/>
      <c r="V11" s="186"/>
      <c r="W11" s="186"/>
      <c r="X11" s="186"/>
      <c r="Y11" s="186"/>
      <c r="Z11" s="186"/>
      <c r="AA11" s="186"/>
      <c r="AB11" s="420"/>
      <c r="AC11" s="186"/>
      <c r="AD11" s="186"/>
      <c r="AE11" s="186"/>
      <c r="AF11" s="186"/>
      <c r="AG11" s="186"/>
      <c r="AH11" s="186"/>
      <c r="AI11" s="420"/>
      <c r="AJ11" s="186"/>
      <c r="AK11" s="421"/>
      <c r="AM11" s="121"/>
      <c r="AN11" s="121" t="str">
        <f t="shared" si="0"/>
        <v>Добавить наименование признака дифференциации</v>
      </c>
      <c r="AO11" s="121"/>
      <c r="AP11" s="121"/>
    </row>
    <row r="12" spans="1:42" s="53" customFormat="1" ht="14.25" hidden="1" customHeight="1">
      <c r="A12" s="125"/>
      <c r="B12" s="125"/>
      <c r="C12" s="125"/>
      <c r="D12" s="125"/>
      <c r="E12" s="1153"/>
      <c r="F12" s="1153"/>
      <c r="G12" s="125"/>
      <c r="H12" s="125"/>
      <c r="I12" s="125"/>
      <c r="J12" s="125"/>
      <c r="K12" s="125"/>
      <c r="L12" s="184"/>
      <c r="M12" s="428"/>
      <c r="N12" s="428"/>
      <c r="P12" s="158"/>
      <c r="Q12" s="424"/>
      <c r="R12" s="158"/>
      <c r="S12" s="429"/>
      <c r="T12" s="432" t="s">
        <v>253</v>
      </c>
      <c r="U12" s="431"/>
      <c r="V12" s="431"/>
      <c r="W12" s="431"/>
      <c r="X12" s="431"/>
      <c r="Y12" s="431"/>
      <c r="Z12" s="431"/>
      <c r="AA12" s="431"/>
      <c r="AB12" s="431"/>
      <c r="AC12" s="431"/>
      <c r="AD12" s="431"/>
      <c r="AE12" s="431"/>
      <c r="AF12" s="431"/>
      <c r="AG12" s="431"/>
      <c r="AH12" s="431"/>
      <c r="AI12" s="431"/>
      <c r="AJ12" s="431"/>
      <c r="AK12" s="431"/>
      <c r="AM12" s="121"/>
      <c r="AN12" s="121" t="str">
        <f t="shared" si="0"/>
        <v>Добавить централизованную систему для дифференциации</v>
      </c>
      <c r="AO12" s="121"/>
      <c r="AP12" s="121"/>
    </row>
    <row r="13" spans="1:42" s="53" customFormat="1" ht="14.25" hidden="1" customHeight="1">
      <c r="A13" s="125"/>
      <c r="B13" s="125"/>
      <c r="C13" s="125"/>
      <c r="D13" s="125"/>
      <c r="E13" s="1153"/>
      <c r="F13" s="125"/>
      <c r="G13" s="125"/>
      <c r="H13" s="125"/>
      <c r="I13" s="125"/>
      <c r="J13" s="125"/>
      <c r="K13" s="125"/>
      <c r="L13" s="184"/>
      <c r="M13" s="428"/>
      <c r="N13" s="428"/>
      <c r="P13" s="158"/>
      <c r="Q13" s="424"/>
      <c r="R13" s="158"/>
      <c r="S13" s="429"/>
      <c r="T13" s="432" t="s">
        <v>254</v>
      </c>
      <c r="U13" s="431"/>
      <c r="V13" s="431"/>
      <c r="W13" s="431"/>
      <c r="X13" s="431"/>
      <c r="Y13" s="431"/>
      <c r="Z13" s="431"/>
      <c r="AA13" s="431"/>
      <c r="AB13" s="431"/>
      <c r="AC13" s="431"/>
      <c r="AD13" s="431"/>
      <c r="AE13" s="431"/>
      <c r="AF13" s="431"/>
      <c r="AG13" s="431"/>
      <c r="AH13" s="431"/>
      <c r="AI13" s="431"/>
      <c r="AJ13" s="431"/>
      <c r="AK13" s="431"/>
      <c r="AM13" s="121"/>
      <c r="AN13" s="121" t="str">
        <f t="shared" si="0"/>
        <v>Добавить территорию для дифференциации</v>
      </c>
      <c r="AO13" s="121"/>
      <c r="AP13" s="121"/>
    </row>
    <row r="14" spans="1:42" ht="14.25" hidden="1" customHeight="1"/>
    <row r="15" spans="1:42" ht="14.25" hidden="1" customHeight="1">
      <c r="AC15" s="433"/>
      <c r="AD15" s="433"/>
      <c r="AE15" s="434"/>
      <c r="AF15" s="1160"/>
      <c r="AG15" s="1161" t="s">
        <v>63</v>
      </c>
      <c r="AH15" s="1160"/>
      <c r="AI15" s="1161" t="s">
        <v>63</v>
      </c>
    </row>
    <row r="16" spans="1:42" ht="14.25" hidden="1" customHeight="1">
      <c r="AC16" s="433"/>
      <c r="AD16" s="433"/>
      <c r="AE16" s="415" t="str">
        <f>AF15&amp;"-"&amp;AH15</f>
        <v>-</v>
      </c>
      <c r="AF16" s="1160"/>
      <c r="AG16" s="1160"/>
      <c r="AH16" s="1160"/>
      <c r="AI16" s="1160"/>
    </row>
    <row r="17" spans="1:42" ht="14.25" hidden="1" customHeight="1"/>
    <row r="18" spans="1:42" s="49" customFormat="1" ht="22.5" hidden="1" customHeight="1">
      <c r="L18" s="107"/>
      <c r="M18" s="57"/>
      <c r="N18" s="57"/>
      <c r="O18" s="435" t="s">
        <v>404</v>
      </c>
      <c r="P18" s="57"/>
      <c r="Q18" s="436"/>
      <c r="R18" s="436"/>
      <c r="S18" s="392"/>
      <c r="Y18" s="435"/>
      <c r="AA18" s="435"/>
      <c r="AF18" s="435"/>
      <c r="AH18" s="435"/>
      <c r="AL18" s="53"/>
      <c r="AM18" s="53"/>
      <c r="AN18" s="53"/>
      <c r="AO18" s="53"/>
      <c r="AP18" s="53"/>
    </row>
    <row r="19" spans="1:42" s="49" customFormat="1" ht="14.25" hidden="1" customHeight="1">
      <c r="L19" s="107"/>
      <c r="M19" s="57"/>
      <c r="N19" s="57"/>
      <c r="O19" s="57"/>
      <c r="P19" s="57"/>
      <c r="Q19" s="436"/>
      <c r="R19" s="436"/>
      <c r="S19" s="392"/>
      <c r="AL19" s="53"/>
      <c r="AM19" s="53"/>
      <c r="AN19" s="53"/>
      <c r="AO19" s="53"/>
      <c r="AP19" s="53"/>
    </row>
    <row r="20" spans="1:42" s="49" customFormat="1" ht="12" hidden="1" customHeight="1">
      <c r="L20" s="107"/>
      <c r="M20" s="57"/>
      <c r="N20" s="57"/>
      <c r="O20" s="391" t="s">
        <v>405</v>
      </c>
      <c r="P20" s="57"/>
      <c r="Q20" s="522"/>
      <c r="R20" s="522"/>
      <c r="S20" s="392"/>
      <c r="T20" s="49" t="s">
        <v>406</v>
      </c>
      <c r="Z20" s="142" t="s">
        <v>407</v>
      </c>
      <c r="AB20" s="142" t="s">
        <v>408</v>
      </c>
      <c r="AC20" s="49" t="s">
        <v>406</v>
      </c>
      <c r="AG20" s="142" t="s">
        <v>409</v>
      </c>
      <c r="AI20" s="142" t="s">
        <v>408</v>
      </c>
    </row>
    <row r="21" spans="1:42" ht="14.25" hidden="1" customHeight="1">
      <c r="O21" s="391"/>
    </row>
    <row r="22" spans="1:42" ht="14.25" hidden="1" customHeight="1">
      <c r="O22" s="391"/>
    </row>
    <row r="23" spans="1:42" ht="14.25" customHeight="1">
      <c r="Q23" s="437"/>
      <c r="R23" s="437"/>
      <c r="S23" s="438"/>
      <c r="T23" s="83"/>
      <c r="U23" s="83"/>
    </row>
    <row r="24" spans="1:42" ht="14.25" customHeight="1">
      <c r="Q24" s="437"/>
      <c r="R24" s="437"/>
      <c r="S24" s="110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1106"/>
      <c r="U24" s="1106"/>
      <c r="V24" s="1106"/>
      <c r="W24" s="1106"/>
      <c r="X24" s="1106"/>
      <c r="Y24" s="1106"/>
      <c r="Z24" s="1106"/>
      <c r="AA24" s="1106"/>
      <c r="AB24" s="1106"/>
      <c r="AC24" s="1106"/>
      <c r="AD24" s="1106"/>
      <c r="AE24" s="1106"/>
      <c r="AF24" s="1106"/>
      <c r="AG24" s="1106"/>
      <c r="AH24" s="1106"/>
      <c r="AI24" s="201"/>
    </row>
    <row r="25" spans="1:42" ht="14.25" customHeight="1">
      <c r="Q25" s="437"/>
      <c r="R25" s="437"/>
      <c r="S25" s="1127" t="str">
        <f>IF(org=0,"Не определено",org)</f>
        <v>Филиал ПАО "ОГК-2" - Серовская ГРЭС, г. Серов</v>
      </c>
      <c r="T25" s="1127"/>
      <c r="U25" s="1127"/>
      <c r="V25" s="1127"/>
      <c r="W25" s="1127"/>
      <c r="X25" s="1127"/>
      <c r="Y25" s="1127"/>
      <c r="Z25" s="1127"/>
      <c r="AA25" s="1127"/>
      <c r="AB25" s="1127"/>
      <c r="AC25" s="1127"/>
      <c r="AD25" s="1127"/>
      <c r="AE25" s="1127"/>
      <c r="AF25" s="1127"/>
      <c r="AG25" s="1127"/>
      <c r="AH25" s="1127"/>
      <c r="AI25" s="201"/>
    </row>
    <row r="26" spans="1:42" ht="14.25" customHeight="1">
      <c r="Q26" s="437"/>
      <c r="R26" s="437"/>
      <c r="S26" s="438"/>
      <c r="T26" s="83"/>
      <c r="U26" s="83"/>
      <c r="V26" s="439"/>
      <c r="W26" s="439"/>
      <c r="X26" s="439"/>
      <c r="Y26" s="439"/>
      <c r="Z26" s="439"/>
      <c r="AA26" s="439"/>
      <c r="AB26" s="439"/>
      <c r="AC26" s="439"/>
      <c r="AD26" s="439"/>
      <c r="AE26" s="439"/>
      <c r="AF26" s="439"/>
      <c r="AG26" s="439"/>
      <c r="AH26" s="439"/>
      <c r="AI26" s="439"/>
    </row>
    <row r="27" spans="1:42" s="174" customFormat="1" ht="25.5" customHeight="1">
      <c r="A27" s="142"/>
      <c r="B27" s="142"/>
      <c r="C27" s="142"/>
      <c r="D27" s="142"/>
      <c r="E27" s="142"/>
      <c r="F27" s="142"/>
      <c r="G27" s="142"/>
      <c r="H27" s="142"/>
      <c r="I27" s="142"/>
      <c r="J27" s="142"/>
      <c r="K27" s="142"/>
      <c r="L27" s="391"/>
      <c r="M27" s="142"/>
      <c r="N27" s="142"/>
      <c r="O27" s="142"/>
      <c r="S27" s="1162" t="s">
        <v>37</v>
      </c>
      <c r="T27" s="1162"/>
      <c r="U27" s="441"/>
      <c r="V27" s="1163" t="str">
        <f>IF(TITLE_NAME_OR_PR_CHANGE="",IF(TITLE_NAME_OR_PR="","",TITLE_NAME_OR_PR),TITLE_NAME_OR_PR_CHANGE)</f>
        <v>Региональная энергетическая комиссия Свердловской области</v>
      </c>
      <c r="W27" s="1163"/>
      <c r="X27" s="1163"/>
      <c r="Y27" s="1163"/>
      <c r="Z27" s="1163"/>
      <c r="AA27" s="1163"/>
      <c r="AB27" s="46"/>
      <c r="AC27" s="1163" t="str">
        <f>IF(TITLE_NAME_OR_PR_CHANGE="",IF(TITLE_NAME_OR_PR="","",TITLE_NAME_OR_PR),TITLE_NAME_OR_PR_CHANGE)</f>
        <v>Региональная энергетическая комиссия Свердловской области</v>
      </c>
      <c r="AD27" s="1163"/>
      <c r="AE27" s="1163"/>
      <c r="AF27" s="1163"/>
      <c r="AG27" s="1163"/>
      <c r="AH27" s="1163"/>
      <c r="AI27" s="46"/>
      <c r="AJ27" s="46"/>
      <c r="AK27" s="442"/>
      <c r="AL27" s="121"/>
      <c r="AM27" s="121"/>
      <c r="AN27" s="121"/>
      <c r="AO27" s="121"/>
      <c r="AP27" s="121"/>
    </row>
    <row r="28" spans="1:42" s="174" customFormat="1" ht="18.75" customHeight="1">
      <c r="A28" s="142"/>
      <c r="B28" s="142"/>
      <c r="C28" s="142"/>
      <c r="D28" s="142"/>
      <c r="E28" s="142"/>
      <c r="F28" s="142"/>
      <c r="G28" s="142"/>
      <c r="H28" s="142"/>
      <c r="I28" s="142"/>
      <c r="J28" s="142"/>
      <c r="K28" s="142"/>
      <c r="L28" s="391"/>
      <c r="M28" s="142"/>
      <c r="N28" s="142"/>
      <c r="O28" s="142"/>
      <c r="S28" s="1162" t="s">
        <v>410</v>
      </c>
      <c r="T28" s="1162"/>
      <c r="U28" s="441"/>
      <c r="V28" s="1164">
        <f>IF(TITLE_DATE_PR_CHANGE="",IF(TITLE_DATE_PR="","",TITLE_DATE_PR),TITLE_DATE_PR_CHANGE)</f>
        <v>45266.462974536997</v>
      </c>
      <c r="W28" s="1164"/>
      <c r="X28" s="1164"/>
      <c r="Y28" s="1164"/>
      <c r="Z28" s="1164"/>
      <c r="AA28" s="1164"/>
      <c r="AB28" s="46"/>
      <c r="AC28" s="1164">
        <f>IF(TITLE_DATE_PR_CHANGE="",IF(TITLE_DATE_PR="","",TITLE_DATE_PR),TITLE_DATE_PR_CHANGE)</f>
        <v>45266.462974536997</v>
      </c>
      <c r="AD28" s="1164"/>
      <c r="AE28" s="1164"/>
      <c r="AF28" s="1164"/>
      <c r="AG28" s="1164"/>
      <c r="AH28" s="1164"/>
      <c r="AI28" s="46"/>
      <c r="AJ28" s="46"/>
      <c r="AK28" s="442"/>
      <c r="AL28" s="121"/>
      <c r="AM28" s="121"/>
      <c r="AN28" s="121"/>
      <c r="AO28" s="121"/>
      <c r="AP28" s="121"/>
    </row>
    <row r="29" spans="1:42" s="174" customFormat="1" ht="18.75" customHeight="1">
      <c r="A29" s="142"/>
      <c r="B29" s="142"/>
      <c r="C29" s="142"/>
      <c r="D29" s="142"/>
      <c r="E29" s="142"/>
      <c r="F29" s="142"/>
      <c r="G29" s="142"/>
      <c r="H29" s="142"/>
      <c r="I29" s="142"/>
      <c r="J29" s="142"/>
      <c r="K29" s="142"/>
      <c r="L29" s="391"/>
      <c r="M29" s="142"/>
      <c r="N29" s="142"/>
      <c r="O29" s="142"/>
      <c r="S29" s="1162" t="s">
        <v>411</v>
      </c>
      <c r="T29" s="1162"/>
      <c r="U29" s="441"/>
      <c r="V29" s="1163" t="str">
        <f>IF(TITLE_NUMBER_PR_CHANGE="",IF(TITLE_NUMBER_PR="","",TITLE_NUMBER_PR),TITLE_NUMBER_PR_CHANGE)</f>
        <v>216-ПК</v>
      </c>
      <c r="W29" s="1163"/>
      <c r="X29" s="1163"/>
      <c r="Y29" s="1163"/>
      <c r="Z29" s="1163"/>
      <c r="AA29" s="1163"/>
      <c r="AB29" s="46"/>
      <c r="AC29" s="1163" t="str">
        <f>IF(TITLE_NUMBER_PR_CHANGE="",IF(TITLE_NUMBER_PR="","",TITLE_NUMBER_PR),TITLE_NUMBER_PR_CHANGE)</f>
        <v>216-ПК</v>
      </c>
      <c r="AD29" s="1163"/>
      <c r="AE29" s="1163"/>
      <c r="AF29" s="1163"/>
      <c r="AG29" s="1163"/>
      <c r="AH29" s="1163"/>
      <c r="AI29" s="46"/>
      <c r="AJ29" s="46"/>
      <c r="AK29" s="442"/>
      <c r="AL29" s="121"/>
      <c r="AM29" s="121"/>
      <c r="AN29" s="121"/>
      <c r="AO29" s="121"/>
      <c r="AP29" s="121"/>
    </row>
    <row r="30" spans="1:42" s="174" customFormat="1" ht="18.75" customHeight="1">
      <c r="A30" s="142"/>
      <c r="B30" s="142"/>
      <c r="C30" s="142"/>
      <c r="D30" s="142"/>
      <c r="E30" s="142"/>
      <c r="F30" s="142"/>
      <c r="G30" s="142"/>
      <c r="H30" s="142"/>
      <c r="I30" s="142"/>
      <c r="J30" s="142"/>
      <c r="K30" s="142"/>
      <c r="L30" s="391"/>
      <c r="M30" s="142"/>
      <c r="N30" s="142"/>
      <c r="O30" s="142"/>
      <c r="S30" s="1162" t="s">
        <v>39</v>
      </c>
      <c r="T30" s="1162"/>
      <c r="U30" s="441"/>
      <c r="V30" s="1163" t="str">
        <f>IF(TITLE_IST_PUB_CHANGE="",IF(TITLE_IST_PUB="","",TITLE_IST_PUB),TITLE_IST_PUB_CHANGE)</f>
        <v>Региональная энергетическая комиссия Свердловской области</v>
      </c>
      <c r="W30" s="1163"/>
      <c r="X30" s="1163"/>
      <c r="Y30" s="1163"/>
      <c r="Z30" s="1163"/>
      <c r="AA30" s="1163"/>
      <c r="AB30" s="46"/>
      <c r="AC30" s="1163" t="str">
        <f>IF(TITLE_IST_PUB_CHANGE="",IF(TITLE_IST_PUB="","",TITLE_IST_PUB),TITLE_IST_PUB_CHANGE)</f>
        <v>Региональная энергетическая комиссия Свердловской области</v>
      </c>
      <c r="AD30" s="1163"/>
      <c r="AE30" s="1163"/>
      <c r="AF30" s="1163"/>
      <c r="AG30" s="1163"/>
      <c r="AH30" s="1163"/>
      <c r="AI30" s="46"/>
      <c r="AJ30" s="46"/>
      <c r="AK30" s="442"/>
      <c r="AL30" s="121"/>
      <c r="AM30" s="121"/>
      <c r="AN30" s="121"/>
      <c r="AO30" s="121"/>
      <c r="AP30" s="121"/>
    </row>
    <row r="31" spans="1:42" ht="14.25" hidden="1" customHeight="1">
      <c r="Q31" s="437"/>
      <c r="R31" s="437"/>
      <c r="S31" s="438"/>
      <c r="T31" s="83"/>
      <c r="U31" s="83"/>
      <c r="V31" s="439"/>
      <c r="W31" s="439"/>
      <c r="X31" s="439"/>
      <c r="Y31" s="439"/>
      <c r="Z31" s="439"/>
      <c r="AA31" s="439"/>
      <c r="AB31" s="439"/>
      <c r="AC31" s="439"/>
      <c r="AD31" s="439"/>
      <c r="AE31" s="439"/>
      <c r="AF31" s="439"/>
      <c r="AG31" s="439"/>
      <c r="AH31" s="439"/>
      <c r="AI31" s="439"/>
    </row>
    <row r="32" spans="1:42" s="174" customFormat="1" ht="18.75" hidden="1" customHeight="1">
      <c r="A32" s="142"/>
      <c r="B32" s="142"/>
      <c r="C32" s="142"/>
      <c r="D32" s="142"/>
      <c r="E32" s="142"/>
      <c r="F32" s="142"/>
      <c r="G32" s="142"/>
      <c r="H32" s="142"/>
      <c r="I32" s="142"/>
      <c r="J32" s="142"/>
      <c r="K32" s="142"/>
      <c r="L32" s="391"/>
      <c r="M32" s="142"/>
      <c r="N32" s="142"/>
      <c r="O32" s="142"/>
      <c r="S32" s="1162" t="s">
        <v>412</v>
      </c>
      <c r="T32" s="1162"/>
      <c r="U32" s="441"/>
      <c r="V32" s="1164">
        <f>IF(TITLE_DATE_PR_CHANGE="",IF(TITLE_DATE_PR="","",TITLE_DATE_PR),TITLE_DATE_PR_CHANGE)</f>
        <v>45266.462974536997</v>
      </c>
      <c r="W32" s="1164"/>
      <c r="X32" s="1164"/>
      <c r="Y32" s="1164"/>
      <c r="Z32" s="1164"/>
      <c r="AA32" s="1164"/>
      <c r="AB32" s="46"/>
      <c r="AC32" s="1164">
        <f>IF(TITLE_DATE_PR_CHANGE="",IF(TITLE_DATE_PR="","",TITLE_DATE_PR),TITLE_DATE_PR_CHANGE)</f>
        <v>45266.462974536997</v>
      </c>
      <c r="AD32" s="1164"/>
      <c r="AE32" s="1164"/>
      <c r="AF32" s="1164"/>
      <c r="AG32" s="1164"/>
      <c r="AH32" s="1164"/>
      <c r="AI32" s="46"/>
      <c r="AJ32" s="46"/>
      <c r="AK32" s="442"/>
      <c r="AL32" s="121"/>
      <c r="AM32" s="121"/>
      <c r="AN32" s="121"/>
      <c r="AO32" s="121"/>
      <c r="AP32" s="121"/>
    </row>
    <row r="33" spans="1:42" s="174" customFormat="1" ht="18.75" hidden="1" customHeight="1">
      <c r="A33" s="142"/>
      <c r="B33" s="142"/>
      <c r="C33" s="142"/>
      <c r="D33" s="142"/>
      <c r="E33" s="142"/>
      <c r="F33" s="142"/>
      <c r="G33" s="142"/>
      <c r="H33" s="142"/>
      <c r="I33" s="142"/>
      <c r="J33" s="142"/>
      <c r="K33" s="142"/>
      <c r="L33" s="391"/>
      <c r="M33" s="142"/>
      <c r="N33" s="142"/>
      <c r="O33" s="142"/>
      <c r="S33" s="1162" t="s">
        <v>413</v>
      </c>
      <c r="T33" s="1162"/>
      <c r="U33" s="441"/>
      <c r="V33" s="1163" t="str">
        <f>IF(TITLE_NUMBER_PR_CHANGE="",IF(TITLE_NUMBER_PR="","",TITLE_NUMBER_PR),TITLE_NUMBER_PR_CHANGE)</f>
        <v>216-ПК</v>
      </c>
      <c r="W33" s="1163"/>
      <c r="X33" s="1163"/>
      <c r="Y33" s="1163"/>
      <c r="Z33" s="1163"/>
      <c r="AA33" s="1163"/>
      <c r="AB33" s="46"/>
      <c r="AC33" s="1163" t="str">
        <f>IF(TITLE_NUMBER_PR_CHANGE="",IF(TITLE_NUMBER_PR="","",TITLE_NUMBER_PR),TITLE_NUMBER_PR_CHANGE)</f>
        <v>216-ПК</v>
      </c>
      <c r="AD33" s="1163"/>
      <c r="AE33" s="1163"/>
      <c r="AF33" s="1163"/>
      <c r="AG33" s="1163"/>
      <c r="AH33" s="1163"/>
      <c r="AI33" s="46"/>
      <c r="AJ33" s="46"/>
      <c r="AK33" s="442"/>
      <c r="AL33" s="121"/>
      <c r="AM33" s="121"/>
      <c r="AN33" s="121"/>
      <c r="AO33" s="121"/>
      <c r="AP33" s="121"/>
    </row>
    <row r="34" spans="1:42" s="174" customFormat="1" ht="0.75" customHeight="1">
      <c r="A34" s="142"/>
      <c r="B34" s="142"/>
      <c r="C34" s="142"/>
      <c r="D34" s="142"/>
      <c r="E34" s="142"/>
      <c r="F34" s="142"/>
      <c r="G34" s="142"/>
      <c r="H34" s="142"/>
      <c r="I34" s="142"/>
      <c r="J34" s="142"/>
      <c r="K34" s="142"/>
      <c r="L34" s="391"/>
      <c r="M34" s="142"/>
      <c r="N34" s="142"/>
      <c r="O34" s="142"/>
      <c r="S34" s="46"/>
      <c r="T34" s="46"/>
      <c r="U34" s="131"/>
      <c r="V34" s="46"/>
      <c r="W34" s="46"/>
      <c r="X34" s="46"/>
      <c r="Y34" s="46"/>
      <c r="Z34" s="46"/>
      <c r="AA34" s="46"/>
      <c r="AB34" s="53" t="s">
        <v>414</v>
      </c>
      <c r="AC34" s="46"/>
      <c r="AD34" s="46"/>
      <c r="AE34" s="46"/>
      <c r="AF34" s="46"/>
      <c r="AG34" s="46"/>
      <c r="AH34" s="46"/>
      <c r="AI34" s="53" t="s">
        <v>414</v>
      </c>
      <c r="AL34" s="121"/>
      <c r="AM34" s="121"/>
      <c r="AN34" s="121"/>
      <c r="AO34" s="121"/>
      <c r="AP34" s="121"/>
    </row>
    <row r="35" spans="1:42" ht="14.25" customHeight="1">
      <c r="Q35" s="437"/>
      <c r="R35" s="437"/>
      <c r="S35" s="438"/>
      <c r="T35" s="83"/>
      <c r="U35" s="443"/>
      <c r="V35" s="1165"/>
      <c r="W35" s="1165"/>
      <c r="X35" s="1165"/>
      <c r="Y35" s="1165"/>
      <c r="Z35" s="1165"/>
      <c r="AA35" s="1165"/>
      <c r="AB35" s="1165"/>
      <c r="AC35" s="1165"/>
      <c r="AD35" s="1165"/>
      <c r="AE35" s="1165"/>
      <c r="AF35" s="1165"/>
      <c r="AG35" s="1165"/>
      <c r="AH35" s="1165"/>
      <c r="AI35" s="1165"/>
    </row>
    <row r="36" spans="1:42" ht="14.25" customHeight="1">
      <c r="Q36" s="437"/>
      <c r="R36" s="437"/>
      <c r="S36" s="1087" t="s">
        <v>287</v>
      </c>
      <c r="T36" s="1087"/>
      <c r="U36" s="1087"/>
      <c r="V36" s="1087"/>
      <c r="W36" s="1087"/>
      <c r="X36" s="1087"/>
      <c r="Y36" s="1087"/>
      <c r="Z36" s="1087"/>
      <c r="AA36" s="1087"/>
      <c r="AB36" s="1087"/>
      <c r="AC36" s="1087"/>
      <c r="AD36" s="1087"/>
      <c r="AE36" s="1087"/>
      <c r="AF36" s="1087"/>
      <c r="AG36" s="1087"/>
      <c r="AH36" s="1087"/>
      <c r="AI36" s="1087"/>
      <c r="AJ36" s="1087"/>
      <c r="AK36" s="1087" t="s">
        <v>288</v>
      </c>
    </row>
    <row r="37" spans="1:42" ht="14.25" customHeight="1">
      <c r="Q37" s="437"/>
      <c r="R37" s="437"/>
      <c r="S37" s="1166" t="s">
        <v>84</v>
      </c>
      <c r="T37" s="1167" t="s">
        <v>415</v>
      </c>
      <c r="U37" s="444"/>
      <c r="V37" s="1140" t="s">
        <v>416</v>
      </c>
      <c r="W37" s="1140"/>
      <c r="X37" s="1140"/>
      <c r="Y37" s="1140"/>
      <c r="Z37" s="1140"/>
      <c r="AA37" s="1140"/>
      <c r="AB37" s="1167" t="s">
        <v>417</v>
      </c>
      <c r="AC37" s="1140" t="s">
        <v>416</v>
      </c>
      <c r="AD37" s="1140"/>
      <c r="AE37" s="1140"/>
      <c r="AF37" s="1140"/>
      <c r="AG37" s="1140"/>
      <c r="AH37" s="1140"/>
      <c r="AI37" s="1167" t="s">
        <v>418</v>
      </c>
      <c r="AJ37" s="1168" t="s">
        <v>419</v>
      </c>
      <c r="AK37" s="1087"/>
    </row>
    <row r="38" spans="1:42" ht="33.75" customHeight="1">
      <c r="Q38" s="437"/>
      <c r="R38" s="437"/>
      <c r="S38" s="1166"/>
      <c r="T38" s="1167"/>
      <c r="U38" s="445"/>
      <c r="V38" s="242" t="s">
        <v>475</v>
      </c>
      <c r="W38" s="1087" t="s">
        <v>422</v>
      </c>
      <c r="X38" s="1087"/>
      <c r="Y38" s="1087" t="s">
        <v>423</v>
      </c>
      <c r="Z38" s="1087"/>
      <c r="AA38" s="1087"/>
      <c r="AB38" s="1167"/>
      <c r="AC38" s="242" t="s">
        <v>475</v>
      </c>
      <c r="AD38" s="1087" t="s">
        <v>422</v>
      </c>
      <c r="AE38" s="1087"/>
      <c r="AF38" s="1087" t="s">
        <v>423</v>
      </c>
      <c r="AG38" s="1087"/>
      <c r="AH38" s="1087"/>
      <c r="AI38" s="1167"/>
      <c r="AJ38" s="1168"/>
      <c r="AK38" s="1087"/>
    </row>
    <row r="39" spans="1:42" ht="33.75" customHeight="1">
      <c r="A39" s="142"/>
      <c r="B39" s="142" t="s">
        <v>131</v>
      </c>
      <c r="C39" s="142" t="s">
        <v>132</v>
      </c>
      <c r="D39" s="142" t="s">
        <v>133</v>
      </c>
      <c r="E39" s="391" t="s">
        <v>424</v>
      </c>
      <c r="F39" s="391" t="s">
        <v>425</v>
      </c>
      <c r="G39" s="391" t="s">
        <v>426</v>
      </c>
      <c r="H39" s="391"/>
      <c r="I39" s="391" t="s">
        <v>476</v>
      </c>
      <c r="J39" s="391" t="s">
        <v>429</v>
      </c>
      <c r="K39" s="391" t="s">
        <v>477</v>
      </c>
      <c r="L39" s="391" t="s">
        <v>405</v>
      </c>
      <c r="Q39" s="437"/>
      <c r="R39" s="437"/>
      <c r="S39" s="1166"/>
      <c r="T39" s="1167"/>
      <c r="U39" s="446"/>
      <c r="V39" s="523" t="s">
        <v>478</v>
      </c>
      <c r="W39" s="203" t="s">
        <v>479</v>
      </c>
      <c r="X39" s="203" t="s">
        <v>480</v>
      </c>
      <c r="Y39" s="203" t="s">
        <v>433</v>
      </c>
      <c r="Z39" s="1108" t="s">
        <v>434</v>
      </c>
      <c r="AA39" s="1108"/>
      <c r="AB39" s="1167"/>
      <c r="AC39" s="523" t="s">
        <v>478</v>
      </c>
      <c r="AD39" s="203" t="s">
        <v>479</v>
      </c>
      <c r="AE39" s="203" t="s">
        <v>480</v>
      </c>
      <c r="AF39" s="203" t="s">
        <v>433</v>
      </c>
      <c r="AG39" s="1108" t="s">
        <v>434</v>
      </c>
      <c r="AH39" s="1108"/>
      <c r="AI39" s="1167"/>
      <c r="AJ39" s="1168"/>
      <c r="AK39" s="1087"/>
    </row>
    <row r="40" spans="1:42" s="123" customFormat="1" ht="11.25">
      <c r="A40" s="142"/>
      <c r="B40" s="142"/>
      <c r="C40" s="142"/>
      <c r="D40" s="142"/>
      <c r="E40" s="142"/>
      <c r="F40" s="142"/>
      <c r="G40" s="142"/>
      <c r="H40" s="142"/>
      <c r="I40" s="142"/>
      <c r="J40" s="142"/>
      <c r="K40" s="142"/>
      <c r="L40" s="391"/>
      <c r="M40" s="57"/>
      <c r="N40" s="57"/>
      <c r="O40" s="57"/>
      <c r="P40" s="447"/>
      <c r="Q40" s="448"/>
      <c r="R40" s="449">
        <v>1</v>
      </c>
      <c r="S40" s="450" t="s">
        <v>105</v>
      </c>
      <c r="T40" s="451" t="s">
        <v>106</v>
      </c>
      <c r="U40" s="452" t="str">
        <f ca="1">OFFSET(U40,0,-1)</f>
        <v>2</v>
      </c>
      <c r="V40" s="453">
        <f ca="1">OFFSET(V40,0,-1)+1</f>
        <v>3</v>
      </c>
      <c r="W40" s="453">
        <f ca="1">OFFSET(W40,0,-1)+1</f>
        <v>4</v>
      </c>
      <c r="X40" s="453">
        <f ca="1">OFFSET(X40,0,-1)+1</f>
        <v>5</v>
      </c>
      <c r="Y40" s="453">
        <f ca="1">OFFSET(Y40,0,-1)+1</f>
        <v>6</v>
      </c>
      <c r="Z40" s="1170">
        <f ca="1">OFFSET(Z40,0,-1)+1</f>
        <v>7</v>
      </c>
      <c r="AA40" s="1170"/>
      <c r="AB40" s="453">
        <f ca="1">OFFSET(AB40,0,-2)+1</f>
        <v>8</v>
      </c>
      <c r="AC40" s="453">
        <f ca="1">OFFSET(AC40,0,-1)+1</f>
        <v>9</v>
      </c>
      <c r="AD40" s="453">
        <f ca="1">OFFSET(AD40,0,-1)+1</f>
        <v>10</v>
      </c>
      <c r="AE40" s="453">
        <f ca="1">OFFSET(AE40,0,-1)+1</f>
        <v>11</v>
      </c>
      <c r="AF40" s="453">
        <f ca="1">OFFSET(AF40,0,-1)+1</f>
        <v>12</v>
      </c>
      <c r="AG40" s="1170">
        <f ca="1">OFFSET(AG40,0,-1)+1</f>
        <v>13</v>
      </c>
      <c r="AH40" s="1170"/>
      <c r="AI40" s="453">
        <f ca="1">OFFSET(AI40,0,-2)+1</f>
        <v>14</v>
      </c>
      <c r="AJ40" s="452">
        <f ca="1">OFFSET(AJ40,0,-1)</f>
        <v>14</v>
      </c>
      <c r="AK40" s="453">
        <f ca="1">OFFSET(AK40,0,-1)+1</f>
        <v>15</v>
      </c>
      <c r="AL40" s="53"/>
      <c r="AM40" s="53"/>
      <c r="AN40" s="53"/>
      <c r="AO40" s="53"/>
      <c r="AP40" s="53"/>
    </row>
    <row r="41" spans="1:42" ht="23.25" customHeight="1">
      <c r="A41" s="390" t="s">
        <v>223</v>
      </c>
      <c r="B41" s="390"/>
      <c r="C41" s="390"/>
      <c r="D41" s="390"/>
      <c r="E41" s="1153">
        <v>1</v>
      </c>
      <c r="F41" s="390"/>
      <c r="G41" s="390"/>
      <c r="H41" s="390"/>
      <c r="I41" s="390"/>
      <c r="J41" s="390"/>
      <c r="K41" s="390"/>
      <c r="L41" s="391"/>
      <c r="M41" s="392"/>
      <c r="N41" s="392"/>
      <c r="O41" s="392"/>
      <c r="Q41" s="134"/>
      <c r="R41" s="393"/>
      <c r="S41" s="394">
        <f>INDEX(PT_DIFFERENTIATION_NUM_NTAR,MATCH(A41,PT_DIFFERENTIATION_NTAR_ID,0))</f>
        <v>0</v>
      </c>
      <c r="T41" s="395" t="s">
        <v>119</v>
      </c>
      <c r="U41" s="396"/>
      <c r="V41" s="1154"/>
      <c r="W41" s="1154"/>
      <c r="X41" s="1154"/>
      <c r="Y41" s="1154"/>
      <c r="Z41" s="1154"/>
      <c r="AA41" s="1154"/>
      <c r="AB41" s="1154"/>
      <c r="AC41" s="1154" t="str">
        <f>INDEX(PT_DIFFERENTIATION_NTAR,MATCH(A41,PT_DIFFERENTIATION_NTAR_ID,0))</f>
        <v/>
      </c>
      <c r="AD41" s="1154"/>
      <c r="AE41" s="1154"/>
      <c r="AF41" s="1154"/>
      <c r="AG41" s="1154"/>
      <c r="AH41" s="1154"/>
      <c r="AI41" s="1154"/>
      <c r="AJ41" s="1154"/>
      <c r="AK41"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t="shared" ref="AN41:AN53" si="1">IF(T41="","",T41)</f>
        <v>Наименование тарифа</v>
      </c>
      <c r="AO41" s="121"/>
      <c r="AP41" s="121"/>
    </row>
    <row r="42" spans="1:42" ht="23.25" customHeight="1">
      <c r="A42" s="390" t="s">
        <v>223</v>
      </c>
      <c r="B42" s="390" t="s">
        <v>224</v>
      </c>
      <c r="C42" s="390"/>
      <c r="D42" s="390"/>
      <c r="E42" s="1153"/>
      <c r="F42" s="1153">
        <v>1</v>
      </c>
      <c r="G42" s="390"/>
      <c r="H42" s="390"/>
      <c r="I42" s="390"/>
      <c r="J42" s="390"/>
      <c r="K42" s="390"/>
      <c r="L42" s="391"/>
      <c r="M42" s="392"/>
      <c r="N42" s="392"/>
      <c r="O42" s="392"/>
      <c r="P42" s="47"/>
      <c r="Q42" s="398"/>
      <c r="R42" s="399"/>
      <c r="S42" s="394" t="str">
        <f>INDEX(PT_DIFFERENTIATION_NUM_TER,MATCH(B42,PT_DIFFERENTIATION_TER_ID,0))</f>
        <v>.</v>
      </c>
      <c r="T42" s="400" t="s">
        <v>386</v>
      </c>
      <c r="U42" s="396"/>
      <c r="V42" s="1154"/>
      <c r="W42" s="1154"/>
      <c r="X42" s="1154"/>
      <c r="Y42" s="1154"/>
      <c r="Z42" s="1154"/>
      <c r="AA42" s="1154"/>
      <c r="AB42" s="1154"/>
      <c r="AC42" s="1154" t="str">
        <f>INDEX(PT_DIFFERENTIATION_TER,MATCH(B42,PT_DIFFERENTIATION_TER_ID,0))</f>
        <v/>
      </c>
      <c r="AD42" s="1154"/>
      <c r="AE42" s="1154"/>
      <c r="AF42" s="1154"/>
      <c r="AG42" s="1154"/>
      <c r="AH42" s="1154"/>
      <c r="AI42" s="1154"/>
      <c r="AJ42" s="1154"/>
      <c r="AK42" s="397" t="s">
        <v>387</v>
      </c>
      <c r="AM42" s="121"/>
      <c r="AN42" s="121" t="str">
        <f t="shared" si="1"/>
        <v>Территория действия тарифа</v>
      </c>
      <c r="AO42" s="121"/>
      <c r="AP42" s="121"/>
    </row>
    <row r="43" spans="1:42" ht="23.25" customHeight="1">
      <c r="A43" s="390" t="s">
        <v>223</v>
      </c>
      <c r="B43" s="390" t="s">
        <v>224</v>
      </c>
      <c r="C43" s="390" t="s">
        <v>225</v>
      </c>
      <c r="D43" s="390"/>
      <c r="E43" s="1153"/>
      <c r="F43" s="1153"/>
      <c r="G43" s="1153">
        <v>1</v>
      </c>
      <c r="H43" s="390"/>
      <c r="I43" s="390"/>
      <c r="J43" s="390"/>
      <c r="K43" s="390"/>
      <c r="L43" s="391"/>
      <c r="M43" s="392"/>
      <c r="N43" s="392"/>
      <c r="O43" s="392"/>
      <c r="P43" s="401"/>
      <c r="Q43" s="398"/>
      <c r="R43" s="399"/>
      <c r="S43" s="394" t="str">
        <f>INDEX(PT_DIFFERENTIATION_NUM_CS,MATCH(C43,PT_DIFFERENTIATION_CS_ID,0))</f>
        <v>..</v>
      </c>
      <c r="T43" s="402" t="s">
        <v>467</v>
      </c>
      <c r="U43" s="396"/>
      <c r="V43" s="1154"/>
      <c r="W43" s="1154"/>
      <c r="X43" s="1154"/>
      <c r="Y43" s="1154"/>
      <c r="Z43" s="1154"/>
      <c r="AA43" s="1154"/>
      <c r="AB43" s="1154"/>
      <c r="AC43" s="1154" t="str">
        <f>INDEX(PT_DIFFERENTIATION_CS,MATCH(C43,PT_DIFFERENTIATION_CS_ID,0))</f>
        <v/>
      </c>
      <c r="AD43" s="1154"/>
      <c r="AE43" s="1154"/>
      <c r="AF43" s="1154"/>
      <c r="AG43" s="1154"/>
      <c r="AH43" s="1154"/>
      <c r="AI43" s="1154"/>
      <c r="AJ43" s="1154"/>
      <c r="AK43" s="397" t="s">
        <v>468</v>
      </c>
      <c r="AM43" s="121"/>
      <c r="AN43" s="121" t="str">
        <f t="shared" si="1"/>
        <v>Наименование централизованной системы холодного водоснабжения</v>
      </c>
      <c r="AO43" s="121"/>
      <c r="AP43" s="121"/>
    </row>
    <row r="44" spans="1:42" ht="23.25" customHeight="1">
      <c r="A44" s="390" t="s">
        <v>223</v>
      </c>
      <c r="B44" s="390" t="s">
        <v>224</v>
      </c>
      <c r="C44" s="390" t="s">
        <v>225</v>
      </c>
      <c r="D44" s="390" t="s">
        <v>484</v>
      </c>
      <c r="E44" s="1153"/>
      <c r="F44" s="1153"/>
      <c r="G44" s="1153"/>
      <c r="H44" s="1189"/>
      <c r="I44" s="1155" t="str">
        <f>S43&amp;".1"</f>
        <v>...1</v>
      </c>
      <c r="J44" s="390"/>
      <c r="K44" s="390"/>
      <c r="L44" s="391"/>
      <c r="P44" s="1156">
        <v>1</v>
      </c>
      <c r="Q44" s="124"/>
      <c r="R44" s="405"/>
      <c r="S44" s="394" t="str">
        <f>$I44</f>
        <v>...1</v>
      </c>
      <c r="T44" s="406" t="s">
        <v>469</v>
      </c>
      <c r="U44" s="396"/>
      <c r="V44" s="1190"/>
      <c r="W44" s="1190"/>
      <c r="X44" s="1190"/>
      <c r="Y44" s="1190"/>
      <c r="Z44" s="1190"/>
      <c r="AA44" s="1190"/>
      <c r="AB44" s="1190"/>
      <c r="AC44" s="1123"/>
      <c r="AD44" s="1123"/>
      <c r="AE44" s="1123"/>
      <c r="AF44" s="1123"/>
      <c r="AG44" s="1123"/>
      <c r="AH44" s="1123"/>
      <c r="AI44" s="1123"/>
      <c r="AJ44" s="1123"/>
      <c r="AK44" s="397" t="s">
        <v>470</v>
      </c>
      <c r="AM44" s="121"/>
      <c r="AN44" s="121" t="str">
        <f t="shared" si="1"/>
        <v>Наименование признака дифференциации</v>
      </c>
      <c r="AO44" s="121"/>
      <c r="AP44" s="121"/>
    </row>
    <row r="45" spans="1:42" ht="23.25" customHeight="1">
      <c r="A45" s="390" t="s">
        <v>223</v>
      </c>
      <c r="B45" s="390" t="s">
        <v>224</v>
      </c>
      <c r="C45" s="390" t="s">
        <v>225</v>
      </c>
      <c r="D45" s="390" t="s">
        <v>484</v>
      </c>
      <c r="E45" s="1153"/>
      <c r="F45" s="1153"/>
      <c r="G45" s="1153"/>
      <c r="H45" s="1153"/>
      <c r="I45" s="1155"/>
      <c r="J45" s="1155" t="str">
        <f>I44&amp;".1"</f>
        <v>...1.1</v>
      </c>
      <c r="K45" s="390"/>
      <c r="L45" s="391" t="s">
        <v>395</v>
      </c>
      <c r="P45" s="1156"/>
      <c r="Q45" s="1156">
        <v>1</v>
      </c>
      <c r="R45" s="408"/>
      <c r="S45" s="394" t="str">
        <f>$J45</f>
        <v>...1.1</v>
      </c>
      <c r="T45" s="409" t="s">
        <v>396</v>
      </c>
      <c r="U45" s="396"/>
      <c r="V45" s="1157"/>
      <c r="W45" s="1157"/>
      <c r="X45" s="1157"/>
      <c r="Y45" s="1157"/>
      <c r="Z45" s="1157"/>
      <c r="AA45" s="1157"/>
      <c r="AB45" s="1157"/>
      <c r="AC45" s="1157"/>
      <c r="AD45" s="1157"/>
      <c r="AE45" s="1157"/>
      <c r="AF45" s="1157"/>
      <c r="AG45" s="1157"/>
      <c r="AH45" s="1157"/>
      <c r="AI45" s="1157"/>
      <c r="AJ45" s="1157"/>
      <c r="AK45" s="471" t="s">
        <v>471</v>
      </c>
      <c r="AM45" s="121"/>
      <c r="AN45" s="121" t="str">
        <f t="shared" si="1"/>
        <v>Группа потребителей</v>
      </c>
      <c r="AO45" s="121"/>
      <c r="AP45" s="121"/>
    </row>
    <row r="46" spans="1:42" ht="23.25" customHeight="1">
      <c r="A46" s="390" t="s">
        <v>223</v>
      </c>
      <c r="B46" s="390" t="s">
        <v>224</v>
      </c>
      <c r="C46" s="390" t="s">
        <v>225</v>
      </c>
      <c r="D46" s="390" t="s">
        <v>484</v>
      </c>
      <c r="E46" s="1153"/>
      <c r="F46" s="1153"/>
      <c r="G46" s="1153"/>
      <c r="H46" s="1153"/>
      <c r="I46" s="1155"/>
      <c r="J46" s="1155"/>
      <c r="K46" s="1155" t="str">
        <f>J45&amp;".1"</f>
        <v>...1.1.1</v>
      </c>
      <c r="L46" s="391"/>
      <c r="P46" s="1156"/>
      <c r="Q46" s="1156"/>
      <c r="R46" s="408">
        <v>1</v>
      </c>
      <c r="S46" s="394" t="str">
        <f>$K46</f>
        <v>...1.1.1</v>
      </c>
      <c r="T46" s="517"/>
      <c r="U46" s="396"/>
      <c r="V46" s="411"/>
      <c r="W46" s="411"/>
      <c r="X46" s="413"/>
      <c r="Y46" s="1158"/>
      <c r="Z46" s="1105" t="s">
        <v>63</v>
      </c>
      <c r="AA46" s="1158"/>
      <c r="AB46" s="1105" t="s">
        <v>63</v>
      </c>
      <c r="AC46" s="411"/>
      <c r="AD46" s="411"/>
      <c r="AE46" s="413"/>
      <c r="AF46" s="1158"/>
      <c r="AG46" s="1105" t="s">
        <v>63</v>
      </c>
      <c r="AH46" s="1158"/>
      <c r="AI46" s="1105" t="s">
        <v>63</v>
      </c>
      <c r="AJ46" s="518"/>
      <c r="AK46"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 t="e">
        <f ca="1">strcheckdate(V47:AJ47)</f>
        <v>#NAME?</v>
      </c>
      <c r="AM46" s="121"/>
      <c r="AN46" s="121" t="str">
        <f t="shared" si="1"/>
        <v/>
      </c>
      <c r="AO46" s="121"/>
      <c r="AP46" s="121"/>
    </row>
    <row r="47" spans="1:42" ht="11.25">
      <c r="A47" s="390" t="s">
        <v>223</v>
      </c>
      <c r="B47" s="390" t="s">
        <v>224</v>
      </c>
      <c r="C47" s="390" t="s">
        <v>225</v>
      </c>
      <c r="D47" s="390" t="s">
        <v>484</v>
      </c>
      <c r="E47" s="1153"/>
      <c r="F47" s="1153"/>
      <c r="G47" s="1153"/>
      <c r="H47" s="1153"/>
      <c r="I47" s="1155"/>
      <c r="J47" s="1155"/>
      <c r="K47" s="1155"/>
      <c r="L47" s="391"/>
      <c r="P47" s="1156"/>
      <c r="Q47" s="1156"/>
      <c r="R47" s="408"/>
      <c r="S47" s="370"/>
      <c r="T47" s="396"/>
      <c r="U47" s="396"/>
      <c r="V47" s="412"/>
      <c r="W47" s="412"/>
      <c r="X47" s="415" t="str">
        <f>Y46&amp;"-"&amp;AA46</f>
        <v>-</v>
      </c>
      <c r="Y47" s="1158"/>
      <c r="Z47" s="1105"/>
      <c r="AA47" s="1158"/>
      <c r="AB47" s="1105"/>
      <c r="AC47" s="412"/>
      <c r="AD47" s="412"/>
      <c r="AE47" s="415" t="str">
        <f>AF46&amp;"-"&amp;AH46</f>
        <v>-</v>
      </c>
      <c r="AF47" s="1158"/>
      <c r="AG47" s="1105"/>
      <c r="AH47" s="1158"/>
      <c r="AI47" s="1105"/>
      <c r="AJ47" s="519"/>
      <c r="AK47" s="1191"/>
      <c r="AM47" s="121"/>
      <c r="AN47" s="121" t="str">
        <f t="shared" si="1"/>
        <v/>
      </c>
      <c r="AO47" s="121"/>
      <c r="AP47" s="121"/>
    </row>
    <row r="48" spans="1:42" ht="21" customHeight="1">
      <c r="A48" s="390" t="s">
        <v>223</v>
      </c>
      <c r="B48" s="390" t="s">
        <v>224</v>
      </c>
      <c r="C48" s="390" t="s">
        <v>225</v>
      </c>
      <c r="D48" s="390" t="s">
        <v>484</v>
      </c>
      <c r="E48" s="1153"/>
      <c r="F48" s="1153"/>
      <c r="G48" s="1153"/>
      <c r="H48" s="1153"/>
      <c r="I48" s="1155"/>
      <c r="J48" s="1155"/>
      <c r="K48" s="390"/>
      <c r="L48" s="391"/>
      <c r="P48" s="1156"/>
      <c r="Q48" s="1156"/>
      <c r="R48" s="405"/>
      <c r="S48" s="416"/>
      <c r="T48" s="419" t="s">
        <v>472</v>
      </c>
      <c r="U48" s="186"/>
      <c r="V48" s="186"/>
      <c r="W48" s="186"/>
      <c r="X48" s="186"/>
      <c r="Y48" s="186"/>
      <c r="Z48" s="186"/>
      <c r="AA48" s="186"/>
      <c r="AB48" s="186"/>
      <c r="AC48" s="186"/>
      <c r="AD48" s="186"/>
      <c r="AE48" s="186"/>
      <c r="AF48" s="186"/>
      <c r="AG48" s="186"/>
      <c r="AH48" s="186"/>
      <c r="AI48" s="186"/>
      <c r="AJ48" s="186"/>
      <c r="AK48" s="397" t="s">
        <v>473</v>
      </c>
      <c r="AM48" s="121"/>
      <c r="AN48" s="121" t="str">
        <f t="shared" si="1"/>
        <v>Добавить значение признака дифференциации</v>
      </c>
      <c r="AO48" s="121"/>
      <c r="AP48" s="121"/>
    </row>
    <row r="49" spans="1:42" ht="21" customHeight="1">
      <c r="A49" s="390" t="s">
        <v>223</v>
      </c>
      <c r="B49" s="390" t="s">
        <v>224</v>
      </c>
      <c r="C49" s="390" t="s">
        <v>225</v>
      </c>
      <c r="D49" s="390" t="s">
        <v>484</v>
      </c>
      <c r="E49" s="1153"/>
      <c r="F49" s="1153"/>
      <c r="G49" s="1153"/>
      <c r="H49" s="1153"/>
      <c r="I49" s="1155"/>
      <c r="J49" s="390"/>
      <c r="K49" s="390"/>
      <c r="L49" s="391"/>
      <c r="P49" s="1156"/>
      <c r="Q49" s="124"/>
      <c r="R49" s="405"/>
      <c r="S49" s="416"/>
      <c r="T49" s="423" t="s">
        <v>401</v>
      </c>
      <c r="U49" s="186"/>
      <c r="V49" s="186"/>
      <c r="W49" s="186"/>
      <c r="X49" s="186"/>
      <c r="Y49" s="186"/>
      <c r="Z49" s="186"/>
      <c r="AA49" s="186"/>
      <c r="AB49" s="420"/>
      <c r="AC49" s="186"/>
      <c r="AD49" s="186"/>
      <c r="AE49" s="186"/>
      <c r="AF49" s="186"/>
      <c r="AG49" s="186"/>
      <c r="AH49" s="186"/>
      <c r="AI49" s="420"/>
      <c r="AJ49" s="186"/>
      <c r="AK49" s="520"/>
      <c r="AM49" s="121"/>
      <c r="AN49" s="121" t="str">
        <f t="shared" si="1"/>
        <v>Добавить группу потребителей</v>
      </c>
      <c r="AO49" s="121"/>
      <c r="AP49" s="121"/>
    </row>
    <row r="50" spans="1:42" ht="21" customHeight="1">
      <c r="A50" s="390" t="s">
        <v>223</v>
      </c>
      <c r="B50" s="390" t="s">
        <v>224</v>
      </c>
      <c r="C50" s="390" t="s">
        <v>225</v>
      </c>
      <c r="D50" s="390" t="s">
        <v>484</v>
      </c>
      <c r="E50" s="1153"/>
      <c r="F50" s="1153"/>
      <c r="G50" s="1153"/>
      <c r="H50" s="1189"/>
      <c r="I50" s="390"/>
      <c r="J50" s="390"/>
      <c r="K50" s="390"/>
      <c r="L50" s="391"/>
      <c r="M50" s="392"/>
      <c r="N50" s="392"/>
      <c r="O50" s="49"/>
      <c r="P50" s="134"/>
      <c r="Q50" s="422"/>
      <c r="R50" s="393"/>
      <c r="S50" s="416"/>
      <c r="T50" s="521" t="s">
        <v>474</v>
      </c>
      <c r="U50" s="186"/>
      <c r="V50" s="186"/>
      <c r="W50" s="186"/>
      <c r="X50" s="186"/>
      <c r="Y50" s="186"/>
      <c r="Z50" s="186"/>
      <c r="AA50" s="186"/>
      <c r="AB50" s="420"/>
      <c r="AC50" s="186"/>
      <c r="AD50" s="186"/>
      <c r="AE50" s="186"/>
      <c r="AF50" s="186"/>
      <c r="AG50" s="186"/>
      <c r="AH50" s="186"/>
      <c r="AI50" s="420"/>
      <c r="AJ50" s="186"/>
      <c r="AK50" s="421"/>
      <c r="AM50" s="121"/>
      <c r="AN50" s="121" t="str">
        <f t="shared" si="1"/>
        <v>Добавить наименование признака дифференциации</v>
      </c>
      <c r="AO50" s="121"/>
      <c r="AP50" s="121"/>
    </row>
    <row r="51" spans="1:42" s="53" customFormat="1" ht="5.25">
      <c r="A51" s="125" t="s">
        <v>223</v>
      </c>
      <c r="B51" s="125" t="s">
        <v>224</v>
      </c>
      <c r="C51" s="125"/>
      <c r="D51" s="125"/>
      <c r="E51" s="1153"/>
      <c r="F51" s="1153"/>
      <c r="G51" s="125"/>
      <c r="H51" s="125"/>
      <c r="I51" s="125"/>
      <c r="J51" s="125"/>
      <c r="K51" s="125"/>
      <c r="L51" s="184"/>
      <c r="M51" s="428"/>
      <c r="N51" s="428"/>
      <c r="P51" s="158"/>
      <c r="Q51" s="424"/>
      <c r="R51" s="158"/>
      <c r="S51" s="429"/>
      <c r="T51" s="432" t="s">
        <v>253</v>
      </c>
      <c r="U51" s="431"/>
      <c r="V51" s="431"/>
      <c r="W51" s="431"/>
      <c r="X51" s="431"/>
      <c r="Y51" s="431"/>
      <c r="Z51" s="431"/>
      <c r="AA51" s="431"/>
      <c r="AB51" s="431"/>
      <c r="AC51" s="431"/>
      <c r="AD51" s="431"/>
      <c r="AE51" s="431"/>
      <c r="AF51" s="431"/>
      <c r="AG51" s="431"/>
      <c r="AH51" s="431"/>
      <c r="AI51" s="431"/>
      <c r="AJ51" s="431"/>
      <c r="AK51" s="431"/>
      <c r="AM51" s="121"/>
      <c r="AN51" s="121" t="str">
        <f t="shared" si="1"/>
        <v>Добавить централизованную систему для дифференциации</v>
      </c>
      <c r="AO51" s="121"/>
      <c r="AP51" s="121"/>
    </row>
    <row r="52" spans="1:42" s="53" customFormat="1" ht="5.25">
      <c r="A52" s="125" t="s">
        <v>223</v>
      </c>
      <c r="B52" s="125"/>
      <c r="C52" s="125"/>
      <c r="D52" s="125"/>
      <c r="E52" s="1153"/>
      <c r="F52" s="125"/>
      <c r="G52" s="125"/>
      <c r="H52" s="125"/>
      <c r="I52" s="125"/>
      <c r="J52" s="125"/>
      <c r="K52" s="125"/>
      <c r="L52" s="184"/>
      <c r="M52" s="428"/>
      <c r="N52" s="428"/>
      <c r="P52" s="158"/>
      <c r="Q52" s="424"/>
      <c r="R52" s="158"/>
      <c r="S52" s="429"/>
      <c r="T52" s="432" t="s">
        <v>254</v>
      </c>
      <c r="U52" s="431"/>
      <c r="V52" s="431"/>
      <c r="W52" s="431"/>
      <c r="X52" s="431"/>
      <c r="Y52" s="431"/>
      <c r="Z52" s="431"/>
      <c r="AA52" s="431"/>
      <c r="AB52" s="431"/>
      <c r="AC52" s="431"/>
      <c r="AD52" s="431"/>
      <c r="AE52" s="431"/>
      <c r="AF52" s="431"/>
      <c r="AG52" s="431"/>
      <c r="AH52" s="431"/>
      <c r="AI52" s="431"/>
      <c r="AJ52" s="431"/>
      <c r="AK52" s="431"/>
      <c r="AM52" s="121"/>
      <c r="AN52" s="121" t="str">
        <f t="shared" si="1"/>
        <v>Добавить территорию для дифференциации</v>
      </c>
      <c r="AO52" s="121"/>
      <c r="AP52" s="121"/>
    </row>
    <row r="53" spans="1:42" s="53" customFormat="1" ht="5.25">
      <c r="A53" s="125"/>
      <c r="B53" s="125"/>
      <c r="C53" s="125"/>
      <c r="D53" s="125"/>
      <c r="E53" s="125"/>
      <c r="F53" s="125"/>
      <c r="G53" s="125"/>
      <c r="H53" s="125"/>
      <c r="I53" s="125"/>
      <c r="J53" s="125"/>
      <c r="K53" s="125"/>
      <c r="L53" s="184"/>
      <c r="M53" s="428"/>
      <c r="N53" s="428"/>
      <c r="P53" s="158"/>
      <c r="Q53" s="424"/>
      <c r="R53" s="158"/>
      <c r="S53" s="429"/>
      <c r="T53" s="432" t="s">
        <v>255</v>
      </c>
      <c r="U53" s="431"/>
      <c r="V53" s="431"/>
      <c r="W53" s="431"/>
      <c r="X53" s="431"/>
      <c r="Y53" s="431"/>
      <c r="Z53" s="431"/>
      <c r="AA53" s="431"/>
      <c r="AB53" s="431"/>
      <c r="AC53" s="431"/>
      <c r="AD53" s="431"/>
      <c r="AE53" s="431"/>
      <c r="AF53" s="431"/>
      <c r="AG53" s="431"/>
      <c r="AH53" s="431"/>
      <c r="AI53" s="431"/>
      <c r="AJ53" s="431"/>
      <c r="AK53" s="431"/>
      <c r="AM53" s="121"/>
      <c r="AN53" s="121" t="str">
        <f t="shared" si="1"/>
        <v>Добавить наименование тарифа</v>
      </c>
      <c r="AO53" s="121"/>
      <c r="AP53" s="121"/>
    </row>
    <row r="54" spans="1:42" ht="11.25" customHeight="1">
      <c r="M54" s="49"/>
      <c r="N54" s="49"/>
      <c r="O54" s="49"/>
      <c r="P54" s="46"/>
      <c r="Q54" s="46"/>
      <c r="R54" s="46"/>
      <c r="S54" s="46"/>
      <c r="AL54" s="46"/>
      <c r="AM54" s="46"/>
      <c r="AN54" s="46"/>
      <c r="AO54" s="46"/>
      <c r="AP54" s="46"/>
    </row>
    <row r="55" spans="1:42" ht="14.25" customHeight="1">
      <c r="O55" s="49"/>
      <c r="S55" s="387"/>
      <c r="T55" s="1171"/>
      <c r="U55" s="1171"/>
      <c r="V55" s="1171"/>
      <c r="W55" s="1171"/>
      <c r="X55" s="1171"/>
      <c r="Y55" s="1171"/>
      <c r="Z55" s="1171"/>
      <c r="AA55" s="1171"/>
      <c r="AB55" s="1171"/>
      <c r="AC55" s="1171"/>
      <c r="AD55" s="1171"/>
      <c r="AE55" s="1171"/>
      <c r="AF55" s="1171"/>
      <c r="AG55" s="1171"/>
      <c r="AH55" s="1171"/>
      <c r="AI55" s="1171"/>
      <c r="AJ55" s="1171"/>
      <c r="AK55" s="1171"/>
    </row>
    <row r="56" spans="1:42" ht="14.25" customHeight="1">
      <c r="O56" s="49"/>
    </row>
    <row r="57" spans="1:42" ht="14.25" customHeight="1">
      <c r="O57" s="49"/>
      <c r="S57" s="387"/>
      <c r="T57" s="1171"/>
      <c r="U57" s="1171"/>
      <c r="V57" s="1171"/>
      <c r="W57" s="1171"/>
      <c r="X57" s="1171"/>
      <c r="Y57" s="1171"/>
      <c r="Z57" s="1171"/>
      <c r="AA57" s="1171"/>
      <c r="AB57" s="1171"/>
      <c r="AC57" s="1171"/>
      <c r="AD57" s="1171"/>
      <c r="AE57" s="1171"/>
      <c r="AF57" s="1171"/>
      <c r="AG57" s="1171"/>
      <c r="AH57" s="1171"/>
      <c r="AI57" s="1171"/>
      <c r="AJ57" s="1171"/>
      <c r="AK57" s="1171"/>
    </row>
  </sheetData>
  <mergeCells count="101">
    <mergeCell ref="AB46:AB47"/>
    <mergeCell ref="AF46:AF47"/>
    <mergeCell ref="AG46:AG47"/>
    <mergeCell ref="AH46:AH47"/>
    <mergeCell ref="AI46:AI47"/>
    <mergeCell ref="AK46:AK47"/>
    <mergeCell ref="T55:AK55"/>
    <mergeCell ref="T57:AK5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S30:T30"/>
    <mergeCell ref="V30:AA30"/>
    <mergeCell ref="AC30:AH30"/>
    <mergeCell ref="S32:T32"/>
    <mergeCell ref="V32:AA32"/>
    <mergeCell ref="AC32:AH32"/>
    <mergeCell ref="S33:T33"/>
    <mergeCell ref="V33:AA33"/>
    <mergeCell ref="AC33:AH33"/>
    <mergeCell ref="S25:AH25"/>
    <mergeCell ref="S27:T27"/>
    <mergeCell ref="V27:AA27"/>
    <mergeCell ref="AC27:AH27"/>
    <mergeCell ref="S28:T28"/>
    <mergeCell ref="V28:AA28"/>
    <mergeCell ref="AC28:AH28"/>
    <mergeCell ref="S29:T29"/>
    <mergeCell ref="V29:AA29"/>
    <mergeCell ref="AC29:AH29"/>
    <mergeCell ref="AG7:AG8"/>
    <mergeCell ref="AH7:AH8"/>
    <mergeCell ref="AI7:AI8"/>
    <mergeCell ref="AK7:AK8"/>
    <mergeCell ref="AF15:AF16"/>
    <mergeCell ref="AG15:AG16"/>
    <mergeCell ref="AH15:AH16"/>
    <mergeCell ref="AI15:AI16"/>
    <mergeCell ref="S24:AH24"/>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s>
  <dataValidations count="4">
    <dataValidation allowBlank="1" showInputMessage="1" showErrorMessage="1" prompt="Для выбора выполните двойной щелчок левой клавиши мыши по соответствующей ячейке." sqref="Z7 AB7 AG7 AI7 AG15 AI15 Z46 AB46 AG46 AI46">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formula1>0</formula1>
      <formula2>0</formula2>
    </dataValidation>
    <dataValidation type="textLength" operator="lessThanOrEqual" allowBlank="1" showInputMessage="1" showErrorMessage="1" errorTitle="Ошибка" error="Допускается ввод не более 900 символов!" sqref="AC5:AJ5 T7 AC44:AJ44 T46">
      <formula1>900</formula1>
      <formula2>0</formula2>
    </dataValidation>
    <dataValidation allowBlank="1" promptTitle="checkPeriodRange" sqref="X8 AE8 AE16 X47 AE47">
      <formula1>0</formula1>
      <formula2>0</formula2>
    </dataValidation>
  </dataValidations>
  <pageMargins left="0.7" right="0.7" top="0.625" bottom="0.625" header="0.3" footer="0.3"/>
  <pageSetup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BH68"/>
  <sheetViews>
    <sheetView showGridLines="0" topLeftCell="R27" zoomScale="90" zoomScaleNormal="90" workbookViewId="0"/>
  </sheetViews>
  <sheetFormatPr defaultColWidth="10.5703125" defaultRowHeight="14.25"/>
  <cols>
    <col min="1" max="1" width="11.5703125" style="49" hidden="1" customWidth="1"/>
    <col min="2" max="2" width="11" style="49" hidden="1" customWidth="1"/>
    <col min="3" max="3" width="10.5703125" style="49" hidden="1"/>
    <col min="4" max="4" width="12.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2" style="49" hidden="1" customWidth="1"/>
    <col min="10" max="10" width="9.85546875" style="49" hidden="1" customWidth="1"/>
    <col min="11" max="11" width="11.42578125" style="49" hidden="1" customWidth="1"/>
    <col min="12" max="12" width="19.140625" style="107" hidden="1" customWidth="1"/>
    <col min="13" max="14" width="12.28515625" style="57" hidden="1" customWidth="1"/>
    <col min="15" max="15" width="23.42578125" style="57" hidden="1" customWidth="1"/>
    <col min="16" max="16" width="3.7109375" style="57" hidden="1" customWidth="1"/>
    <col min="17" max="17" width="3.7109375" style="436" hidden="1" customWidth="1"/>
    <col min="18" max="18" width="3.7109375" style="389" customWidth="1"/>
    <col min="19" max="19" width="12.7109375" style="254" customWidth="1"/>
    <col min="20" max="20" width="32" style="46" customWidth="1"/>
    <col min="21" max="21" width="0.140625" style="46" customWidth="1"/>
    <col min="22" max="25" width="21.7109375" style="46" hidden="1" customWidth="1"/>
    <col min="26" max="26" width="11.7109375" style="46" hidden="1" customWidth="1"/>
    <col min="27" max="27" width="3.7109375" style="46" hidden="1" customWidth="1"/>
    <col min="28" max="28" width="11.7109375" style="46" hidden="1" customWidth="1"/>
    <col min="29" max="29" width="8.5703125" style="46" hidden="1" customWidth="1"/>
    <col min="30" max="32" width="3.7109375" style="46" customWidth="1"/>
    <col min="33" max="33" width="24.7109375" style="46" customWidth="1"/>
    <col min="34" max="36" width="3.7109375" style="46" customWidth="1"/>
    <col min="37" max="37" width="24.7109375" style="46" customWidth="1"/>
    <col min="38" max="40" width="3.7109375" style="46" customWidth="1"/>
    <col min="41" max="41" width="18.85546875" style="46" customWidth="1"/>
    <col min="42" max="44" width="3.7109375" style="46" customWidth="1"/>
    <col min="45" max="45" width="18.85546875" style="46" customWidth="1"/>
    <col min="46" max="49" width="21.7109375" style="46" customWidth="1"/>
    <col min="50" max="50" width="11.7109375" style="46" customWidth="1"/>
    <col min="51" max="51" width="3.7109375" style="46" customWidth="1"/>
    <col min="52" max="52" width="11.7109375" style="46" customWidth="1"/>
    <col min="53" max="53" width="8.5703125" style="46" hidden="1" customWidth="1"/>
    <col min="54" max="54" width="4.7109375" style="46" customWidth="1"/>
    <col min="55" max="55" width="115.7109375" style="46" customWidth="1"/>
    <col min="56" max="57" width="10.5703125" style="53"/>
    <col min="58" max="58" width="11.140625" style="53" customWidth="1"/>
    <col min="59" max="60" width="10.5703125" style="53"/>
  </cols>
  <sheetData>
    <row r="1" spans="1:60" ht="14.25" hidden="1" customHeight="1"/>
    <row r="2" spans="1:60" ht="21" hidden="1" customHeight="1">
      <c r="A2" s="390"/>
      <c r="B2" s="390"/>
      <c r="C2" s="390"/>
      <c r="D2" s="390"/>
      <c r="E2" s="1153">
        <v>1</v>
      </c>
      <c r="F2" s="390"/>
      <c r="G2" s="390"/>
      <c r="H2" s="390"/>
      <c r="I2" s="390"/>
      <c r="J2" s="390"/>
      <c r="K2" s="390"/>
      <c r="L2" s="391"/>
      <c r="M2" s="392"/>
      <c r="N2" s="392"/>
      <c r="O2" s="392"/>
      <c r="Q2" s="60"/>
      <c r="R2" s="393"/>
      <c r="S2" s="394" t="e">
        <f>INDEX(PT_DIFFERENTIATION_NUM_NTAR,MATCH(A2,PT_DIFFERENTIATION_NTAR_ID,0))</f>
        <v>#N/A</v>
      </c>
      <c r="T2" s="395" t="s">
        <v>119</v>
      </c>
      <c r="U2" s="396"/>
      <c r="V2" s="1177"/>
      <c r="W2" s="1177"/>
      <c r="X2" s="1177"/>
      <c r="Y2" s="1177"/>
      <c r="Z2" s="1177"/>
      <c r="AA2" s="1177"/>
      <c r="AB2" s="1177"/>
      <c r="AC2" s="1177"/>
      <c r="AD2" s="1154" t="e">
        <f>INDEX(PT_DIFFERENTIATION_NTAR,MATCH(A2,PT_DIFFERENTIATION_NTAR_ID,0))</f>
        <v>#N/A</v>
      </c>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1"/>
      <c r="BF2" s="121" t="str">
        <f t="shared" ref="BF2:BF8" si="0">IF(T2="","",T2)</f>
        <v>Наименование тарифа</v>
      </c>
      <c r="BG2" s="121"/>
      <c r="BH2" s="121"/>
    </row>
    <row r="3" spans="1:60" ht="21" hidden="1" customHeight="1">
      <c r="A3" s="390"/>
      <c r="B3" s="390"/>
      <c r="C3" s="390"/>
      <c r="D3" s="390"/>
      <c r="E3" s="1153"/>
      <c r="F3" s="1153">
        <v>1</v>
      </c>
      <c r="G3" s="390"/>
      <c r="H3" s="390"/>
      <c r="I3" s="390"/>
      <c r="J3" s="390"/>
      <c r="K3" s="390"/>
      <c r="L3" s="391"/>
      <c r="M3" s="392"/>
      <c r="N3" s="392"/>
      <c r="O3" s="392"/>
      <c r="P3" s="107"/>
      <c r="Q3" s="485"/>
      <c r="R3" s="399"/>
      <c r="S3" s="394" t="e">
        <f>INDEX(PT_DIFFERENTIATION_NUM_TER,MATCH(B3,PT_DIFFERENTIATION_TER_ID,0))</f>
        <v>#N/A</v>
      </c>
      <c r="T3" s="400" t="s">
        <v>386</v>
      </c>
      <c r="U3" s="396"/>
      <c r="V3" s="1177"/>
      <c r="W3" s="1177"/>
      <c r="X3" s="1177"/>
      <c r="Y3" s="1177"/>
      <c r="Z3" s="1177"/>
      <c r="AA3" s="1177"/>
      <c r="AB3" s="1177"/>
      <c r="AC3" s="1177"/>
      <c r="AD3" s="1154" t="e">
        <f>INDEX(PT_DIFFERENTIATION_TER,MATCH(B3,PT_DIFFERENTIATION_TER_ID,0))</f>
        <v>#N/A</v>
      </c>
      <c r="AE3" s="1154"/>
      <c r="AF3" s="1154"/>
      <c r="AG3" s="1154"/>
      <c r="AH3" s="1154"/>
      <c r="AI3" s="1154"/>
      <c r="AJ3" s="1154"/>
      <c r="AK3" s="1154"/>
      <c r="AL3" s="1154"/>
      <c r="AM3" s="1154"/>
      <c r="AN3" s="1154"/>
      <c r="AO3" s="1154"/>
      <c r="AP3" s="1154"/>
      <c r="AQ3" s="1154"/>
      <c r="AR3" s="1154"/>
      <c r="AS3" s="1154"/>
      <c r="AT3" s="1154"/>
      <c r="AU3" s="1154"/>
      <c r="AV3" s="1154"/>
      <c r="AW3" s="1154"/>
      <c r="AX3" s="1154"/>
      <c r="AY3" s="1154"/>
      <c r="AZ3" s="1154"/>
      <c r="BA3" s="1154"/>
      <c r="BB3" s="1154"/>
      <c r="BC3" s="397" t="s">
        <v>387</v>
      </c>
      <c r="BE3" s="121"/>
      <c r="BF3" s="121" t="str">
        <f t="shared" si="0"/>
        <v>Территория действия тарифа</v>
      </c>
      <c r="BG3" s="121"/>
      <c r="BH3" s="121"/>
    </row>
    <row r="4" spans="1:60" ht="42" hidden="1" customHeight="1">
      <c r="A4" s="390"/>
      <c r="B4" s="390"/>
      <c r="C4" s="390"/>
      <c r="D4" s="390"/>
      <c r="E4" s="1153"/>
      <c r="F4" s="1153"/>
      <c r="G4" s="1153">
        <v>1</v>
      </c>
      <c r="H4" s="390"/>
      <c r="I4" s="390"/>
      <c r="J4" s="390"/>
      <c r="K4" s="390"/>
      <c r="L4" s="391"/>
      <c r="M4" s="392"/>
      <c r="N4" s="392"/>
      <c r="O4" s="392"/>
      <c r="P4" s="130"/>
      <c r="Q4" s="485"/>
      <c r="R4" s="399"/>
      <c r="S4" s="394" t="e">
        <f>INDEX(PT_DIFFERENTIATION_NUM_CS,MATCH(C4,PT_DIFFERENTIATION_CS_ID,0))</f>
        <v>#N/A</v>
      </c>
      <c r="T4" s="402" t="s">
        <v>467</v>
      </c>
      <c r="U4" s="396"/>
      <c r="V4" s="1177"/>
      <c r="W4" s="1177"/>
      <c r="X4" s="1177"/>
      <c r="Y4" s="1177"/>
      <c r="Z4" s="1177"/>
      <c r="AA4" s="1177"/>
      <c r="AB4" s="1177"/>
      <c r="AC4" s="1177"/>
      <c r="AD4" s="1154" t="e">
        <f>INDEX(PT_DIFFERENTIATION_CS,MATCH(C4,PT_DIFFERENTIATION_CS_ID,0))</f>
        <v>#N/A</v>
      </c>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1154"/>
      <c r="BA4" s="1154"/>
      <c r="BB4" s="1154"/>
      <c r="BC4" s="397" t="s">
        <v>468</v>
      </c>
      <c r="BE4" s="121"/>
      <c r="BF4" s="121" t="str">
        <f t="shared" si="0"/>
        <v>Наименование централизованной системы холодного водоснабжения</v>
      </c>
      <c r="BG4" s="121"/>
      <c r="BH4" s="121"/>
    </row>
    <row r="5" spans="1:60" s="53" customFormat="1" ht="14.25" hidden="1" customHeight="1">
      <c r="A5" s="125"/>
      <c r="B5" s="125"/>
      <c r="C5" s="125"/>
      <c r="D5" s="125"/>
      <c r="E5" s="1153"/>
      <c r="F5" s="1153"/>
      <c r="G5" s="1153"/>
      <c r="H5" s="1153">
        <v>1</v>
      </c>
      <c r="I5" s="125"/>
      <c r="J5" s="125"/>
      <c r="K5" s="125"/>
      <c r="L5" s="184"/>
      <c r="M5" s="375"/>
      <c r="N5" s="375"/>
      <c r="O5" s="375"/>
      <c r="P5" s="524"/>
      <c r="Q5" s="525"/>
      <c r="R5" s="408"/>
      <c r="S5" s="280"/>
      <c r="T5" s="526"/>
      <c r="U5" s="460"/>
      <c r="V5" s="1178"/>
      <c r="W5" s="1178"/>
      <c r="X5" s="1178"/>
      <c r="Y5" s="1178"/>
      <c r="Z5" s="1178"/>
      <c r="AA5" s="1178"/>
      <c r="AB5" s="1178"/>
      <c r="AC5" s="1178"/>
      <c r="AD5" s="1175"/>
      <c r="AE5" s="1175"/>
      <c r="AF5" s="1175"/>
      <c r="AG5" s="1175"/>
      <c r="AH5" s="1175"/>
      <c r="AI5" s="1175"/>
      <c r="AJ5" s="1175"/>
      <c r="AK5" s="1175"/>
      <c r="AL5" s="1175"/>
      <c r="AM5" s="1175"/>
      <c r="AN5" s="1175"/>
      <c r="AO5" s="1175"/>
      <c r="AP5" s="1175"/>
      <c r="AQ5" s="1175"/>
      <c r="AR5" s="1175"/>
      <c r="AS5" s="1175"/>
      <c r="AT5" s="1175"/>
      <c r="AU5" s="1175"/>
      <c r="AV5" s="1175"/>
      <c r="AW5" s="1175"/>
      <c r="AX5" s="1175"/>
      <c r="AY5" s="1175"/>
      <c r="AZ5" s="1175"/>
      <c r="BA5" s="1175"/>
      <c r="BB5" s="1175"/>
      <c r="BC5" s="461" t="s">
        <v>391</v>
      </c>
      <c r="BE5" s="121"/>
      <c r="BF5" s="121" t="str">
        <f t="shared" si="0"/>
        <v/>
      </c>
      <c r="BG5" s="121"/>
      <c r="BH5" s="121"/>
    </row>
    <row r="6" spans="1:60" s="53" customFormat="1" ht="14.25" hidden="1" customHeight="1">
      <c r="A6" s="125"/>
      <c r="B6" s="125"/>
      <c r="C6" s="125"/>
      <c r="D6" s="125"/>
      <c r="E6" s="1153"/>
      <c r="F6" s="1153"/>
      <c r="G6" s="1153"/>
      <c r="H6" s="1153"/>
      <c r="I6" s="1155" t="str">
        <f>S5&amp;".1"</f>
        <v>.1</v>
      </c>
      <c r="J6" s="125"/>
      <c r="K6" s="125"/>
      <c r="L6" s="184" t="s">
        <v>392</v>
      </c>
      <c r="M6" s="466"/>
      <c r="N6" s="466"/>
      <c r="O6" s="466"/>
      <c r="P6" s="1156">
        <v>1</v>
      </c>
      <c r="Q6" s="124"/>
      <c r="R6" s="405"/>
      <c r="S6" s="280"/>
      <c r="T6" s="459"/>
      <c r="U6" s="460"/>
      <c r="V6" s="1178"/>
      <c r="W6" s="1178"/>
      <c r="X6" s="1178"/>
      <c r="Y6" s="1178"/>
      <c r="Z6" s="1178"/>
      <c r="AA6" s="1178"/>
      <c r="AB6" s="1178"/>
      <c r="AC6" s="1178"/>
      <c r="AD6" s="1175"/>
      <c r="AE6" s="1175"/>
      <c r="AF6" s="1175"/>
      <c r="AG6" s="1175"/>
      <c r="AH6" s="1175"/>
      <c r="AI6" s="1175"/>
      <c r="AJ6" s="1175"/>
      <c r="AK6" s="1175"/>
      <c r="AL6" s="1175"/>
      <c r="AM6" s="1175"/>
      <c r="AN6" s="1175"/>
      <c r="AO6" s="1175"/>
      <c r="AP6" s="1175"/>
      <c r="AQ6" s="1175"/>
      <c r="AR6" s="1175"/>
      <c r="AS6" s="1175"/>
      <c r="AT6" s="1175"/>
      <c r="AU6" s="1175"/>
      <c r="AV6" s="1175"/>
      <c r="AW6" s="1175"/>
      <c r="AX6" s="1175"/>
      <c r="AY6" s="1175"/>
      <c r="AZ6" s="1175"/>
      <c r="BA6" s="1175"/>
      <c r="BB6" s="1175"/>
      <c r="BC6" s="461"/>
      <c r="BE6" s="121"/>
      <c r="BF6" s="121" t="str">
        <f t="shared" si="0"/>
        <v/>
      </c>
      <c r="BG6" s="121"/>
      <c r="BH6" s="121"/>
    </row>
    <row r="7" spans="1:60" s="53" customFormat="1" ht="14.25" hidden="1" customHeight="1">
      <c r="A7" s="125"/>
      <c r="B7" s="125"/>
      <c r="C7" s="125"/>
      <c r="D7" s="125"/>
      <c r="E7" s="1153"/>
      <c r="F7" s="1153"/>
      <c r="G7" s="1153"/>
      <c r="H7" s="1153"/>
      <c r="I7" s="1155"/>
      <c r="J7" s="1155" t="str">
        <f>S5&amp;".1"</f>
        <v>.1</v>
      </c>
      <c r="K7" s="125"/>
      <c r="L7" s="184"/>
      <c r="M7" s="466"/>
      <c r="N7" s="466"/>
      <c r="O7" s="466"/>
      <c r="P7" s="1156"/>
      <c r="Q7" s="1156">
        <v>1</v>
      </c>
      <c r="R7" s="408"/>
      <c r="S7" s="280"/>
      <c r="T7" s="486"/>
      <c r="U7" s="460"/>
      <c r="V7" s="1178"/>
      <c r="W7" s="1178"/>
      <c r="X7" s="1178"/>
      <c r="Y7" s="1178"/>
      <c r="Z7" s="1178"/>
      <c r="AA7" s="1178"/>
      <c r="AB7" s="1178"/>
      <c r="AC7" s="1178"/>
      <c r="AD7" s="1175"/>
      <c r="AE7" s="1175"/>
      <c r="AF7" s="1175"/>
      <c r="AG7" s="1175"/>
      <c r="AH7" s="1175"/>
      <c r="AI7" s="1175"/>
      <c r="AJ7" s="1175"/>
      <c r="AK7" s="1175"/>
      <c r="AL7" s="1175"/>
      <c r="AM7" s="1175"/>
      <c r="AN7" s="1175"/>
      <c r="AO7" s="1175"/>
      <c r="AP7" s="1175"/>
      <c r="AQ7" s="1175"/>
      <c r="AR7" s="1175"/>
      <c r="AS7" s="1175"/>
      <c r="AT7" s="1175"/>
      <c r="AU7" s="1175"/>
      <c r="AV7" s="1175"/>
      <c r="AW7" s="1175"/>
      <c r="AX7" s="1175"/>
      <c r="AY7" s="1175"/>
      <c r="AZ7" s="1175"/>
      <c r="BA7" s="1175"/>
      <c r="BB7" s="1175"/>
      <c r="BC7" s="461"/>
      <c r="BE7" s="121"/>
      <c r="BF7" s="121" t="str">
        <f t="shared" si="0"/>
        <v/>
      </c>
      <c r="BG7" s="121"/>
      <c r="BH7" s="121"/>
    </row>
    <row r="8" spans="1:60" ht="11.25" hidden="1" customHeight="1">
      <c r="A8" s="390"/>
      <c r="B8" s="390"/>
      <c r="C8" s="390"/>
      <c r="D8" s="390"/>
      <c r="E8" s="1153"/>
      <c r="F8" s="1153"/>
      <c r="G8" s="1153"/>
      <c r="H8" s="1153"/>
      <c r="I8" s="1155"/>
      <c r="J8" s="1155"/>
      <c r="K8" s="1155" t="e">
        <f>S4&amp;".1"</f>
        <v>#N/A</v>
      </c>
      <c r="L8" s="391"/>
      <c r="P8" s="1156"/>
      <c r="Q8" s="1156"/>
      <c r="R8" s="1179">
        <v>1</v>
      </c>
      <c r="S8" s="1166" t="e">
        <f>$K8</f>
        <v>#N/A</v>
      </c>
      <c r="T8" s="1192"/>
      <c r="U8" s="396"/>
      <c r="V8" s="411"/>
      <c r="W8" s="413"/>
      <c r="X8" s="411"/>
      <c r="Y8" s="413"/>
      <c r="Z8" s="414"/>
      <c r="AA8" s="191" t="s">
        <v>63</v>
      </c>
      <c r="AB8" s="414"/>
      <c r="AC8" s="191" t="s">
        <v>63</v>
      </c>
      <c r="AD8" s="1105" t="s">
        <v>63</v>
      </c>
      <c r="AE8" s="1181"/>
      <c r="AF8" s="1182">
        <v>1</v>
      </c>
      <c r="AG8" s="1193"/>
      <c r="AH8" s="1105" t="s">
        <v>63</v>
      </c>
      <c r="AI8" s="1181"/>
      <c r="AJ8" s="1182">
        <v>1</v>
      </c>
      <c r="AK8" s="1194"/>
      <c r="AL8" s="1105" t="s">
        <v>63</v>
      </c>
      <c r="AM8" s="1173"/>
      <c r="AN8" s="1182">
        <v>1</v>
      </c>
      <c r="AO8" s="1195"/>
      <c r="AP8" s="1196" t="s">
        <v>63</v>
      </c>
      <c r="AQ8" s="487"/>
      <c r="AR8" s="276">
        <v>1</v>
      </c>
      <c r="AS8" s="87"/>
      <c r="AT8" s="411"/>
      <c r="AU8" s="413"/>
      <c r="AV8" s="411"/>
      <c r="AW8" s="413"/>
      <c r="AX8" s="414"/>
      <c r="AY8" s="191" t="s">
        <v>63</v>
      </c>
      <c r="AZ8" s="414"/>
      <c r="BA8" s="191" t="s">
        <v>63</v>
      </c>
      <c r="BB8" s="454"/>
      <c r="BC8" s="1159" t="s">
        <v>485</v>
      </c>
      <c r="BE8" s="121"/>
      <c r="BF8" s="121" t="str">
        <f t="shared" si="0"/>
        <v/>
      </c>
      <c r="BG8" s="121"/>
      <c r="BH8" s="121"/>
    </row>
    <row r="9" spans="1:60" ht="11.25" hidden="1" customHeight="1">
      <c r="A9" s="390"/>
      <c r="B9" s="390"/>
      <c r="C9" s="390"/>
      <c r="D9" s="390"/>
      <c r="E9" s="1153"/>
      <c r="F9" s="1153"/>
      <c r="G9" s="1153"/>
      <c r="H9" s="1153"/>
      <c r="I9" s="1155"/>
      <c r="J9" s="1155"/>
      <c r="K9" s="1155"/>
      <c r="L9" s="391"/>
      <c r="P9" s="1156"/>
      <c r="Q9" s="1156"/>
      <c r="R9" s="1179"/>
      <c r="S9" s="1166"/>
      <c r="T9" s="1192"/>
      <c r="U9" s="396"/>
      <c r="V9" s="476"/>
      <c r="W9" s="490"/>
      <c r="X9" s="476"/>
      <c r="Y9" s="490"/>
      <c r="Z9" s="476"/>
      <c r="AA9" s="476"/>
      <c r="AB9" s="476"/>
      <c r="AC9" s="476"/>
      <c r="AD9" s="1105"/>
      <c r="AE9" s="1181"/>
      <c r="AF9" s="1182"/>
      <c r="AG9" s="1193"/>
      <c r="AH9" s="1105"/>
      <c r="AI9" s="1181"/>
      <c r="AJ9" s="1182"/>
      <c r="AK9" s="1194"/>
      <c r="AL9" s="1105"/>
      <c r="AM9" s="1173"/>
      <c r="AN9" s="1182"/>
      <c r="AO9" s="1195"/>
      <c r="AP9" s="1196"/>
      <c r="AQ9" s="489"/>
      <c r="AR9" s="168"/>
      <c r="AS9" s="168" t="s">
        <v>486</v>
      </c>
      <c r="AT9" s="476"/>
      <c r="AU9" s="490"/>
      <c r="AV9" s="476"/>
      <c r="AW9" s="490"/>
      <c r="AX9" s="476"/>
      <c r="AY9" s="476"/>
      <c r="AZ9" s="476"/>
      <c r="BA9" s="476"/>
      <c r="BB9" s="488"/>
      <c r="BC9" s="1159"/>
      <c r="BE9" s="121"/>
      <c r="BF9" s="121"/>
      <c r="BG9" s="121"/>
      <c r="BH9" s="121"/>
    </row>
    <row r="10" spans="1:60" ht="11.25" hidden="1" customHeight="1">
      <c r="A10" s="390"/>
      <c r="B10" s="390"/>
      <c r="C10" s="390"/>
      <c r="D10" s="390"/>
      <c r="E10" s="1153"/>
      <c r="F10" s="1153"/>
      <c r="G10" s="1153"/>
      <c r="H10" s="1153"/>
      <c r="I10" s="1155"/>
      <c r="J10" s="1155"/>
      <c r="K10" s="1155"/>
      <c r="L10" s="391"/>
      <c r="P10" s="1156"/>
      <c r="Q10" s="1156"/>
      <c r="R10" s="1179"/>
      <c r="S10" s="1166"/>
      <c r="T10" s="1192"/>
      <c r="U10" s="396"/>
      <c r="V10" s="476"/>
      <c r="W10" s="490"/>
      <c r="X10" s="476"/>
      <c r="Y10" s="490"/>
      <c r="Z10" s="476"/>
      <c r="AA10" s="476"/>
      <c r="AB10" s="476"/>
      <c r="AC10" s="476"/>
      <c r="AD10" s="1105"/>
      <c r="AE10" s="1181"/>
      <c r="AF10" s="1182"/>
      <c r="AG10" s="1193"/>
      <c r="AH10" s="1105"/>
      <c r="AI10" s="1181"/>
      <c r="AJ10" s="1182"/>
      <c r="AK10" s="1194"/>
      <c r="AL10" s="1105"/>
      <c r="AM10" s="489"/>
      <c r="AN10" s="527"/>
      <c r="AO10" s="527" t="s">
        <v>487</v>
      </c>
      <c r="AP10" s="168"/>
      <c r="AQ10" s="168"/>
      <c r="AR10" s="168"/>
      <c r="AS10" s="476"/>
      <c r="AT10" s="476"/>
      <c r="AU10" s="490"/>
      <c r="AV10" s="476"/>
      <c r="AW10" s="490"/>
      <c r="AX10" s="476"/>
      <c r="AY10" s="476"/>
      <c r="AZ10" s="476"/>
      <c r="BA10" s="476"/>
      <c r="BB10" s="488"/>
      <c r="BC10" s="1159"/>
      <c r="BE10" s="121"/>
      <c r="BF10" s="121"/>
      <c r="BG10" s="121"/>
      <c r="BH10" s="121"/>
    </row>
    <row r="11" spans="1:60" ht="11.25" hidden="1" customHeight="1">
      <c r="A11" s="390"/>
      <c r="B11" s="390"/>
      <c r="C11" s="390"/>
      <c r="D11" s="390"/>
      <c r="E11" s="1153"/>
      <c r="F11" s="1153"/>
      <c r="G11" s="1153"/>
      <c r="H11" s="1153"/>
      <c r="I11" s="1155"/>
      <c r="J11" s="1155"/>
      <c r="K11" s="1155"/>
      <c r="L11" s="391"/>
      <c r="P11" s="1156"/>
      <c r="Q11" s="1156"/>
      <c r="R11" s="1179"/>
      <c r="S11" s="1166"/>
      <c r="T11" s="1192"/>
      <c r="U11" s="396"/>
      <c r="V11" s="476"/>
      <c r="W11" s="490"/>
      <c r="X11" s="476"/>
      <c r="Y11" s="490"/>
      <c r="Z11" s="476"/>
      <c r="AA11" s="476"/>
      <c r="AB11" s="476"/>
      <c r="AC11" s="476"/>
      <c r="AD11" s="1105"/>
      <c r="AE11" s="1181"/>
      <c r="AF11" s="1182"/>
      <c r="AG11" s="1193"/>
      <c r="AH11" s="1105"/>
      <c r="AI11" s="492"/>
      <c r="AJ11" s="163"/>
      <c r="AK11" s="357" t="s">
        <v>488</v>
      </c>
      <c r="AL11" s="476"/>
      <c r="AM11" s="476"/>
      <c r="AN11" s="476"/>
      <c r="AO11" s="476"/>
      <c r="AP11" s="476"/>
      <c r="AQ11" s="476"/>
      <c r="AR11" s="476"/>
      <c r="AS11" s="476"/>
      <c r="AT11" s="476"/>
      <c r="AU11" s="490"/>
      <c r="AV11" s="476"/>
      <c r="AW11" s="490"/>
      <c r="AX11" s="476"/>
      <c r="AY11" s="476"/>
      <c r="AZ11" s="476"/>
      <c r="BA11" s="476"/>
      <c r="BB11" s="488"/>
      <c r="BC11" s="1159"/>
      <c r="BE11" s="121"/>
      <c r="BF11" s="121"/>
      <c r="BG11" s="121"/>
      <c r="BH11" s="121"/>
    </row>
    <row r="12" spans="1:60" ht="11.25" hidden="1" customHeight="1">
      <c r="A12" s="390"/>
      <c r="B12" s="390"/>
      <c r="C12" s="390"/>
      <c r="D12" s="390"/>
      <c r="E12" s="1153"/>
      <c r="F12" s="1153"/>
      <c r="G12" s="1153"/>
      <c r="H12" s="1153"/>
      <c r="I12" s="1155"/>
      <c r="J12" s="1155"/>
      <c r="K12" s="1155"/>
      <c r="L12" s="391"/>
      <c r="P12" s="1156"/>
      <c r="Q12" s="1156"/>
      <c r="R12" s="1179"/>
      <c r="S12" s="1166"/>
      <c r="T12" s="1192"/>
      <c r="U12" s="396"/>
      <c r="V12" s="476"/>
      <c r="W12" s="477" t="str">
        <f>Z8&amp;"-"&amp;AB8</f>
        <v>-</v>
      </c>
      <c r="X12" s="476"/>
      <c r="Y12" s="477" t="str">
        <f>AB8&amp;"-"&amp;AD8</f>
        <v>-да</v>
      </c>
      <c r="Z12" s="476"/>
      <c r="AA12" s="476"/>
      <c r="AB12" s="476"/>
      <c r="AC12" s="476"/>
      <c r="AD12" s="1105"/>
      <c r="AE12" s="494"/>
      <c r="AF12" s="495"/>
      <c r="AG12" s="168" t="s">
        <v>489</v>
      </c>
      <c r="AH12" s="476"/>
      <c r="AI12" s="476"/>
      <c r="AJ12" s="476"/>
      <c r="AK12" s="476"/>
      <c r="AL12" s="476"/>
      <c r="AM12" s="476"/>
      <c r="AN12" s="476"/>
      <c r="AO12" s="476"/>
      <c r="AP12" s="476"/>
      <c r="AQ12" s="476"/>
      <c r="AR12" s="476"/>
      <c r="AS12" s="476"/>
      <c r="AT12" s="476"/>
      <c r="AU12" s="477" t="str">
        <f>AX8&amp;"-"&amp;AZ8</f>
        <v>-</v>
      </c>
      <c r="AV12" s="476"/>
      <c r="AW12" s="477" t="str">
        <f>AZ8&amp;"-"&amp;BB8</f>
        <v>-</v>
      </c>
      <c r="AX12" s="476"/>
      <c r="AY12" s="476"/>
      <c r="AZ12" s="476"/>
      <c r="BA12" s="476"/>
      <c r="BB12" s="493" t="str">
        <f>BE8&amp;"-"&amp;BG8</f>
        <v>-</v>
      </c>
      <c r="BC12" s="1159"/>
      <c r="BE12" s="121"/>
      <c r="BF12" s="121" t="str">
        <f t="shared" ref="BF12:BF18" si="1">IF(T12="","",T12)</f>
        <v/>
      </c>
      <c r="BG12" s="121"/>
      <c r="BH12" s="121"/>
    </row>
    <row r="13" spans="1:60" ht="11.25" hidden="1" customHeight="1">
      <c r="A13" s="390"/>
      <c r="B13" s="390"/>
      <c r="C13" s="390"/>
      <c r="D13" s="390"/>
      <c r="E13" s="1153"/>
      <c r="F13" s="1153"/>
      <c r="G13" s="1153"/>
      <c r="H13" s="1153"/>
      <c r="I13" s="1155"/>
      <c r="J13" s="1155"/>
      <c r="K13" s="390"/>
      <c r="L13" s="391"/>
      <c r="P13" s="1156"/>
      <c r="Q13" s="1156"/>
      <c r="R13" s="405"/>
      <c r="S13" s="416"/>
      <c r="T13" s="419" t="s">
        <v>453</v>
      </c>
      <c r="U13" s="186"/>
      <c r="V13" s="186"/>
      <c r="W13" s="186"/>
      <c r="X13" s="186"/>
      <c r="Y13" s="186"/>
      <c r="Z13" s="186"/>
      <c r="AA13" s="186"/>
      <c r="AB13" s="186"/>
      <c r="AC13" s="186"/>
      <c r="AD13" s="514"/>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418"/>
      <c r="BC13" s="1159"/>
      <c r="BE13" s="121"/>
      <c r="BF13" s="121" t="str">
        <f t="shared" si="1"/>
        <v>Добавить строку</v>
      </c>
      <c r="BG13" s="121"/>
      <c r="BH13" s="121"/>
    </row>
    <row r="14" spans="1:60" s="53" customFormat="1" ht="14.25" hidden="1" customHeight="1">
      <c r="A14" s="125"/>
      <c r="B14" s="125"/>
      <c r="C14" s="125"/>
      <c r="D14" s="125"/>
      <c r="E14" s="1153"/>
      <c r="F14" s="1153"/>
      <c r="G14" s="1153"/>
      <c r="H14" s="1153"/>
      <c r="I14" s="1155"/>
      <c r="J14" s="125"/>
      <c r="K14" s="125"/>
      <c r="L14" s="184"/>
      <c r="M14" s="466"/>
      <c r="N14" s="466"/>
      <c r="O14" s="466"/>
      <c r="P14" s="1156"/>
      <c r="Q14" s="124"/>
      <c r="R14" s="405"/>
      <c r="S14" s="462"/>
      <c r="T14" s="463"/>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5"/>
      <c r="BE14" s="121"/>
      <c r="BF14" s="121" t="str">
        <f t="shared" si="1"/>
        <v/>
      </c>
      <c r="BG14" s="121"/>
      <c r="BH14" s="121"/>
    </row>
    <row r="15" spans="1:60" s="53" customFormat="1" ht="14.25" hidden="1" customHeight="1">
      <c r="A15" s="125"/>
      <c r="B15" s="125"/>
      <c r="C15" s="125"/>
      <c r="D15" s="125"/>
      <c r="E15" s="1153"/>
      <c r="F15" s="1153"/>
      <c r="G15" s="1153"/>
      <c r="H15" s="1153"/>
      <c r="I15" s="125"/>
      <c r="J15" s="125"/>
      <c r="K15" s="125"/>
      <c r="L15" s="184"/>
      <c r="M15" s="375"/>
      <c r="N15" s="375"/>
      <c r="P15" s="158"/>
      <c r="Q15" s="424"/>
      <c r="R15" s="496"/>
      <c r="S15" s="462"/>
      <c r="T15" s="463"/>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5"/>
      <c r="BE15" s="121"/>
      <c r="BF15" s="121" t="str">
        <f t="shared" si="1"/>
        <v/>
      </c>
      <c r="BG15" s="121"/>
      <c r="BH15" s="121"/>
    </row>
    <row r="16" spans="1:60" s="53" customFormat="1" ht="14.25" hidden="1" customHeight="1">
      <c r="A16" s="125"/>
      <c r="B16" s="125"/>
      <c r="C16" s="125"/>
      <c r="D16" s="125"/>
      <c r="E16" s="1153"/>
      <c r="F16" s="1153"/>
      <c r="G16" s="1153"/>
      <c r="H16" s="125"/>
      <c r="I16" s="125"/>
      <c r="J16" s="125"/>
      <c r="K16" s="125"/>
      <c r="L16" s="184"/>
      <c r="M16" s="375"/>
      <c r="N16" s="375"/>
      <c r="P16" s="158"/>
      <c r="Q16" s="424"/>
      <c r="R16" s="158"/>
      <c r="S16" s="429"/>
      <c r="T16" s="432"/>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E16" s="121"/>
      <c r="BF16" s="121" t="str">
        <f t="shared" si="1"/>
        <v/>
      </c>
      <c r="BG16" s="121"/>
      <c r="BH16" s="121"/>
    </row>
    <row r="17" spans="1:60" s="53" customFormat="1" ht="14.25" hidden="1" customHeight="1">
      <c r="A17" s="125"/>
      <c r="B17" s="125"/>
      <c r="C17" s="125"/>
      <c r="D17" s="125"/>
      <c r="E17" s="1153"/>
      <c r="F17" s="1153"/>
      <c r="G17" s="125"/>
      <c r="H17" s="125"/>
      <c r="I17" s="125"/>
      <c r="J17" s="125"/>
      <c r="K17" s="125"/>
      <c r="L17" s="184"/>
      <c r="M17" s="428"/>
      <c r="N17" s="428"/>
      <c r="P17" s="158"/>
      <c r="Q17" s="424"/>
      <c r="R17" s="158"/>
      <c r="S17" s="429"/>
      <c r="T17" s="432" t="s">
        <v>253</v>
      </c>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E17" s="121"/>
      <c r="BF17" s="121" t="str">
        <f t="shared" si="1"/>
        <v>Добавить централизованную систему для дифференциации</v>
      </c>
      <c r="BG17" s="121"/>
      <c r="BH17" s="121"/>
    </row>
    <row r="18" spans="1:60" s="53" customFormat="1" ht="14.25" hidden="1" customHeight="1">
      <c r="A18" s="125"/>
      <c r="B18" s="125"/>
      <c r="C18" s="125"/>
      <c r="D18" s="125"/>
      <c r="E18" s="1153"/>
      <c r="F18" s="125"/>
      <c r="G18" s="125"/>
      <c r="H18" s="125"/>
      <c r="I18" s="125"/>
      <c r="J18" s="125"/>
      <c r="K18" s="125"/>
      <c r="L18" s="184"/>
      <c r="M18" s="428"/>
      <c r="N18" s="428"/>
      <c r="P18" s="158"/>
      <c r="Q18" s="424"/>
      <c r="R18" s="158"/>
      <c r="S18" s="429"/>
      <c r="T18" s="432" t="s">
        <v>254</v>
      </c>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E18" s="121"/>
      <c r="BF18" s="121" t="str">
        <f t="shared" si="1"/>
        <v>Добавить территорию для дифференциации</v>
      </c>
      <c r="BG18" s="121"/>
      <c r="BH18" s="121"/>
    </row>
    <row r="19" spans="1:60" ht="14.25" hidden="1" customHeight="1"/>
    <row r="20" spans="1:60" ht="14.25" hidden="1" customHeight="1">
      <c r="AD20" s="431" t="s">
        <v>53</v>
      </c>
      <c r="AE20" s="497"/>
      <c r="AF20" s="431">
        <v>1</v>
      </c>
      <c r="AG20" s="498"/>
      <c r="AH20" s="431" t="s">
        <v>53</v>
      </c>
      <c r="AI20" s="497"/>
      <c r="AJ20" s="431">
        <v>1</v>
      </c>
      <c r="AK20" s="498"/>
      <c r="AL20" s="431" t="s">
        <v>53</v>
      </c>
      <c r="AM20" s="499"/>
      <c r="AN20" s="431">
        <v>1</v>
      </c>
      <c r="AO20" s="126"/>
      <c r="AP20" s="431" t="s">
        <v>53</v>
      </c>
      <c r="AQ20" s="499"/>
      <c r="AR20" s="431">
        <v>1</v>
      </c>
      <c r="AS20" s="126"/>
      <c r="AT20" s="412"/>
      <c r="AU20" s="457"/>
      <c r="AV20" s="412"/>
      <c r="AW20" s="457"/>
      <c r="AX20" s="503"/>
      <c r="AY20" s="225" t="s">
        <v>63</v>
      </c>
      <c r="AZ20" s="503"/>
      <c r="BA20" s="225" t="s">
        <v>63</v>
      </c>
    </row>
    <row r="21" spans="1:60" ht="14.25" hidden="1" customHeight="1">
      <c r="BD21" s="123"/>
      <c r="BE21" s="123"/>
      <c r="BF21" s="123"/>
      <c r="BG21" s="123"/>
      <c r="BH21" s="123"/>
    </row>
    <row r="22" spans="1:60" ht="14.25" hidden="1" customHeight="1">
      <c r="O22" s="435" t="s">
        <v>404</v>
      </c>
      <c r="Z22" s="484"/>
      <c r="AB22" s="484"/>
      <c r="AX22" s="484"/>
      <c r="AZ22" s="484"/>
      <c r="BD22" s="123"/>
      <c r="BE22" s="123"/>
      <c r="BF22" s="123"/>
      <c r="BG22" s="123"/>
      <c r="BH22" s="123"/>
    </row>
    <row r="23" spans="1:60" ht="14.25" hidden="1" customHeight="1">
      <c r="BD23" s="123"/>
      <c r="BE23" s="123"/>
      <c r="BF23" s="123"/>
      <c r="BG23" s="123"/>
      <c r="BH23" s="123"/>
    </row>
    <row r="24" spans="1:60" s="504" customFormat="1" ht="14.25" hidden="1" customHeight="1">
      <c r="M24" s="505"/>
      <c r="N24" s="505"/>
      <c r="O24" s="504" t="s">
        <v>405</v>
      </c>
      <c r="P24" s="505"/>
      <c r="Q24" s="506"/>
      <c r="R24" s="506"/>
      <c r="AA24" s="504" t="s">
        <v>407</v>
      </c>
      <c r="AC24" s="504" t="s">
        <v>408</v>
      </c>
      <c r="AD24" s="504" t="s">
        <v>454</v>
      </c>
      <c r="AH24" s="504" t="s">
        <v>454</v>
      </c>
      <c r="AK24" s="504" t="s">
        <v>490</v>
      </c>
      <c r="AL24" s="504" t="s">
        <v>454</v>
      </c>
      <c r="AP24" s="504" t="s">
        <v>454</v>
      </c>
      <c r="AY24" s="504" t="s">
        <v>407</v>
      </c>
      <c r="BA24" s="504" t="s">
        <v>408</v>
      </c>
      <c r="BD24" s="507"/>
      <c r="BE24" s="507"/>
      <c r="BF24" s="507"/>
      <c r="BG24" s="507"/>
      <c r="BH24" s="507"/>
    </row>
    <row r="25" spans="1:60" ht="14.25" hidden="1" customHeight="1">
      <c r="O25" s="391"/>
      <c r="BD25" s="123"/>
      <c r="BE25" s="123"/>
      <c r="BF25" s="123"/>
      <c r="BG25" s="123"/>
      <c r="BH25" s="123"/>
    </row>
    <row r="26" spans="1:60" ht="14.25" hidden="1" customHeight="1">
      <c r="O26" s="391"/>
      <c r="BD26" s="123"/>
      <c r="BE26" s="123"/>
      <c r="BF26" s="123"/>
      <c r="BG26" s="123"/>
      <c r="BH26" s="123"/>
    </row>
    <row r="27" spans="1:60" ht="14.25" customHeight="1">
      <c r="Q27" s="508"/>
      <c r="R27" s="437"/>
      <c r="S27" s="438"/>
      <c r="T27" s="83"/>
      <c r="U27" s="83"/>
    </row>
    <row r="28" spans="1:60" ht="14.25" customHeight="1">
      <c r="Q28" s="508"/>
      <c r="R28" s="437"/>
      <c r="S28" s="110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106"/>
      <c r="U28" s="1106"/>
      <c r="V28" s="1106"/>
      <c r="W28" s="1106"/>
      <c r="X28" s="1106"/>
      <c r="Y28" s="1106"/>
      <c r="Z28" s="1106"/>
      <c r="AA28" s="1106"/>
      <c r="AB28" s="1106"/>
      <c r="AC28" s="1106"/>
      <c r="AD28" s="1106"/>
      <c r="AE28" s="1106"/>
      <c r="AF28" s="1106"/>
      <c r="AG28" s="1106"/>
      <c r="AH28" s="1106"/>
      <c r="AI28" s="1106"/>
      <c r="AJ28" s="1106"/>
      <c r="AK28" s="1106"/>
      <c r="AL28" s="1106"/>
      <c r="AM28" s="1106"/>
      <c r="AN28" s="1106"/>
      <c r="AO28" s="1106"/>
      <c r="AP28" s="1106"/>
      <c r="AQ28" s="1106"/>
      <c r="AR28" s="1106"/>
      <c r="AS28" s="1106"/>
      <c r="AT28" s="1106"/>
      <c r="AU28" s="1106"/>
      <c r="AV28" s="1106"/>
      <c r="AW28" s="1106"/>
      <c r="AX28" s="1106"/>
      <c r="AY28" s="1106"/>
      <c r="AZ28" s="1106"/>
      <c r="BA28" s="201"/>
    </row>
    <row r="29" spans="1:60" ht="14.25" customHeight="1">
      <c r="Q29" s="508"/>
      <c r="R29" s="437"/>
      <c r="S29" s="1127" t="str">
        <f>IF(org=0,"Не определено",org)</f>
        <v>Филиал ПАО "ОГК-2" - Серовская ГРЭС, г. Серов</v>
      </c>
      <c r="T29" s="1127"/>
      <c r="U29" s="1127"/>
      <c r="V29" s="1127"/>
      <c r="W29" s="1127"/>
      <c r="X29" s="1127"/>
      <c r="Y29" s="1127"/>
      <c r="Z29" s="1127"/>
      <c r="AA29" s="1127"/>
      <c r="AB29" s="1127"/>
      <c r="AC29" s="1127"/>
      <c r="AD29" s="1127"/>
      <c r="AE29" s="1127"/>
      <c r="AF29" s="1127"/>
      <c r="AG29" s="1127"/>
      <c r="AH29" s="1127"/>
      <c r="AI29" s="1127"/>
      <c r="AJ29" s="1127"/>
      <c r="AK29" s="1127"/>
      <c r="AL29" s="1127"/>
      <c r="AM29" s="1127"/>
      <c r="AN29" s="1127"/>
      <c r="AO29" s="1127"/>
      <c r="AP29" s="1127"/>
      <c r="AQ29" s="1127"/>
      <c r="AR29" s="1127"/>
      <c r="AS29" s="1127"/>
      <c r="AT29" s="1127"/>
      <c r="AU29" s="1127"/>
      <c r="AV29" s="1127"/>
      <c r="AW29" s="1127"/>
      <c r="AX29" s="1127"/>
      <c r="AY29" s="1127"/>
      <c r="AZ29" s="1127"/>
      <c r="BA29" s="201"/>
    </row>
    <row r="30" spans="1:60" ht="14.25" customHeight="1">
      <c r="Q30" s="508"/>
      <c r="R30" s="437"/>
      <c r="S30" s="438"/>
      <c r="T30" s="83"/>
      <c r="U30" s="83"/>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row>
    <row r="31" spans="1:60" s="174" customFormat="1" ht="25.5" customHeight="1">
      <c r="A31" s="142"/>
      <c r="B31" s="142"/>
      <c r="C31" s="142"/>
      <c r="D31" s="142"/>
      <c r="E31" s="142"/>
      <c r="F31" s="142"/>
      <c r="G31" s="142"/>
      <c r="H31" s="142"/>
      <c r="I31" s="142"/>
      <c r="J31" s="142"/>
      <c r="K31" s="142"/>
      <c r="L31" s="391"/>
      <c r="M31" s="142"/>
      <c r="N31" s="142"/>
      <c r="O31" s="142"/>
      <c r="P31" s="142"/>
      <c r="Q31" s="142"/>
      <c r="S31" s="1162" t="s">
        <v>37</v>
      </c>
      <c r="T31" s="1162"/>
      <c r="U31" s="441"/>
      <c r="V31" s="1163" t="str">
        <f>IF(TITLE_NAME_OR_PR_CHANGE="",IF(TITLE_NAME_OR_PR="","",TITLE_NAME_OR_PR),TITLE_NAME_OR_PR_CHANGE)</f>
        <v>Региональная энергетическая комиссия Свердловской области</v>
      </c>
      <c r="W31" s="1163"/>
      <c r="X31" s="1163"/>
      <c r="Y31" s="1163"/>
      <c r="Z31" s="1163"/>
      <c r="AA31" s="1163"/>
      <c r="AB31" s="1163"/>
      <c r="AC31" s="46"/>
      <c r="AD31" s="1163" t="str">
        <f>IF(TITLE_NAME_OR_PR_CHANGE="",IF(TITLE_NAME_OR_PR="","",TITLE_NAME_OR_PR),TITLE_NAME_OR_PR_CHANGE)</f>
        <v>Региональная энергетическая комиссия Свердловской области</v>
      </c>
      <c r="AE31" s="1163"/>
      <c r="AF31" s="1163"/>
      <c r="AG31" s="1163"/>
      <c r="AH31" s="1163"/>
      <c r="AI31" s="1163"/>
      <c r="AJ31" s="1163"/>
      <c r="AK31" s="1163"/>
      <c r="AL31" s="1163"/>
      <c r="AM31" s="1163"/>
      <c r="AN31" s="1163"/>
      <c r="AO31" s="1163"/>
      <c r="AP31" s="1163"/>
      <c r="AQ31" s="1163"/>
      <c r="AR31" s="1163"/>
      <c r="AS31" s="1163"/>
      <c r="AT31" s="1163"/>
      <c r="AU31" s="1163"/>
      <c r="AV31" s="1163"/>
      <c r="AW31" s="1163"/>
      <c r="AX31" s="1163"/>
      <c r="AY31" s="1163"/>
      <c r="AZ31" s="1163"/>
      <c r="BA31" s="46"/>
      <c r="BB31" s="46"/>
      <c r="BC31" s="442"/>
      <c r="BD31" s="121"/>
      <c r="BE31" s="121"/>
      <c r="BF31" s="121"/>
      <c r="BG31" s="121"/>
      <c r="BH31" s="121"/>
    </row>
    <row r="32" spans="1:60" s="174" customFormat="1" ht="18.75" customHeight="1">
      <c r="A32" s="142"/>
      <c r="B32" s="142"/>
      <c r="C32" s="142"/>
      <c r="D32" s="142"/>
      <c r="E32" s="142"/>
      <c r="F32" s="142"/>
      <c r="G32" s="142"/>
      <c r="H32" s="142"/>
      <c r="I32" s="142"/>
      <c r="J32" s="142"/>
      <c r="K32" s="142"/>
      <c r="L32" s="391"/>
      <c r="M32" s="142"/>
      <c r="N32" s="142"/>
      <c r="O32" s="142"/>
      <c r="P32" s="142"/>
      <c r="Q32" s="142"/>
      <c r="S32" s="1162" t="s">
        <v>410</v>
      </c>
      <c r="T32" s="1162"/>
      <c r="U32" s="441"/>
      <c r="V32" s="1164">
        <f>IF(TITLE_DATE_PR_CHANGE="",IF(TITLE_DATE_PR="","",TITLE_DATE_PR),TITLE_DATE_PR_CHANGE)</f>
        <v>45266.462974536997</v>
      </c>
      <c r="W32" s="1164"/>
      <c r="X32" s="1164"/>
      <c r="Y32" s="1164"/>
      <c r="Z32" s="1164"/>
      <c r="AA32" s="1164"/>
      <c r="AB32" s="1164"/>
      <c r="AC32" s="46"/>
      <c r="AD32" s="1164">
        <f>IF(TITLE_DATE_PR_CHANGE="",IF(TITLE_DATE_PR="","",TITLE_DATE_PR),TITLE_DATE_PR_CHANGE)</f>
        <v>45266.462974536997</v>
      </c>
      <c r="AE32" s="1164"/>
      <c r="AF32" s="1164"/>
      <c r="AG32" s="1164"/>
      <c r="AH32" s="1164"/>
      <c r="AI32" s="1164"/>
      <c r="AJ32" s="1164"/>
      <c r="AK32" s="1164"/>
      <c r="AL32" s="1164"/>
      <c r="AM32" s="1164"/>
      <c r="AN32" s="1164"/>
      <c r="AO32" s="1164"/>
      <c r="AP32" s="1164"/>
      <c r="AQ32" s="1164"/>
      <c r="AR32" s="1164"/>
      <c r="AS32" s="1164"/>
      <c r="AT32" s="1164"/>
      <c r="AU32" s="1164"/>
      <c r="AV32" s="1164"/>
      <c r="AW32" s="1164"/>
      <c r="AX32" s="1164"/>
      <c r="AY32" s="1164"/>
      <c r="AZ32" s="1164"/>
      <c r="BA32" s="46"/>
      <c r="BB32" s="46"/>
      <c r="BC32" s="442"/>
      <c r="BD32" s="121"/>
      <c r="BE32" s="121"/>
      <c r="BF32" s="121"/>
      <c r="BG32" s="121"/>
      <c r="BH32" s="121"/>
    </row>
    <row r="33" spans="1:60" s="174" customFormat="1" ht="18.75" customHeight="1">
      <c r="A33" s="142"/>
      <c r="B33" s="142"/>
      <c r="C33" s="142"/>
      <c r="D33" s="142"/>
      <c r="E33" s="142"/>
      <c r="F33" s="142"/>
      <c r="G33" s="142"/>
      <c r="H33" s="142"/>
      <c r="I33" s="142"/>
      <c r="J33" s="142"/>
      <c r="K33" s="142"/>
      <c r="L33" s="391"/>
      <c r="M33" s="142"/>
      <c r="N33" s="142"/>
      <c r="O33" s="142"/>
      <c r="P33" s="142"/>
      <c r="Q33" s="142"/>
      <c r="S33" s="1162" t="s">
        <v>411</v>
      </c>
      <c r="T33" s="1162"/>
      <c r="U33" s="441"/>
      <c r="V33" s="1163" t="str">
        <f>IF(TITLE_NUMBER_PR_CHANGE="",IF(TITLE_NUMBER_PR="","",TITLE_NUMBER_PR),TITLE_NUMBER_PR_CHANGE)</f>
        <v>216-ПК</v>
      </c>
      <c r="W33" s="1163"/>
      <c r="X33" s="1163"/>
      <c r="Y33" s="1163"/>
      <c r="Z33" s="1163"/>
      <c r="AA33" s="1163"/>
      <c r="AB33" s="1163"/>
      <c r="AC33" s="46"/>
      <c r="AD33" s="1163" t="str">
        <f>IF(TITLE_NUMBER_PR_CHANGE="",IF(TITLE_NUMBER_PR="","",TITLE_NUMBER_PR),TITLE_NUMBER_PR_CHANGE)</f>
        <v>216-ПК</v>
      </c>
      <c r="AE33" s="1163"/>
      <c r="AF33" s="1163"/>
      <c r="AG33" s="1163"/>
      <c r="AH33" s="1163"/>
      <c r="AI33" s="1163"/>
      <c r="AJ33" s="1163"/>
      <c r="AK33" s="1163"/>
      <c r="AL33" s="1163"/>
      <c r="AM33" s="1163"/>
      <c r="AN33" s="1163"/>
      <c r="AO33" s="1163"/>
      <c r="AP33" s="1163"/>
      <c r="AQ33" s="1163"/>
      <c r="AR33" s="1163"/>
      <c r="AS33" s="1163"/>
      <c r="AT33" s="1163"/>
      <c r="AU33" s="1163"/>
      <c r="AV33" s="1163"/>
      <c r="AW33" s="1163"/>
      <c r="AX33" s="1163"/>
      <c r="AY33" s="1163"/>
      <c r="AZ33" s="1163"/>
      <c r="BA33" s="46"/>
      <c r="BB33" s="46"/>
      <c r="BC33" s="442"/>
      <c r="BD33" s="121"/>
      <c r="BE33" s="121"/>
      <c r="BF33" s="121"/>
      <c r="BG33" s="121"/>
      <c r="BH33" s="121"/>
    </row>
    <row r="34" spans="1:60" s="174" customFormat="1" ht="18.75" customHeight="1">
      <c r="A34" s="142"/>
      <c r="B34" s="142"/>
      <c r="C34" s="142"/>
      <c r="D34" s="142"/>
      <c r="E34" s="142"/>
      <c r="F34" s="142"/>
      <c r="G34" s="142"/>
      <c r="H34" s="142"/>
      <c r="I34" s="142"/>
      <c r="J34" s="142"/>
      <c r="K34" s="142"/>
      <c r="L34" s="391"/>
      <c r="M34" s="142"/>
      <c r="N34" s="142"/>
      <c r="O34" s="142"/>
      <c r="P34" s="142"/>
      <c r="Q34" s="142"/>
      <c r="S34" s="1162" t="s">
        <v>39</v>
      </c>
      <c r="T34" s="1162"/>
      <c r="U34" s="441"/>
      <c r="V34" s="1163" t="str">
        <f>IF(TITLE_IST_PUB_CHANGE="",IF(TITLE_IST_PUB="","",TITLE_IST_PUB),TITLE_IST_PUB_CHANGE)</f>
        <v>Региональная энергетическая комиссия Свердловской области</v>
      </c>
      <c r="W34" s="1163"/>
      <c r="X34" s="1163"/>
      <c r="Y34" s="1163"/>
      <c r="Z34" s="1163"/>
      <c r="AA34" s="1163"/>
      <c r="AB34" s="1163"/>
      <c r="AC34" s="46"/>
      <c r="AD34" s="1163" t="str">
        <f>IF(TITLE_IST_PUB_CHANGE="",IF(TITLE_IST_PUB="","",TITLE_IST_PUB),TITLE_IST_PUB_CHANGE)</f>
        <v>Региональная энергетическая комиссия Свердловской области</v>
      </c>
      <c r="AE34" s="1163"/>
      <c r="AF34" s="1163"/>
      <c r="AG34" s="1163"/>
      <c r="AH34" s="1163"/>
      <c r="AI34" s="1163"/>
      <c r="AJ34" s="1163"/>
      <c r="AK34" s="1163"/>
      <c r="AL34" s="1163"/>
      <c r="AM34" s="1163"/>
      <c r="AN34" s="1163"/>
      <c r="AO34" s="1163"/>
      <c r="AP34" s="1163"/>
      <c r="AQ34" s="1163"/>
      <c r="AR34" s="1163"/>
      <c r="AS34" s="1163"/>
      <c r="AT34" s="1163"/>
      <c r="AU34" s="1163"/>
      <c r="AV34" s="1163"/>
      <c r="AW34" s="1163"/>
      <c r="AX34" s="1163"/>
      <c r="AY34" s="1163"/>
      <c r="AZ34" s="1163"/>
      <c r="BA34" s="46"/>
      <c r="BB34" s="46"/>
      <c r="BC34" s="442"/>
      <c r="BD34" s="121"/>
      <c r="BE34" s="121"/>
      <c r="BF34" s="121"/>
      <c r="BG34" s="121"/>
      <c r="BH34" s="121"/>
    </row>
    <row r="35" spans="1:60" ht="14.25" hidden="1" customHeight="1">
      <c r="Q35" s="508"/>
      <c r="R35" s="437"/>
      <c r="S35" s="438"/>
      <c r="T35" s="83"/>
      <c r="U35" s="83"/>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39"/>
    </row>
    <row r="36" spans="1:60" s="174" customFormat="1" ht="18.75" hidden="1" customHeight="1">
      <c r="A36" s="142"/>
      <c r="B36" s="142"/>
      <c r="C36" s="142"/>
      <c r="D36" s="142"/>
      <c r="E36" s="142"/>
      <c r="F36" s="142"/>
      <c r="G36" s="142"/>
      <c r="H36" s="142"/>
      <c r="I36" s="142"/>
      <c r="J36" s="142"/>
      <c r="K36" s="142"/>
      <c r="L36" s="391"/>
      <c r="M36" s="142"/>
      <c r="N36" s="142"/>
      <c r="O36" s="142"/>
      <c r="P36" s="142"/>
      <c r="Q36" s="142"/>
      <c r="S36" s="1162" t="s">
        <v>410</v>
      </c>
      <c r="T36" s="1162"/>
      <c r="U36" s="441"/>
      <c r="V36" s="1164">
        <f>IF(TITLE_DATE_PR_CHANGE="",IF(TITLE_DATE_PR="","",TITLE_DATE_PR),TITLE_DATE_PR_CHANGE)</f>
        <v>45266.462974536997</v>
      </c>
      <c r="W36" s="1164"/>
      <c r="X36" s="1164"/>
      <c r="Y36" s="1164"/>
      <c r="Z36" s="1164"/>
      <c r="AA36" s="1164"/>
      <c r="AB36" s="1164"/>
      <c r="AC36" s="46"/>
      <c r="AD36" s="1164">
        <f>IF(TITLE_DATE_PR_CHANGE="",IF(TITLE_DATE_PR="","",TITLE_DATE_PR),TITLE_DATE_PR_CHANGE)</f>
        <v>45266.462974536997</v>
      </c>
      <c r="AE36" s="1164"/>
      <c r="AF36" s="1164"/>
      <c r="AG36" s="1164"/>
      <c r="AH36" s="1164"/>
      <c r="AI36" s="1164"/>
      <c r="AJ36" s="1164"/>
      <c r="AK36" s="1164"/>
      <c r="AL36" s="1164"/>
      <c r="AM36" s="1164"/>
      <c r="AN36" s="1164"/>
      <c r="AO36" s="1164"/>
      <c r="AP36" s="1164"/>
      <c r="AQ36" s="1164"/>
      <c r="AR36" s="1164"/>
      <c r="AS36" s="1164"/>
      <c r="AT36" s="1164"/>
      <c r="AU36" s="1164"/>
      <c r="AV36" s="1164"/>
      <c r="AW36" s="1164"/>
      <c r="AX36" s="1164"/>
      <c r="AY36" s="1164"/>
      <c r="AZ36" s="1164"/>
      <c r="BA36" s="46"/>
      <c r="BB36" s="46"/>
      <c r="BC36" s="442"/>
      <c r="BD36" s="121"/>
      <c r="BE36" s="121"/>
      <c r="BF36" s="121"/>
      <c r="BG36" s="121"/>
      <c r="BH36" s="121"/>
    </row>
    <row r="37" spans="1:60" s="174" customFormat="1" ht="18.75" hidden="1" customHeight="1">
      <c r="A37" s="142"/>
      <c r="B37" s="142"/>
      <c r="C37" s="142"/>
      <c r="D37" s="142"/>
      <c r="E37" s="142"/>
      <c r="F37" s="142"/>
      <c r="G37" s="142"/>
      <c r="H37" s="142"/>
      <c r="I37" s="142"/>
      <c r="J37" s="142"/>
      <c r="K37" s="142"/>
      <c r="L37" s="391"/>
      <c r="M37" s="142"/>
      <c r="N37" s="142"/>
      <c r="O37" s="142"/>
      <c r="P37" s="142"/>
      <c r="Q37" s="142"/>
      <c r="S37" s="1162" t="s">
        <v>411</v>
      </c>
      <c r="T37" s="1162"/>
      <c r="U37" s="441"/>
      <c r="V37" s="1163" t="str">
        <f>IF(TITLE_NUMBER_PR_CHANGE="",IF(TITLE_NUMBER_PR="","",TITLE_NUMBER_PR),TITLE_NUMBER_PR_CHANGE)</f>
        <v>216-ПК</v>
      </c>
      <c r="W37" s="1163"/>
      <c r="X37" s="1163"/>
      <c r="Y37" s="1163"/>
      <c r="Z37" s="1163"/>
      <c r="AA37" s="1163"/>
      <c r="AB37" s="1163"/>
      <c r="AC37" s="46"/>
      <c r="AD37" s="1163" t="str">
        <f>IF(TITLE_NUMBER_PR_CHANGE="",IF(TITLE_NUMBER_PR="","",TITLE_NUMBER_PR),TITLE_NUMBER_PR_CHANGE)</f>
        <v>216-ПК</v>
      </c>
      <c r="AE37" s="1163"/>
      <c r="AF37" s="1163"/>
      <c r="AG37" s="1163"/>
      <c r="AH37" s="1163"/>
      <c r="AI37" s="1163"/>
      <c r="AJ37" s="1163"/>
      <c r="AK37" s="1163"/>
      <c r="AL37" s="1163"/>
      <c r="AM37" s="1163"/>
      <c r="AN37" s="1163"/>
      <c r="AO37" s="1163"/>
      <c r="AP37" s="1163"/>
      <c r="AQ37" s="1163"/>
      <c r="AR37" s="1163"/>
      <c r="AS37" s="1163"/>
      <c r="AT37" s="1163"/>
      <c r="AU37" s="1163"/>
      <c r="AV37" s="1163"/>
      <c r="AW37" s="1163"/>
      <c r="AX37" s="1163"/>
      <c r="AY37" s="1163"/>
      <c r="AZ37" s="1163"/>
      <c r="BA37" s="46"/>
      <c r="BB37" s="46"/>
      <c r="BC37" s="442"/>
      <c r="BD37" s="121"/>
      <c r="BE37" s="121"/>
      <c r="BF37" s="121"/>
      <c r="BG37" s="121"/>
      <c r="BH37" s="121"/>
    </row>
    <row r="38" spans="1:60" s="174" customFormat="1" ht="11.25">
      <c r="A38" s="142"/>
      <c r="B38" s="142"/>
      <c r="C38" s="142"/>
      <c r="D38" s="142"/>
      <c r="E38" s="142"/>
      <c r="F38" s="142"/>
      <c r="G38" s="142"/>
      <c r="H38" s="142"/>
      <c r="I38" s="142"/>
      <c r="J38" s="142"/>
      <c r="K38" s="142"/>
      <c r="L38" s="391"/>
      <c r="M38" s="142"/>
      <c r="N38" s="142"/>
      <c r="O38" s="142"/>
      <c r="P38" s="142"/>
      <c r="Q38" s="142"/>
      <c r="S38" s="46"/>
      <c r="T38" s="46"/>
      <c r="U38" s="131"/>
      <c r="V38" s="46"/>
      <c r="W38" s="46"/>
      <c r="X38" s="46"/>
      <c r="Y38" s="46"/>
      <c r="Z38" s="46"/>
      <c r="AA38" s="46"/>
      <c r="AB38" s="46"/>
      <c r="AC38" s="53" t="s">
        <v>414</v>
      </c>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53" t="s">
        <v>414</v>
      </c>
      <c r="BD38" s="121"/>
      <c r="BE38" s="121"/>
      <c r="BF38" s="121"/>
      <c r="BG38" s="121"/>
      <c r="BH38" s="121"/>
    </row>
    <row r="39" spans="1:60" ht="14.25" customHeight="1">
      <c r="Q39" s="508"/>
      <c r="R39" s="437"/>
      <c r="S39" s="438"/>
      <c r="T39" s="83"/>
      <c r="U39" s="443"/>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row>
    <row r="40" spans="1:60" ht="14.25" customHeight="1">
      <c r="Q40" s="508"/>
      <c r="R40" s="437"/>
      <c r="S40" s="1087" t="s">
        <v>287</v>
      </c>
      <c r="T40" s="1087"/>
      <c r="U40" s="1087"/>
      <c r="V40" s="1087"/>
      <c r="W40" s="1087"/>
      <c r="X40" s="1087"/>
      <c r="Y40" s="1087"/>
      <c r="Z40" s="1087"/>
      <c r="AA40" s="1087"/>
      <c r="AB40" s="1087"/>
      <c r="AC40" s="1087"/>
      <c r="AD40" s="1087"/>
      <c r="AE40" s="1087"/>
      <c r="AF40" s="1087"/>
      <c r="AG40" s="1087"/>
      <c r="AH40" s="1087"/>
      <c r="AI40" s="1087"/>
      <c r="AJ40" s="1087"/>
      <c r="AK40" s="1087"/>
      <c r="AL40" s="1087"/>
      <c r="AM40" s="1087"/>
      <c r="AN40" s="1087"/>
      <c r="AO40" s="1087"/>
      <c r="AP40" s="1087"/>
      <c r="AQ40" s="1087"/>
      <c r="AR40" s="1087"/>
      <c r="AS40" s="1087"/>
      <c r="AT40" s="1087"/>
      <c r="AU40" s="1087"/>
      <c r="AV40" s="1087"/>
      <c r="AW40" s="1087"/>
      <c r="AX40" s="1087"/>
      <c r="AY40" s="1087"/>
      <c r="AZ40" s="1087"/>
      <c r="BA40" s="1087"/>
      <c r="BB40" s="1087"/>
      <c r="BC40" s="1087" t="s">
        <v>288</v>
      </c>
    </row>
    <row r="41" spans="1:60" ht="14.25" customHeight="1">
      <c r="Q41" s="508"/>
      <c r="R41" s="437"/>
      <c r="S41" s="1166" t="s">
        <v>84</v>
      </c>
      <c r="T41" s="1167" t="s">
        <v>491</v>
      </c>
      <c r="U41" s="444"/>
      <c r="V41" s="1140" t="s">
        <v>416</v>
      </c>
      <c r="W41" s="1140"/>
      <c r="X41" s="1140"/>
      <c r="Y41" s="1140"/>
      <c r="Z41" s="1140"/>
      <c r="AA41" s="1140"/>
      <c r="AB41" s="1140"/>
      <c r="AC41" s="1167" t="s">
        <v>417</v>
      </c>
      <c r="AD41" s="1140" t="s">
        <v>492</v>
      </c>
      <c r="AE41" s="1140"/>
      <c r="AF41" s="1140"/>
      <c r="AG41" s="1140"/>
      <c r="AH41" s="1140" t="s">
        <v>493</v>
      </c>
      <c r="AI41" s="1140"/>
      <c r="AJ41" s="1140"/>
      <c r="AK41" s="1140"/>
      <c r="AL41" s="1140" t="s">
        <v>494</v>
      </c>
      <c r="AM41" s="1140"/>
      <c r="AN41" s="1140"/>
      <c r="AO41" s="1140"/>
      <c r="AP41" s="1140" t="s">
        <v>495</v>
      </c>
      <c r="AQ41" s="1140"/>
      <c r="AR41" s="1140"/>
      <c r="AS41" s="1140"/>
      <c r="AT41" s="1140" t="s">
        <v>416</v>
      </c>
      <c r="AU41" s="1140"/>
      <c r="AV41" s="1140"/>
      <c r="AW41" s="1140"/>
      <c r="AX41" s="1140"/>
      <c r="AY41" s="1140"/>
      <c r="AZ41" s="1140"/>
      <c r="BA41" s="1167" t="s">
        <v>417</v>
      </c>
      <c r="BB41" s="1168" t="s">
        <v>419</v>
      </c>
      <c r="BC41" s="1087"/>
    </row>
    <row r="42" spans="1:60" ht="33.75" customHeight="1">
      <c r="Q42" s="508"/>
      <c r="R42" s="437"/>
      <c r="S42" s="1166"/>
      <c r="T42" s="1167"/>
      <c r="U42" s="445"/>
      <c r="V42" s="1169" t="s">
        <v>496</v>
      </c>
      <c r="W42" s="1169"/>
      <c r="X42" s="1169" t="s">
        <v>497</v>
      </c>
      <c r="Y42" s="1169"/>
      <c r="Z42" s="1087" t="s">
        <v>498</v>
      </c>
      <c r="AA42" s="1087"/>
      <c r="AB42" s="1087"/>
      <c r="AC42" s="1167"/>
      <c r="AD42" s="1140"/>
      <c r="AE42" s="1140"/>
      <c r="AF42" s="1140"/>
      <c r="AG42" s="1140"/>
      <c r="AH42" s="1140"/>
      <c r="AI42" s="1140"/>
      <c r="AJ42" s="1140"/>
      <c r="AK42" s="1140"/>
      <c r="AL42" s="1140"/>
      <c r="AM42" s="1140"/>
      <c r="AN42" s="1140"/>
      <c r="AO42" s="1140"/>
      <c r="AP42" s="1140"/>
      <c r="AQ42" s="1140"/>
      <c r="AR42" s="1140"/>
      <c r="AS42" s="1140"/>
      <c r="AT42" s="1169" t="s">
        <v>496</v>
      </c>
      <c r="AU42" s="1169"/>
      <c r="AV42" s="1169" t="s">
        <v>497</v>
      </c>
      <c r="AW42" s="1169"/>
      <c r="AX42" s="1087" t="s">
        <v>498</v>
      </c>
      <c r="AY42" s="1087"/>
      <c r="AZ42" s="1087"/>
      <c r="BA42" s="1167"/>
      <c r="BB42" s="1168"/>
      <c r="BC42" s="1087"/>
    </row>
    <row r="43" spans="1:60" ht="14.25" customHeight="1">
      <c r="Q43" s="508"/>
      <c r="R43" s="437"/>
      <c r="S43" s="1166"/>
      <c r="T43" s="1167"/>
      <c r="U43" s="445"/>
      <c r="V43" s="1169"/>
      <c r="W43" s="1169"/>
      <c r="X43" s="1169"/>
      <c r="Y43" s="1169"/>
      <c r="Z43" s="1087"/>
      <c r="AA43" s="1087"/>
      <c r="AB43" s="1087"/>
      <c r="AC43" s="1167"/>
      <c r="AD43" s="1140"/>
      <c r="AE43" s="1140"/>
      <c r="AF43" s="1140"/>
      <c r="AG43" s="1140"/>
      <c r="AH43" s="1140"/>
      <c r="AI43" s="1140"/>
      <c r="AJ43" s="1140"/>
      <c r="AK43" s="1140"/>
      <c r="AL43" s="1140"/>
      <c r="AM43" s="1140"/>
      <c r="AN43" s="1140"/>
      <c r="AO43" s="1140"/>
      <c r="AP43" s="1140"/>
      <c r="AQ43" s="1140"/>
      <c r="AR43" s="1140"/>
      <c r="AS43" s="1140"/>
      <c r="AT43" s="1169"/>
      <c r="AU43" s="1169"/>
      <c r="AV43" s="1169"/>
      <c r="AW43" s="1169"/>
      <c r="AX43" s="1087"/>
      <c r="AY43" s="1087"/>
      <c r="AZ43" s="1087"/>
      <c r="BA43" s="1167"/>
      <c r="BB43" s="1168"/>
      <c r="BC43" s="1087"/>
    </row>
    <row r="44" spans="1:60" ht="14.25" customHeight="1">
      <c r="A44" s="142"/>
      <c r="B44" s="142" t="s">
        <v>131</v>
      </c>
      <c r="C44" s="142" t="s">
        <v>132</v>
      </c>
      <c r="D44" s="142" t="s">
        <v>133</v>
      </c>
      <c r="E44" s="391" t="s">
        <v>424</v>
      </c>
      <c r="F44" s="391" t="s">
        <v>425</v>
      </c>
      <c r="G44" s="391" t="s">
        <v>426</v>
      </c>
      <c r="H44" s="391" t="s">
        <v>427</v>
      </c>
      <c r="I44" s="391" t="s">
        <v>428</v>
      </c>
      <c r="J44" s="391" t="s">
        <v>429</v>
      </c>
      <c r="K44" s="391" t="s">
        <v>430</v>
      </c>
      <c r="L44" s="391" t="s">
        <v>405</v>
      </c>
      <c r="Q44" s="508"/>
      <c r="R44" s="437"/>
      <c r="S44" s="1166"/>
      <c r="T44" s="1167"/>
      <c r="U44" s="446"/>
      <c r="V44" s="368" t="s">
        <v>464</v>
      </c>
      <c r="W44" s="368" t="s">
        <v>465</v>
      </c>
      <c r="X44" s="368" t="s">
        <v>464</v>
      </c>
      <c r="Y44" s="368" t="s">
        <v>465</v>
      </c>
      <c r="Z44" s="203" t="s">
        <v>433</v>
      </c>
      <c r="AA44" s="1108" t="s">
        <v>434</v>
      </c>
      <c r="AB44" s="1108"/>
      <c r="AC44" s="1167"/>
      <c r="AD44" s="1140"/>
      <c r="AE44" s="1140"/>
      <c r="AF44" s="1140"/>
      <c r="AG44" s="1140"/>
      <c r="AH44" s="1140"/>
      <c r="AI44" s="1140"/>
      <c r="AJ44" s="1140"/>
      <c r="AK44" s="1140"/>
      <c r="AL44" s="1140"/>
      <c r="AM44" s="1140"/>
      <c r="AN44" s="1140"/>
      <c r="AO44" s="1140"/>
      <c r="AP44" s="1140"/>
      <c r="AQ44" s="1140"/>
      <c r="AR44" s="1140"/>
      <c r="AS44" s="1140"/>
      <c r="AT44" s="368" t="s">
        <v>464</v>
      </c>
      <c r="AU44" s="368" t="s">
        <v>465</v>
      </c>
      <c r="AV44" s="368" t="s">
        <v>464</v>
      </c>
      <c r="AW44" s="368" t="s">
        <v>465</v>
      </c>
      <c r="AX44" s="203" t="s">
        <v>433</v>
      </c>
      <c r="AY44" s="1108" t="s">
        <v>434</v>
      </c>
      <c r="AZ44" s="1108"/>
      <c r="BA44" s="1167"/>
      <c r="BB44" s="1168"/>
      <c r="BC44" s="1087"/>
    </row>
    <row r="45" spans="1:60" s="123" customFormat="1" ht="11.25" hidden="1" customHeight="1">
      <c r="A45" s="142"/>
      <c r="B45" s="142"/>
      <c r="C45" s="142"/>
      <c r="D45" s="142"/>
      <c r="E45" s="142"/>
      <c r="F45" s="142"/>
      <c r="G45" s="142"/>
      <c r="H45" s="142"/>
      <c r="I45" s="142"/>
      <c r="J45" s="142"/>
      <c r="K45" s="142"/>
      <c r="L45" s="391"/>
      <c r="M45" s="57"/>
      <c r="N45" s="57"/>
      <c r="O45" s="57"/>
      <c r="P45" s="466"/>
      <c r="Q45" s="449"/>
      <c r="R45" s="449">
        <v>1</v>
      </c>
      <c r="S45" s="450" t="s">
        <v>105</v>
      </c>
      <c r="T45" s="451" t="s">
        <v>106</v>
      </c>
      <c r="U45" s="452" t="str">
        <f ca="1">OFFSET(U45,0,-1)</f>
        <v>2</v>
      </c>
      <c r="V45" s="453">
        <f t="shared" ref="V45:AA45" ca="1" si="2">OFFSET(V45,0,-1)+1</f>
        <v>3</v>
      </c>
      <c r="W45" s="453">
        <f t="shared" ca="1" si="2"/>
        <v>4</v>
      </c>
      <c r="X45" s="453">
        <f t="shared" ca="1" si="2"/>
        <v>5</v>
      </c>
      <c r="Y45" s="453">
        <f t="shared" ca="1" si="2"/>
        <v>6</v>
      </c>
      <c r="Z45" s="453">
        <f t="shared" ca="1" si="2"/>
        <v>7</v>
      </c>
      <c r="AA45" s="1170">
        <f t="shared" ca="1" si="2"/>
        <v>8</v>
      </c>
      <c r="AB45" s="1170"/>
      <c r="AC45" s="453">
        <f ca="1">OFFSET(AC45,0,-2)+1</f>
        <v>9</v>
      </c>
      <c r="AD45" s="453">
        <f ca="1">OFFSET(AD45,0,-1)+1</f>
        <v>10</v>
      </c>
      <c r="AE45" s="453"/>
      <c r="AF45" s="453"/>
      <c r="AG45" s="453"/>
      <c r="AH45" s="453"/>
      <c r="AI45" s="453"/>
      <c r="AJ45" s="453"/>
      <c r="AK45" s="453"/>
      <c r="AL45" s="453"/>
      <c r="AM45" s="453"/>
      <c r="AN45" s="453"/>
      <c r="AO45" s="453"/>
      <c r="AP45" s="453"/>
      <c r="AQ45" s="453"/>
      <c r="AR45" s="453"/>
      <c r="AS45" s="453"/>
      <c r="AT45" s="453"/>
      <c r="AU45" s="453"/>
      <c r="AV45" s="453"/>
      <c r="AW45" s="453">
        <f ca="1">OFFSET(AW45,0,-1)+1</f>
        <v>1</v>
      </c>
      <c r="AX45" s="453">
        <f ca="1">OFFSET(AX45,0,-1)+1</f>
        <v>2</v>
      </c>
      <c r="AY45" s="1170">
        <f ca="1">OFFSET(AY45,0,-1)+1</f>
        <v>3</v>
      </c>
      <c r="AZ45" s="1170"/>
      <c r="BA45" s="453">
        <f ca="1">OFFSET(BA45,0,-2)+1</f>
        <v>4</v>
      </c>
      <c r="BB45" s="452">
        <f ca="1">OFFSET(BB45,0,-1)</f>
        <v>4</v>
      </c>
      <c r="BC45" s="453">
        <f ca="1">OFFSET(BC45,0,-1)+1</f>
        <v>5</v>
      </c>
      <c r="BD45" s="53"/>
      <c r="BE45" s="53"/>
      <c r="BF45" s="53"/>
      <c r="BG45" s="53"/>
      <c r="BH45" s="53"/>
    </row>
    <row r="46" spans="1:60" ht="21" customHeight="1">
      <c r="A46" s="390" t="s">
        <v>228</v>
      </c>
      <c r="B46" s="390"/>
      <c r="C46" s="390"/>
      <c r="D46" s="390"/>
      <c r="E46" s="1153">
        <v>1</v>
      </c>
      <c r="F46" s="390"/>
      <c r="G46" s="390"/>
      <c r="H46" s="390"/>
      <c r="I46" s="390"/>
      <c r="J46" s="390"/>
      <c r="K46" s="390"/>
      <c r="L46" s="391"/>
      <c r="M46" s="392"/>
      <c r="N46" s="392"/>
      <c r="O46" s="392"/>
      <c r="Q46" s="60"/>
      <c r="R46" s="393"/>
      <c r="S46" s="394">
        <f>INDEX(PT_DIFFERENTIATION_NUM_NTAR,MATCH(A46,PT_DIFFERENTIATION_NTAR_ID,0))</f>
        <v>0</v>
      </c>
      <c r="T46" s="395" t="s">
        <v>119</v>
      </c>
      <c r="U46" s="396"/>
      <c r="V46" s="1177"/>
      <c r="W46" s="1177"/>
      <c r="X46" s="1177"/>
      <c r="Y46" s="1177"/>
      <c r="Z46" s="1177"/>
      <c r="AA46" s="1177"/>
      <c r="AB46" s="1177"/>
      <c r="AC46" s="1177"/>
      <c r="AD46" s="1154" t="str">
        <f>INDEX(PT_DIFFERENTIATION_NTAR,MATCH(A46,PT_DIFFERENTIATION_NTAR_ID,0))</f>
        <v/>
      </c>
      <c r="AE46" s="1154"/>
      <c r="AF46" s="1154"/>
      <c r="AG46" s="1154"/>
      <c r="AH46" s="1154"/>
      <c r="AI46" s="1154"/>
      <c r="AJ46" s="1154"/>
      <c r="AK46" s="1154"/>
      <c r="AL46" s="1154"/>
      <c r="AM46" s="1154"/>
      <c r="AN46" s="1154"/>
      <c r="AO46" s="1154"/>
      <c r="AP46" s="1154"/>
      <c r="AQ46" s="1154"/>
      <c r="AR46" s="1154"/>
      <c r="AS46" s="1154"/>
      <c r="AT46" s="1154"/>
      <c r="AU46" s="1154"/>
      <c r="AV46" s="1154"/>
      <c r="AW46" s="1154"/>
      <c r="AX46" s="1154"/>
      <c r="AY46" s="1154"/>
      <c r="AZ46" s="1154"/>
      <c r="BA46" s="1154"/>
      <c r="BB46" s="1154"/>
      <c r="BC46"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1"/>
      <c r="BF46" s="121" t="str">
        <f t="shared" ref="BF46:BF52" si="3">IF(T46="","",T46)</f>
        <v>Наименование тарифа</v>
      </c>
      <c r="BG46" s="121"/>
      <c r="BH46" s="121"/>
    </row>
    <row r="47" spans="1:60" ht="21" customHeight="1">
      <c r="A47" s="390" t="s">
        <v>228</v>
      </c>
      <c r="B47" s="390" t="s">
        <v>229</v>
      </c>
      <c r="C47" s="390"/>
      <c r="D47" s="390"/>
      <c r="E47" s="1153"/>
      <c r="F47" s="1153">
        <v>1</v>
      </c>
      <c r="G47" s="390"/>
      <c r="H47" s="390"/>
      <c r="I47" s="390"/>
      <c r="J47" s="390"/>
      <c r="K47" s="390"/>
      <c r="L47" s="391"/>
      <c r="M47" s="392"/>
      <c r="N47" s="392"/>
      <c r="O47" s="392"/>
      <c r="P47" s="107"/>
      <c r="Q47" s="485"/>
      <c r="R47" s="399"/>
      <c r="S47" s="394" t="str">
        <f>INDEX(PT_DIFFERENTIATION_NUM_TER,MATCH(B47,PT_DIFFERENTIATION_TER_ID,0))</f>
        <v>.</v>
      </c>
      <c r="T47" s="400" t="s">
        <v>386</v>
      </c>
      <c r="U47" s="396"/>
      <c r="V47" s="1177"/>
      <c r="W47" s="1177"/>
      <c r="X47" s="1177"/>
      <c r="Y47" s="1177"/>
      <c r="Z47" s="1177"/>
      <c r="AA47" s="1177"/>
      <c r="AB47" s="1177"/>
      <c r="AC47" s="1177"/>
      <c r="AD47" s="1154" t="str">
        <f>INDEX(PT_DIFFERENTIATION_TER,MATCH(B47,PT_DIFFERENTIATION_TER_ID,0))</f>
        <v/>
      </c>
      <c r="AE47" s="1154"/>
      <c r="AF47" s="1154"/>
      <c r="AG47" s="1154"/>
      <c r="AH47" s="1154"/>
      <c r="AI47" s="1154"/>
      <c r="AJ47" s="1154"/>
      <c r="AK47" s="1154"/>
      <c r="AL47" s="1154"/>
      <c r="AM47" s="1154"/>
      <c r="AN47" s="1154"/>
      <c r="AO47" s="1154"/>
      <c r="AP47" s="1154"/>
      <c r="AQ47" s="1154"/>
      <c r="AR47" s="1154"/>
      <c r="AS47" s="1154"/>
      <c r="AT47" s="1154"/>
      <c r="AU47" s="1154"/>
      <c r="AV47" s="1154"/>
      <c r="AW47" s="1154"/>
      <c r="AX47" s="1154"/>
      <c r="AY47" s="1154"/>
      <c r="AZ47" s="1154"/>
      <c r="BA47" s="1154"/>
      <c r="BB47" s="1154"/>
      <c r="BC47" s="397" t="s">
        <v>387</v>
      </c>
      <c r="BE47" s="121"/>
      <c r="BF47" s="121" t="str">
        <f t="shared" si="3"/>
        <v>Территория действия тарифа</v>
      </c>
      <c r="BG47" s="121"/>
      <c r="BH47" s="121"/>
    </row>
    <row r="48" spans="1:60" ht="42" customHeight="1">
      <c r="A48" s="390" t="s">
        <v>228</v>
      </c>
      <c r="B48" s="390" t="s">
        <v>229</v>
      </c>
      <c r="C48" s="390" t="s">
        <v>230</v>
      </c>
      <c r="D48" s="390"/>
      <c r="E48" s="1153"/>
      <c r="F48" s="1153"/>
      <c r="G48" s="1153">
        <v>1</v>
      </c>
      <c r="H48" s="390"/>
      <c r="I48" s="390"/>
      <c r="J48" s="390"/>
      <c r="K48" s="390"/>
      <c r="L48" s="391"/>
      <c r="M48" s="392"/>
      <c r="N48" s="392"/>
      <c r="O48" s="392"/>
      <c r="P48" s="130"/>
      <c r="Q48" s="485"/>
      <c r="R48" s="399"/>
      <c r="S48" s="394" t="str">
        <f>INDEX(PT_DIFFERENTIATION_NUM_CS,MATCH(C48,PT_DIFFERENTIATION_CS_ID,0))</f>
        <v>..</v>
      </c>
      <c r="T48" s="402" t="s">
        <v>467</v>
      </c>
      <c r="U48" s="396"/>
      <c r="V48" s="1177"/>
      <c r="W48" s="1177"/>
      <c r="X48" s="1177"/>
      <c r="Y48" s="1177"/>
      <c r="Z48" s="1177"/>
      <c r="AA48" s="1177"/>
      <c r="AB48" s="1177"/>
      <c r="AC48" s="1177"/>
      <c r="AD48" s="1154" t="str">
        <f>INDEX(PT_DIFFERENTIATION_CS,MATCH(C48,PT_DIFFERENTIATION_CS_ID,0))</f>
        <v/>
      </c>
      <c r="AE48" s="1154"/>
      <c r="AF48" s="1154"/>
      <c r="AG48" s="1154"/>
      <c r="AH48" s="1154"/>
      <c r="AI48" s="1154"/>
      <c r="AJ48" s="1154"/>
      <c r="AK48" s="1154"/>
      <c r="AL48" s="1154"/>
      <c r="AM48" s="1154"/>
      <c r="AN48" s="1154"/>
      <c r="AO48" s="1154"/>
      <c r="AP48" s="1154"/>
      <c r="AQ48" s="1154"/>
      <c r="AR48" s="1154"/>
      <c r="AS48" s="1154"/>
      <c r="AT48" s="1154"/>
      <c r="AU48" s="1154"/>
      <c r="AV48" s="1154"/>
      <c r="AW48" s="1154"/>
      <c r="AX48" s="1154"/>
      <c r="AY48" s="1154"/>
      <c r="AZ48" s="1154"/>
      <c r="BA48" s="1154"/>
      <c r="BB48" s="1154"/>
      <c r="BC48" s="397" t="s">
        <v>468</v>
      </c>
      <c r="BE48" s="121"/>
      <c r="BF48" s="121" t="str">
        <f t="shared" si="3"/>
        <v>Наименование централизованной системы холодного водоснабжения</v>
      </c>
      <c r="BG48" s="121"/>
      <c r="BH48" s="121"/>
    </row>
    <row r="49" spans="1:60" s="53" customFormat="1" ht="10.5">
      <c r="A49" s="125" t="s">
        <v>228</v>
      </c>
      <c r="B49" s="125" t="s">
        <v>229</v>
      </c>
      <c r="C49" s="125" t="s">
        <v>230</v>
      </c>
      <c r="D49" s="125" t="s">
        <v>499</v>
      </c>
      <c r="E49" s="1153"/>
      <c r="F49" s="1153"/>
      <c r="G49" s="1153"/>
      <c r="H49" s="1153">
        <v>1</v>
      </c>
      <c r="I49" s="125"/>
      <c r="J49" s="125"/>
      <c r="K49" s="125"/>
      <c r="L49" s="184"/>
      <c r="M49" s="375"/>
      <c r="N49" s="375"/>
      <c r="O49" s="375"/>
      <c r="P49" s="524"/>
      <c r="Q49" s="525"/>
      <c r="R49" s="408"/>
      <c r="S49" s="280"/>
      <c r="T49" s="526"/>
      <c r="U49" s="460"/>
      <c r="V49" s="1178"/>
      <c r="W49" s="1178"/>
      <c r="X49" s="1178"/>
      <c r="Y49" s="1178"/>
      <c r="Z49" s="1178"/>
      <c r="AA49" s="1178"/>
      <c r="AB49" s="1178"/>
      <c r="AC49" s="1178"/>
      <c r="AD49" s="1175"/>
      <c r="AE49" s="1175"/>
      <c r="AF49" s="1175"/>
      <c r="AG49" s="1175"/>
      <c r="AH49" s="1175"/>
      <c r="AI49" s="1175"/>
      <c r="AJ49" s="1175"/>
      <c r="AK49" s="1175"/>
      <c r="AL49" s="1175"/>
      <c r="AM49" s="1175"/>
      <c r="AN49" s="1175"/>
      <c r="AO49" s="1175"/>
      <c r="AP49" s="1175"/>
      <c r="AQ49" s="1175"/>
      <c r="AR49" s="1175"/>
      <c r="AS49" s="1175"/>
      <c r="AT49" s="1175"/>
      <c r="AU49" s="1175"/>
      <c r="AV49" s="1175"/>
      <c r="AW49" s="1175"/>
      <c r="AX49" s="1175"/>
      <c r="AY49" s="1175"/>
      <c r="AZ49" s="1175"/>
      <c r="BA49" s="1175"/>
      <c r="BB49" s="1175"/>
      <c r="BC49" s="461" t="s">
        <v>391</v>
      </c>
      <c r="BE49" s="121"/>
      <c r="BF49" s="121" t="str">
        <f t="shared" si="3"/>
        <v/>
      </c>
      <c r="BG49" s="121"/>
      <c r="BH49" s="121"/>
    </row>
    <row r="50" spans="1:60" s="53" customFormat="1" ht="5.25">
      <c r="A50" s="125" t="s">
        <v>228</v>
      </c>
      <c r="B50" s="125" t="s">
        <v>229</v>
      </c>
      <c r="C50" s="125" t="s">
        <v>230</v>
      </c>
      <c r="D50" s="125" t="s">
        <v>499</v>
      </c>
      <c r="E50" s="1153"/>
      <c r="F50" s="1153"/>
      <c r="G50" s="1153"/>
      <c r="H50" s="1153"/>
      <c r="I50" s="1155" t="str">
        <f>S49&amp;".1"</f>
        <v>.1</v>
      </c>
      <c r="J50" s="125"/>
      <c r="K50" s="125"/>
      <c r="L50" s="184" t="s">
        <v>392</v>
      </c>
      <c r="M50" s="466"/>
      <c r="N50" s="466"/>
      <c r="O50" s="466"/>
      <c r="P50" s="1156">
        <v>1</v>
      </c>
      <c r="Q50" s="124"/>
      <c r="R50" s="405"/>
      <c r="S50" s="280"/>
      <c r="T50" s="459"/>
      <c r="U50" s="460"/>
      <c r="V50" s="1178"/>
      <c r="W50" s="1178"/>
      <c r="X50" s="1178"/>
      <c r="Y50" s="1178"/>
      <c r="Z50" s="1178"/>
      <c r="AA50" s="1178"/>
      <c r="AB50" s="1178"/>
      <c r="AC50" s="1178"/>
      <c r="AD50" s="1175"/>
      <c r="AE50" s="1175"/>
      <c r="AF50" s="1175"/>
      <c r="AG50" s="1175"/>
      <c r="AH50" s="1175"/>
      <c r="AI50" s="1175"/>
      <c r="AJ50" s="1175"/>
      <c r="AK50" s="1175"/>
      <c r="AL50" s="1175"/>
      <c r="AM50" s="1175"/>
      <c r="AN50" s="1175"/>
      <c r="AO50" s="1175"/>
      <c r="AP50" s="1175"/>
      <c r="AQ50" s="1175"/>
      <c r="AR50" s="1175"/>
      <c r="AS50" s="1175"/>
      <c r="AT50" s="1175"/>
      <c r="AU50" s="1175"/>
      <c r="AV50" s="1175"/>
      <c r="AW50" s="1175"/>
      <c r="AX50" s="1175"/>
      <c r="AY50" s="1175"/>
      <c r="AZ50" s="1175"/>
      <c r="BA50" s="1175"/>
      <c r="BB50" s="1175"/>
      <c r="BC50" s="461"/>
      <c r="BE50" s="121"/>
      <c r="BF50" s="121" t="str">
        <f t="shared" si="3"/>
        <v/>
      </c>
      <c r="BG50" s="121"/>
      <c r="BH50" s="121"/>
    </row>
    <row r="51" spans="1:60" s="53" customFormat="1" ht="5.25">
      <c r="A51" s="125" t="s">
        <v>228</v>
      </c>
      <c r="B51" s="125" t="s">
        <v>229</v>
      </c>
      <c r="C51" s="125" t="s">
        <v>230</v>
      </c>
      <c r="D51" s="125" t="s">
        <v>499</v>
      </c>
      <c r="E51" s="1153"/>
      <c r="F51" s="1153"/>
      <c r="G51" s="1153"/>
      <c r="H51" s="1153"/>
      <c r="I51" s="1155"/>
      <c r="J51" s="1155" t="str">
        <f>S49&amp;".1"</f>
        <v>.1</v>
      </c>
      <c r="K51" s="125"/>
      <c r="L51" s="184"/>
      <c r="M51" s="466"/>
      <c r="N51" s="466"/>
      <c r="O51" s="466"/>
      <c r="P51" s="1156"/>
      <c r="Q51" s="1156">
        <v>1</v>
      </c>
      <c r="R51" s="408"/>
      <c r="S51" s="280"/>
      <c r="T51" s="486"/>
      <c r="U51" s="460"/>
      <c r="V51" s="1178"/>
      <c r="W51" s="1178"/>
      <c r="X51" s="1178"/>
      <c r="Y51" s="1178"/>
      <c r="Z51" s="1178"/>
      <c r="AA51" s="1178"/>
      <c r="AB51" s="1178"/>
      <c r="AC51" s="1178"/>
      <c r="AD51" s="1175"/>
      <c r="AE51" s="1175"/>
      <c r="AF51" s="1175"/>
      <c r="AG51" s="1175"/>
      <c r="AH51" s="1175"/>
      <c r="AI51" s="1175"/>
      <c r="AJ51" s="1175"/>
      <c r="AK51" s="1175"/>
      <c r="AL51" s="1175"/>
      <c r="AM51" s="1175"/>
      <c r="AN51" s="1175"/>
      <c r="AO51" s="1175"/>
      <c r="AP51" s="1175"/>
      <c r="AQ51" s="1175"/>
      <c r="AR51" s="1175"/>
      <c r="AS51" s="1175"/>
      <c r="AT51" s="1175"/>
      <c r="AU51" s="1175"/>
      <c r="AV51" s="1175"/>
      <c r="AW51" s="1175"/>
      <c r="AX51" s="1175"/>
      <c r="AY51" s="1175"/>
      <c r="AZ51" s="1175"/>
      <c r="BA51" s="1175"/>
      <c r="BB51" s="1175"/>
      <c r="BC51" s="461"/>
      <c r="BE51" s="121"/>
      <c r="BF51" s="121" t="str">
        <f t="shared" si="3"/>
        <v/>
      </c>
      <c r="BG51" s="121"/>
      <c r="BH51" s="121"/>
    </row>
    <row r="52" spans="1:60" ht="11.25" customHeight="1">
      <c r="A52" s="390" t="s">
        <v>228</v>
      </c>
      <c r="B52" s="390" t="s">
        <v>229</v>
      </c>
      <c r="C52" s="390" t="s">
        <v>230</v>
      </c>
      <c r="D52" s="390" t="s">
        <v>499</v>
      </c>
      <c r="E52" s="1153"/>
      <c r="F52" s="1153"/>
      <c r="G52" s="1153"/>
      <c r="H52" s="1153"/>
      <c r="I52" s="1155"/>
      <c r="J52" s="1155"/>
      <c r="K52" s="1155" t="str">
        <f>S48&amp;".1"</f>
        <v>...1</v>
      </c>
      <c r="L52" s="391"/>
      <c r="P52" s="1156"/>
      <c r="Q52" s="1156"/>
      <c r="R52" s="408">
        <v>1</v>
      </c>
      <c r="S52" s="1166" t="str">
        <f>$K52</f>
        <v>...1</v>
      </c>
      <c r="T52" s="1192"/>
      <c r="U52" s="396"/>
      <c r="V52" s="411"/>
      <c r="W52" s="413"/>
      <c r="X52" s="411"/>
      <c r="Y52" s="413"/>
      <c r="Z52" s="414"/>
      <c r="AA52" s="191" t="s">
        <v>63</v>
      </c>
      <c r="AB52" s="414"/>
      <c r="AC52" s="191" t="s">
        <v>63</v>
      </c>
      <c r="AD52" s="1105" t="s">
        <v>63</v>
      </c>
      <c r="AE52" s="1181"/>
      <c r="AF52" s="1182">
        <v>1</v>
      </c>
      <c r="AG52" s="1193"/>
      <c r="AH52" s="1105" t="s">
        <v>63</v>
      </c>
      <c r="AI52" s="1181"/>
      <c r="AJ52" s="1182">
        <v>1</v>
      </c>
      <c r="AK52" s="1194"/>
      <c r="AL52" s="1105" t="s">
        <v>63</v>
      </c>
      <c r="AM52" s="1173"/>
      <c r="AN52" s="1182">
        <v>1</v>
      </c>
      <c r="AO52" s="1195"/>
      <c r="AP52" s="1196" t="s">
        <v>63</v>
      </c>
      <c r="AQ52" s="487"/>
      <c r="AR52" s="276">
        <v>1</v>
      </c>
      <c r="AS52" s="87"/>
      <c r="AT52" s="411"/>
      <c r="AU52" s="413"/>
      <c r="AV52" s="411"/>
      <c r="AW52" s="413"/>
      <c r="AX52" s="414"/>
      <c r="AY52" s="191" t="s">
        <v>63</v>
      </c>
      <c r="AZ52" s="414"/>
      <c r="BA52" s="191" t="s">
        <v>63</v>
      </c>
      <c r="BB52" s="454"/>
      <c r="BC52" s="1159" t="s">
        <v>485</v>
      </c>
      <c r="BE52" s="121"/>
      <c r="BF52" s="121" t="str">
        <f t="shared" si="3"/>
        <v/>
      </c>
      <c r="BG52" s="121"/>
      <c r="BH52" s="121"/>
    </row>
    <row r="53" spans="1:60" ht="11.25" customHeight="1">
      <c r="A53" s="390"/>
      <c r="B53" s="390"/>
      <c r="C53" s="390"/>
      <c r="D53" s="390"/>
      <c r="E53" s="1153"/>
      <c r="F53" s="1153"/>
      <c r="G53" s="1153"/>
      <c r="H53" s="1153"/>
      <c r="I53" s="1155"/>
      <c r="J53" s="1155"/>
      <c r="K53" s="1155"/>
      <c r="L53" s="391"/>
      <c r="P53" s="1156"/>
      <c r="Q53" s="1156"/>
      <c r="R53" s="408"/>
      <c r="S53" s="1166"/>
      <c r="T53" s="1192"/>
      <c r="U53" s="396"/>
      <c r="V53" s="476"/>
      <c r="W53" s="490"/>
      <c r="X53" s="476"/>
      <c r="Y53" s="490"/>
      <c r="Z53" s="476"/>
      <c r="AA53" s="476"/>
      <c r="AB53" s="476"/>
      <c r="AC53" s="476"/>
      <c r="AD53" s="1105"/>
      <c r="AE53" s="1181"/>
      <c r="AF53" s="1182"/>
      <c r="AG53" s="1193"/>
      <c r="AH53" s="1105"/>
      <c r="AI53" s="1181"/>
      <c r="AJ53" s="1182"/>
      <c r="AK53" s="1194"/>
      <c r="AL53" s="1105"/>
      <c r="AM53" s="1173"/>
      <c r="AN53" s="1182"/>
      <c r="AO53" s="1195"/>
      <c r="AP53" s="1196"/>
      <c r="AQ53" s="489"/>
      <c r="AR53" s="168"/>
      <c r="AS53" s="168" t="s">
        <v>486</v>
      </c>
      <c r="AT53" s="476"/>
      <c r="AU53" s="490"/>
      <c r="AV53" s="476"/>
      <c r="AW53" s="490"/>
      <c r="AX53" s="476"/>
      <c r="AY53" s="476"/>
      <c r="AZ53" s="476"/>
      <c r="BA53" s="476"/>
      <c r="BB53" s="488"/>
      <c r="BC53" s="1159"/>
      <c r="BE53" s="121"/>
      <c r="BF53" s="121"/>
      <c r="BG53" s="121"/>
      <c r="BH53" s="121"/>
    </row>
    <row r="54" spans="1:60" ht="11.25" customHeight="1">
      <c r="A54" s="390" t="s">
        <v>228</v>
      </c>
      <c r="B54" s="390"/>
      <c r="C54" s="390"/>
      <c r="D54" s="390"/>
      <c r="E54" s="1153"/>
      <c r="F54" s="1153"/>
      <c r="G54" s="1153"/>
      <c r="H54" s="1153"/>
      <c r="I54" s="1155"/>
      <c r="J54" s="1155"/>
      <c r="K54" s="1155"/>
      <c r="L54" s="391"/>
      <c r="P54" s="1156"/>
      <c r="Q54" s="1156"/>
      <c r="R54" s="408"/>
      <c r="S54" s="1166"/>
      <c r="T54" s="1192"/>
      <c r="U54" s="396"/>
      <c r="V54" s="476"/>
      <c r="W54" s="490"/>
      <c r="X54" s="476"/>
      <c r="Y54" s="490"/>
      <c r="Z54" s="476"/>
      <c r="AA54" s="476"/>
      <c r="AB54" s="476"/>
      <c r="AC54" s="476"/>
      <c r="AD54" s="1105"/>
      <c r="AE54" s="1181"/>
      <c r="AF54" s="1182"/>
      <c r="AG54" s="1193"/>
      <c r="AH54" s="1105"/>
      <c r="AI54" s="1181"/>
      <c r="AJ54" s="1182"/>
      <c r="AK54" s="1194"/>
      <c r="AL54" s="1105"/>
      <c r="AM54" s="489"/>
      <c r="AN54" s="527"/>
      <c r="AO54" s="527" t="s">
        <v>487</v>
      </c>
      <c r="AP54" s="168"/>
      <c r="AQ54" s="168"/>
      <c r="AR54" s="168"/>
      <c r="AS54" s="476"/>
      <c r="AT54" s="476"/>
      <c r="AU54" s="490"/>
      <c r="AV54" s="476"/>
      <c r="AW54" s="490"/>
      <c r="AX54" s="476"/>
      <c r="AY54" s="476"/>
      <c r="AZ54" s="476"/>
      <c r="BA54" s="476"/>
      <c r="BB54" s="488"/>
      <c r="BC54" s="1159"/>
      <c r="BE54" s="121"/>
      <c r="BF54" s="121"/>
      <c r="BG54" s="121"/>
      <c r="BH54" s="121"/>
    </row>
    <row r="55" spans="1:60" ht="11.25" customHeight="1">
      <c r="A55" s="390" t="s">
        <v>228</v>
      </c>
      <c r="B55" s="390"/>
      <c r="C55" s="390"/>
      <c r="D55" s="390"/>
      <c r="E55" s="1153"/>
      <c r="F55" s="1153"/>
      <c r="G55" s="1153"/>
      <c r="H55" s="1153"/>
      <c r="I55" s="1155"/>
      <c r="J55" s="1155"/>
      <c r="K55" s="1155"/>
      <c r="L55" s="391"/>
      <c r="P55" s="1156"/>
      <c r="Q55" s="1156"/>
      <c r="R55" s="408"/>
      <c r="S55" s="1166"/>
      <c r="T55" s="1192"/>
      <c r="U55" s="396"/>
      <c r="V55" s="476"/>
      <c r="W55" s="490"/>
      <c r="X55" s="476"/>
      <c r="Y55" s="490"/>
      <c r="Z55" s="476"/>
      <c r="AA55" s="476"/>
      <c r="AB55" s="476"/>
      <c r="AC55" s="476"/>
      <c r="AD55" s="1105"/>
      <c r="AE55" s="1181"/>
      <c r="AF55" s="1182"/>
      <c r="AG55" s="1193"/>
      <c r="AH55" s="1105"/>
      <c r="AI55" s="492"/>
      <c r="AJ55" s="163"/>
      <c r="AK55" s="357" t="s">
        <v>488</v>
      </c>
      <c r="AL55" s="476"/>
      <c r="AM55" s="476"/>
      <c r="AN55" s="476"/>
      <c r="AO55" s="476"/>
      <c r="AP55" s="476"/>
      <c r="AQ55" s="476"/>
      <c r="AR55" s="476"/>
      <c r="AS55" s="476"/>
      <c r="AT55" s="476"/>
      <c r="AU55" s="490"/>
      <c r="AV55" s="476"/>
      <c r="AW55" s="490"/>
      <c r="AX55" s="476"/>
      <c r="AY55" s="476"/>
      <c r="AZ55" s="476"/>
      <c r="BA55" s="476"/>
      <c r="BB55" s="488"/>
      <c r="BC55" s="1159"/>
      <c r="BE55" s="121"/>
      <c r="BF55" s="121"/>
      <c r="BG55" s="121"/>
      <c r="BH55" s="121"/>
    </row>
    <row r="56" spans="1:60" ht="11.25" customHeight="1">
      <c r="A56" s="390" t="s">
        <v>228</v>
      </c>
      <c r="B56" s="390" t="s">
        <v>229</v>
      </c>
      <c r="C56" s="390" t="s">
        <v>230</v>
      </c>
      <c r="D56" s="390" t="s">
        <v>499</v>
      </c>
      <c r="E56" s="1153"/>
      <c r="F56" s="1153"/>
      <c r="G56" s="1153"/>
      <c r="H56" s="1153"/>
      <c r="I56" s="1155"/>
      <c r="J56" s="1155"/>
      <c r="K56" s="1155"/>
      <c r="L56" s="391"/>
      <c r="P56" s="1156"/>
      <c r="Q56" s="1156"/>
      <c r="R56" s="408"/>
      <c r="S56" s="1166"/>
      <c r="T56" s="1192"/>
      <c r="U56" s="396"/>
      <c r="V56" s="476"/>
      <c r="W56" s="477" t="str">
        <f>Z52&amp;"-"&amp;AB52</f>
        <v>-</v>
      </c>
      <c r="X56" s="476"/>
      <c r="Y56" s="477" t="str">
        <f>AB52&amp;"-"&amp;AD52</f>
        <v>-да</v>
      </c>
      <c r="Z56" s="476"/>
      <c r="AA56" s="476"/>
      <c r="AB56" s="476"/>
      <c r="AC56" s="476"/>
      <c r="AD56" s="1105"/>
      <c r="AE56" s="494"/>
      <c r="AF56" s="495"/>
      <c r="AG56" s="168" t="s">
        <v>489</v>
      </c>
      <c r="AH56" s="476"/>
      <c r="AI56" s="476"/>
      <c r="AJ56" s="476"/>
      <c r="AK56" s="476"/>
      <c r="AL56" s="476"/>
      <c r="AM56" s="476"/>
      <c r="AN56" s="476"/>
      <c r="AO56" s="476"/>
      <c r="AP56" s="476"/>
      <c r="AQ56" s="476"/>
      <c r="AR56" s="476"/>
      <c r="AS56" s="476"/>
      <c r="AT56" s="476"/>
      <c r="AU56" s="477" t="str">
        <f>AX52&amp;"-"&amp;AZ52</f>
        <v>-</v>
      </c>
      <c r="AV56" s="476"/>
      <c r="AW56" s="477" t="str">
        <f>AZ52&amp;"-"&amp;BB52</f>
        <v>-</v>
      </c>
      <c r="AX56" s="476"/>
      <c r="AY56" s="476"/>
      <c r="AZ56" s="476"/>
      <c r="BA56" s="476"/>
      <c r="BB56" s="493" t="str">
        <f>BE52&amp;"-"&amp;BG52</f>
        <v>-</v>
      </c>
      <c r="BC56" s="1159"/>
      <c r="BE56" s="121"/>
      <c r="BF56" s="121" t="str">
        <f t="shared" ref="BF56:BF63" si="4">IF(T56="","",T56)</f>
        <v/>
      </c>
      <c r="BG56" s="121"/>
      <c r="BH56" s="121"/>
    </row>
    <row r="57" spans="1:60" ht="11.25" customHeight="1">
      <c r="A57" s="390" t="s">
        <v>228</v>
      </c>
      <c r="B57" s="390" t="s">
        <v>229</v>
      </c>
      <c r="C57" s="390" t="s">
        <v>230</v>
      </c>
      <c r="D57" s="390" t="s">
        <v>499</v>
      </c>
      <c r="E57" s="1153"/>
      <c r="F57" s="1153"/>
      <c r="G57" s="1153"/>
      <c r="H57" s="1153"/>
      <c r="I57" s="1155"/>
      <c r="J57" s="1155"/>
      <c r="K57" s="390"/>
      <c r="L57" s="391"/>
      <c r="P57" s="1156"/>
      <c r="Q57" s="1156"/>
      <c r="R57" s="405"/>
      <c r="S57" s="416"/>
      <c r="T57" s="419" t="s">
        <v>453</v>
      </c>
      <c r="U57" s="186"/>
      <c r="V57" s="186"/>
      <c r="W57" s="186"/>
      <c r="X57" s="186"/>
      <c r="Y57" s="186"/>
      <c r="Z57" s="186"/>
      <c r="AA57" s="186"/>
      <c r="AB57" s="186"/>
      <c r="AC57" s="418"/>
      <c r="AD57" s="514"/>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418"/>
      <c r="BC57" s="1159"/>
      <c r="BE57" s="121"/>
      <c r="BF57" s="121" t="str">
        <f t="shared" si="4"/>
        <v>Добавить строку</v>
      </c>
      <c r="BG57" s="121"/>
      <c r="BH57" s="121"/>
    </row>
    <row r="58" spans="1:60" s="53" customFormat="1" ht="5.25">
      <c r="A58" s="125" t="s">
        <v>228</v>
      </c>
      <c r="B58" s="125" t="s">
        <v>229</v>
      </c>
      <c r="C58" s="125" t="s">
        <v>230</v>
      </c>
      <c r="D58" s="125" t="s">
        <v>499</v>
      </c>
      <c r="E58" s="1153"/>
      <c r="F58" s="1153"/>
      <c r="G58" s="1153"/>
      <c r="H58" s="1153"/>
      <c r="I58" s="1155"/>
      <c r="J58" s="125"/>
      <c r="K58" s="125"/>
      <c r="L58" s="184"/>
      <c r="M58" s="466"/>
      <c r="N58" s="466"/>
      <c r="O58" s="466"/>
      <c r="P58" s="1156"/>
      <c r="Q58" s="124"/>
      <c r="R58" s="405"/>
      <c r="S58" s="462"/>
      <c r="T58" s="463"/>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5"/>
      <c r="BE58" s="121"/>
      <c r="BF58" s="121" t="str">
        <f t="shared" si="4"/>
        <v/>
      </c>
      <c r="BG58" s="121"/>
      <c r="BH58" s="121"/>
    </row>
    <row r="59" spans="1:60" s="53" customFormat="1" ht="5.25">
      <c r="A59" s="125" t="s">
        <v>228</v>
      </c>
      <c r="B59" s="125" t="s">
        <v>229</v>
      </c>
      <c r="C59" s="125" t="s">
        <v>230</v>
      </c>
      <c r="D59" s="125" t="s">
        <v>499</v>
      </c>
      <c r="E59" s="1153"/>
      <c r="F59" s="1153"/>
      <c r="G59" s="1153"/>
      <c r="H59" s="1153"/>
      <c r="I59" s="125"/>
      <c r="J59" s="125"/>
      <c r="K59" s="125"/>
      <c r="L59" s="184"/>
      <c r="M59" s="375"/>
      <c r="N59" s="375"/>
      <c r="P59" s="158"/>
      <c r="Q59" s="424"/>
      <c r="R59" s="496"/>
      <c r="S59" s="462"/>
      <c r="T59" s="463"/>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5"/>
      <c r="BE59" s="121"/>
      <c r="BF59" s="121" t="str">
        <f t="shared" si="4"/>
        <v/>
      </c>
      <c r="BG59" s="121"/>
      <c r="BH59" s="121"/>
    </row>
    <row r="60" spans="1:60" s="53" customFormat="1" ht="5.25">
      <c r="A60" s="125" t="s">
        <v>228</v>
      </c>
      <c r="B60" s="125" t="s">
        <v>229</v>
      </c>
      <c r="C60" s="125" t="s">
        <v>230</v>
      </c>
      <c r="D60" s="125"/>
      <c r="E60" s="1153"/>
      <c r="F60" s="1153"/>
      <c r="G60" s="1153"/>
      <c r="H60" s="125"/>
      <c r="I60" s="125"/>
      <c r="J60" s="125"/>
      <c r="K60" s="125"/>
      <c r="L60" s="184"/>
      <c r="M60" s="375"/>
      <c r="N60" s="375"/>
      <c r="P60" s="158"/>
      <c r="Q60" s="424"/>
      <c r="R60" s="158"/>
      <c r="S60" s="429"/>
      <c r="T60" s="432"/>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E60" s="121"/>
      <c r="BF60" s="121" t="str">
        <f t="shared" si="4"/>
        <v/>
      </c>
      <c r="BG60" s="121"/>
      <c r="BH60" s="121"/>
    </row>
    <row r="61" spans="1:60" s="53" customFormat="1" ht="5.25">
      <c r="A61" s="125" t="s">
        <v>228</v>
      </c>
      <c r="B61" s="125" t="s">
        <v>229</v>
      </c>
      <c r="C61" s="125"/>
      <c r="D61" s="125"/>
      <c r="E61" s="1153"/>
      <c r="F61" s="1153"/>
      <c r="G61" s="125"/>
      <c r="H61" s="125"/>
      <c r="I61" s="125"/>
      <c r="J61" s="125"/>
      <c r="K61" s="125"/>
      <c r="L61" s="184"/>
      <c r="M61" s="428"/>
      <c r="N61" s="428"/>
      <c r="P61" s="158"/>
      <c r="Q61" s="424"/>
      <c r="R61" s="158"/>
      <c r="S61" s="429"/>
      <c r="T61" s="432" t="s">
        <v>253</v>
      </c>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E61" s="121"/>
      <c r="BF61" s="121" t="str">
        <f t="shared" si="4"/>
        <v>Добавить централизованную систему для дифференциации</v>
      </c>
      <c r="BG61" s="121"/>
      <c r="BH61" s="121"/>
    </row>
    <row r="62" spans="1:60" s="53" customFormat="1" ht="5.25">
      <c r="A62" s="125" t="s">
        <v>228</v>
      </c>
      <c r="B62" s="125"/>
      <c r="C62" s="125"/>
      <c r="D62" s="125"/>
      <c r="E62" s="1153"/>
      <c r="F62" s="125"/>
      <c r="G62" s="125"/>
      <c r="H62" s="125"/>
      <c r="I62" s="125"/>
      <c r="J62" s="125"/>
      <c r="K62" s="125"/>
      <c r="L62" s="184"/>
      <c r="M62" s="428"/>
      <c r="N62" s="428"/>
      <c r="P62" s="158"/>
      <c r="Q62" s="424"/>
      <c r="R62" s="158"/>
      <c r="S62" s="429"/>
      <c r="T62" s="432" t="s">
        <v>254</v>
      </c>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431"/>
      <c r="BC62" s="431"/>
      <c r="BE62" s="121"/>
      <c r="BF62" s="121" t="str">
        <f t="shared" si="4"/>
        <v>Добавить территорию для дифференциации</v>
      </c>
      <c r="BG62" s="121"/>
      <c r="BH62" s="121"/>
    </row>
    <row r="63" spans="1:60" s="53" customFormat="1" ht="5.25">
      <c r="A63" s="125"/>
      <c r="B63" s="125"/>
      <c r="C63" s="125"/>
      <c r="D63" s="125"/>
      <c r="E63" s="125"/>
      <c r="F63" s="125"/>
      <c r="G63" s="125"/>
      <c r="H63" s="125"/>
      <c r="I63" s="125"/>
      <c r="J63" s="125"/>
      <c r="K63" s="125"/>
      <c r="L63" s="184"/>
      <c r="M63" s="428"/>
      <c r="N63" s="428"/>
      <c r="P63" s="158"/>
      <c r="Q63" s="424"/>
      <c r="R63" s="158"/>
      <c r="S63" s="429"/>
      <c r="T63" s="432" t="s">
        <v>255</v>
      </c>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E63" s="121"/>
      <c r="BF63" s="121" t="str">
        <f t="shared" si="4"/>
        <v>Добавить наименование тарифа</v>
      </c>
      <c r="BG63" s="121"/>
      <c r="BH63" s="121"/>
    </row>
    <row r="64" spans="1:60" ht="11.25" customHeight="1">
      <c r="M64" s="49"/>
      <c r="N64" s="49"/>
      <c r="O64" s="49"/>
      <c r="P64" s="49"/>
      <c r="Q64" s="49"/>
      <c r="R64" s="46"/>
      <c r="S64" s="46"/>
      <c r="BD64" s="46"/>
      <c r="BE64" s="46"/>
      <c r="BF64" s="46"/>
      <c r="BG64" s="46"/>
      <c r="BH64" s="46"/>
    </row>
    <row r="65" spans="15:55" ht="18.75" customHeight="1">
      <c r="O65" s="49"/>
      <c r="S65" s="387"/>
      <c r="T65" s="1171"/>
      <c r="U65" s="1171"/>
      <c r="V65" s="1171"/>
      <c r="W65" s="1171"/>
      <c r="X65" s="1171"/>
      <c r="Y65" s="1171"/>
      <c r="Z65" s="1171"/>
      <c r="AA65" s="1171"/>
      <c r="AB65" s="1171"/>
      <c r="AC65" s="1171"/>
      <c r="AD65" s="1171"/>
      <c r="AE65" s="1171"/>
      <c r="AF65" s="1171"/>
      <c r="AG65" s="1171"/>
      <c r="AH65" s="1171"/>
      <c r="AI65" s="1171"/>
      <c r="AJ65" s="1171"/>
      <c r="AK65" s="1171"/>
      <c r="AL65" s="1171"/>
      <c r="AM65" s="1171"/>
      <c r="AN65" s="1171"/>
      <c r="AO65" s="1171"/>
      <c r="AP65" s="1171"/>
      <c r="AQ65" s="1171"/>
      <c r="AR65" s="1171"/>
      <c r="AS65" s="1171"/>
      <c r="AT65" s="1171"/>
      <c r="AU65" s="1171"/>
      <c r="AV65" s="1171"/>
      <c r="AW65" s="1171"/>
      <c r="AX65" s="1171"/>
      <c r="AY65" s="1171"/>
      <c r="AZ65" s="1171"/>
      <c r="BA65" s="1171"/>
      <c r="BB65" s="1171"/>
      <c r="BC65" s="1171"/>
    </row>
    <row r="66" spans="15:55" ht="14.25" customHeight="1">
      <c r="O66" s="49"/>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row>
    <row r="67" spans="15:55" ht="18.75" customHeight="1">
      <c r="O67" s="49"/>
      <c r="S67" s="387"/>
      <c r="T67" s="1171"/>
      <c r="U67" s="1171"/>
      <c r="V67" s="1171"/>
      <c r="W67" s="1171"/>
      <c r="X67" s="1171"/>
      <c r="Y67" s="1171"/>
      <c r="Z67" s="1171"/>
      <c r="AA67" s="1171"/>
      <c r="AB67" s="1171"/>
      <c r="AC67" s="1171"/>
      <c r="AD67" s="1171"/>
      <c r="AE67" s="1171"/>
      <c r="AF67" s="1171"/>
      <c r="AG67" s="1171"/>
      <c r="AH67" s="1171"/>
      <c r="AI67" s="1171"/>
      <c r="AJ67" s="1171"/>
      <c r="AK67" s="1171"/>
      <c r="AL67" s="1171"/>
      <c r="AM67" s="1171"/>
      <c r="AN67" s="1171"/>
      <c r="AO67" s="1171"/>
      <c r="AP67" s="1171"/>
      <c r="AQ67" s="1171"/>
      <c r="AR67" s="1171"/>
      <c r="AS67" s="1171"/>
      <c r="AT67" s="1171"/>
      <c r="AU67" s="1171"/>
      <c r="AV67" s="1171"/>
      <c r="AW67" s="1171"/>
      <c r="AX67" s="1171"/>
      <c r="AY67" s="1171"/>
      <c r="AZ67" s="1171"/>
      <c r="BA67" s="1171"/>
      <c r="BB67" s="1171"/>
      <c r="BC67" s="1171"/>
    </row>
    <row r="68" spans="15:55" ht="14.25" customHeight="1">
      <c r="O68" s="49"/>
    </row>
  </sheetData>
  <mergeCells count="122">
    <mergeCell ref="AL52:AL54"/>
    <mergeCell ref="AM52:AM53"/>
    <mergeCell ref="AN52:AN53"/>
    <mergeCell ref="AO52:AO53"/>
    <mergeCell ref="AP52:AP53"/>
    <mergeCell ref="BC52:BC57"/>
    <mergeCell ref="T65:BC65"/>
    <mergeCell ref="T67:BC67"/>
    <mergeCell ref="T52:T56"/>
    <mergeCell ref="AD52:AD56"/>
    <mergeCell ref="AE52:AE55"/>
    <mergeCell ref="AF52:AF55"/>
    <mergeCell ref="AG52:AG55"/>
    <mergeCell ref="AH52:AH55"/>
    <mergeCell ref="AI52:AI54"/>
    <mergeCell ref="AJ52:AJ54"/>
    <mergeCell ref="AK52:AK5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S36:T36"/>
    <mergeCell ref="V36:AB36"/>
    <mergeCell ref="AD36:AZ36"/>
    <mergeCell ref="S37:T37"/>
    <mergeCell ref="V37:AB37"/>
    <mergeCell ref="AD37:AZ37"/>
    <mergeCell ref="V39:AC39"/>
    <mergeCell ref="AD39:BA39"/>
    <mergeCell ref="S40:BB40"/>
    <mergeCell ref="S32:T32"/>
    <mergeCell ref="V32:AB32"/>
    <mergeCell ref="AD32:AZ32"/>
    <mergeCell ref="S33:T33"/>
    <mergeCell ref="V33:AB33"/>
    <mergeCell ref="AD33:AZ33"/>
    <mergeCell ref="S34:T34"/>
    <mergeCell ref="V34:AB34"/>
    <mergeCell ref="AD34:AZ34"/>
    <mergeCell ref="AM8:AM9"/>
    <mergeCell ref="AN8:AN9"/>
    <mergeCell ref="AO8:AO9"/>
    <mergeCell ref="AP8:AP9"/>
    <mergeCell ref="BC8:BC13"/>
    <mergeCell ref="S28:AZ28"/>
    <mergeCell ref="S29:AZ29"/>
    <mergeCell ref="S31:T31"/>
    <mergeCell ref="V31:AB31"/>
    <mergeCell ref="AD31:AZ31"/>
    <mergeCell ref="AD8:AD12"/>
    <mergeCell ref="AE8:AE11"/>
    <mergeCell ref="AF8:AF11"/>
    <mergeCell ref="AG8:AG11"/>
    <mergeCell ref="AH8:AH11"/>
    <mergeCell ref="AI8:AI10"/>
    <mergeCell ref="AJ8:AJ10"/>
    <mergeCell ref="AK8:AK10"/>
    <mergeCell ref="AL8:AL10"/>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s>
  <dataValidations count="5">
    <dataValidation allowBlank="1" showInputMessage="1" showErrorMessage="1" prompt="Для выбора выполните двойной щелчок левой клавиши мыши по соответствующей ячейке." sqref="AA8 AC8:AD8 AH8:AH9 AK8:AL9 AP8 AY8 BA8 AD20 AG20:AH20 AK20:AL20 AP20 AY20 BA20 AA52 AC52:AD52 AH52:AH53 AK52:AL53 AP52 AY52 BA52">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X8 AZ8 AX20 AZ20 Z52 AB52 AX52 AZ52">
      <formula1>0</formula1>
      <formula2>0</formula2>
    </dataValidation>
    <dataValidation type="textLength" operator="lessThanOrEqual" allowBlank="1" showInputMessage="1" showErrorMessage="1" errorTitle="Ошибка" error="Допускается ввод не более 900 символов!" sqref="T8:T9 AS8 T10:T12 T52:T53 AS52 T54:T56">
      <formula1>900</formula1>
      <formula2>0</formula2>
    </dataValidation>
    <dataValidation allowBlank="1" promptTitle="checkPeriodRange" sqref="W12 Y12 AU12 AW12 BB12 W56 Y56 AU56 AW56 BB56">
      <formula1>0</formula1>
      <formula2>0</formula2>
    </dataValidation>
    <dataValidation type="decimal" allowBlank="1" showErrorMessage="1" errorTitle="Ошибка" error="Допускается ввод только действительных чисел!" sqref="AG8:AG10 AO8:AO9 AG11 AG52:AG54 AO52:AO53 AG55">
      <formula1>-9.99999999999999E+23</formula1>
      <formula2>9.99999999999999E+23</formula2>
    </dataValidation>
  </dataValidations>
  <pageMargins left="0.7" right="0.7" top="0.625" bottom="0.625" header="0.3" footer="0.3"/>
  <pageSetup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DO57"/>
  <sheetViews>
    <sheetView showGridLines="0" topLeftCell="P23" zoomScale="90" zoomScaleNormal="90" workbookViewId="0">
      <selection activeCell="DJ58" sqref="DJ58"/>
    </sheetView>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4.140625" style="49" hidden="1" customWidth="1"/>
    <col min="10" max="10" width="9.85546875" style="49" hidden="1" customWidth="1"/>
    <col min="11" max="11" width="14.7109375" style="49" hidden="1" customWidth="1"/>
    <col min="12" max="12" width="19.140625" style="107" hidden="1" customWidth="1"/>
    <col min="13" max="14" width="12.28515625" style="57" hidden="1" customWidth="1"/>
    <col min="15" max="15" width="23.42578125" style="57" hidden="1" customWidth="1"/>
    <col min="16" max="16" width="3.7109375" style="56" customWidth="1"/>
    <col min="17" max="18" width="3.7109375" style="389" customWidth="1"/>
    <col min="19" max="19" width="12.7109375" style="254" customWidth="1"/>
    <col min="20" max="20" width="35.7109375" style="46" customWidth="1"/>
    <col min="21" max="21" width="0.140625" style="46" customWidth="1"/>
    <col min="22" max="24" width="24.7109375" style="46" hidden="1" customWidth="1"/>
    <col min="25" max="25" width="11.7109375" style="46" hidden="1" customWidth="1"/>
    <col min="26" max="26" width="3.7109375" style="46" hidden="1" customWidth="1"/>
    <col min="27" max="27" width="11.7109375" style="46" hidden="1" customWidth="1"/>
    <col min="28" max="28" width="8.5703125" style="46" hidden="1" customWidth="1"/>
    <col min="29" max="31" width="24.7109375" style="46" customWidth="1"/>
    <col min="32" max="32" width="11.7109375" style="46" customWidth="1"/>
    <col min="33" max="33" width="3.7109375" style="46" customWidth="1"/>
    <col min="34" max="34" width="11.7109375" style="46" customWidth="1"/>
    <col min="35" max="35" width="8.5703125" style="46" customWidth="1"/>
    <col min="39" max="39" width="11.7109375" customWidth="1"/>
    <col min="41" max="41" width="15.28515625" customWidth="1"/>
    <col min="46" max="46" width="11.140625" customWidth="1"/>
    <col min="112" max="112" width="10.5703125" hidden="1"/>
    <col min="113" max="113" width="4.7109375" style="46" customWidth="1"/>
    <col min="114" max="114" width="115.7109375" style="46" customWidth="1"/>
    <col min="115" max="116" width="10.5703125" style="53"/>
    <col min="117" max="117" width="11.140625" style="53" customWidth="1"/>
    <col min="118" max="119" width="10.5703125" style="53"/>
  </cols>
  <sheetData>
    <row r="1" spans="1:119" ht="14.25" hidden="1" customHeight="1">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row>
    <row r="2" spans="1:119" ht="23.25"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t="e">
        <f>INDEX(PT_DIFFERENTIATION_NTAR,MATCH(A2,PT_DIFFERENTIATION_NTAR_ID,0))</f>
        <v>#N/A</v>
      </c>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L2" s="121"/>
      <c r="DM2" s="121" t="str">
        <f t="shared" ref="DM2:DM13" si="0">IF(T2="","",T2)</f>
        <v>Наименование тарифа</v>
      </c>
      <c r="DN2" s="121"/>
      <c r="DO2" s="121"/>
    </row>
    <row r="3" spans="1:119" ht="23.25"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t="e">
        <f>INDEX(PT_DIFFERENTIATION_TER,MATCH(B3,PT_DIFFERENTIATION_TER_ID,0))</f>
        <v>#N/A</v>
      </c>
      <c r="AD3" s="1154"/>
      <c r="AE3" s="1154"/>
      <c r="AF3" s="1154"/>
      <c r="AG3" s="1154"/>
      <c r="AH3" s="1154"/>
      <c r="AI3" s="1154"/>
      <c r="AJ3" s="1154"/>
      <c r="AK3" s="1154"/>
      <c r="AL3" s="1154"/>
      <c r="AM3" s="1154"/>
      <c r="AN3" s="1154"/>
      <c r="AO3" s="1154"/>
      <c r="AP3" s="1154"/>
      <c r="AQ3" s="1154"/>
      <c r="AR3" s="1154"/>
      <c r="AS3" s="1154"/>
      <c r="AT3" s="1154"/>
      <c r="AU3" s="1154"/>
      <c r="AV3" s="1154"/>
      <c r="AW3" s="1154"/>
      <c r="AX3" s="1154"/>
      <c r="AY3" s="1154"/>
      <c r="AZ3" s="1154"/>
      <c r="BA3" s="1154"/>
      <c r="BB3" s="1154"/>
      <c r="BC3" s="1154"/>
      <c r="BD3" s="1154"/>
      <c r="BE3" s="1154"/>
      <c r="BF3" s="1154"/>
      <c r="BG3" s="1154"/>
      <c r="BH3" s="1154"/>
      <c r="BI3" s="1154"/>
      <c r="BJ3" s="1154"/>
      <c r="BK3" s="1154"/>
      <c r="BL3" s="1154"/>
      <c r="BM3" s="1154"/>
      <c r="BN3" s="1154"/>
      <c r="BO3" s="1154"/>
      <c r="BP3" s="1154"/>
      <c r="BQ3" s="1154"/>
      <c r="BR3" s="1154"/>
      <c r="BS3" s="1154"/>
      <c r="BT3" s="1154"/>
      <c r="BU3" s="1154"/>
      <c r="BV3" s="1154"/>
      <c r="BW3" s="1154"/>
      <c r="BX3" s="1154"/>
      <c r="BY3" s="1154"/>
      <c r="BZ3" s="1154"/>
      <c r="CA3" s="1154"/>
      <c r="CB3" s="1154"/>
      <c r="CC3" s="1154"/>
      <c r="CD3" s="1154"/>
      <c r="CE3" s="1154"/>
      <c r="CF3" s="1154"/>
      <c r="CG3" s="1154"/>
      <c r="CH3" s="1154"/>
      <c r="CI3" s="1154"/>
      <c r="CJ3" s="1154"/>
      <c r="CK3" s="1154"/>
      <c r="CL3" s="1154"/>
      <c r="CM3" s="1154"/>
      <c r="CN3" s="1154"/>
      <c r="CO3" s="1154"/>
      <c r="CP3" s="1154"/>
      <c r="CQ3" s="1154"/>
      <c r="CR3" s="1154"/>
      <c r="CS3" s="1154"/>
      <c r="CT3" s="1154"/>
      <c r="CU3" s="1154"/>
      <c r="CV3" s="1154"/>
      <c r="CW3" s="1154"/>
      <c r="CX3" s="1154"/>
      <c r="CY3" s="1154"/>
      <c r="CZ3" s="1154"/>
      <c r="DA3" s="1154"/>
      <c r="DB3" s="1154"/>
      <c r="DC3" s="1154"/>
      <c r="DD3" s="1154"/>
      <c r="DE3" s="1154"/>
      <c r="DF3" s="1154"/>
      <c r="DG3" s="1154"/>
      <c r="DH3" s="1154"/>
      <c r="DI3" s="1154"/>
      <c r="DJ3" s="397" t="s">
        <v>387</v>
      </c>
      <c r="DL3" s="121"/>
      <c r="DM3" s="121" t="str">
        <f t="shared" si="0"/>
        <v>Территория действия тарифа</v>
      </c>
      <c r="DN3" s="121"/>
      <c r="DO3" s="121"/>
    </row>
    <row r="4" spans="1:119"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500</v>
      </c>
      <c r="U4" s="396"/>
      <c r="V4" s="1154"/>
      <c r="W4" s="1154"/>
      <c r="X4" s="1154"/>
      <c r="Y4" s="1154"/>
      <c r="Z4" s="1154"/>
      <c r="AA4" s="1154"/>
      <c r="AB4" s="1154"/>
      <c r="AC4" s="1154" t="e">
        <f>INDEX(PT_DIFFERENTIATION_CS,MATCH(C4,PT_DIFFERENTIATION_CS_ID,0))</f>
        <v>#N/A</v>
      </c>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1154"/>
      <c r="BA4" s="1154"/>
      <c r="BB4" s="1154"/>
      <c r="BC4" s="1154"/>
      <c r="BD4" s="1154"/>
      <c r="BE4" s="1154"/>
      <c r="BF4" s="1154"/>
      <c r="BG4" s="1154"/>
      <c r="BH4" s="1154"/>
      <c r="BI4" s="1154"/>
      <c r="BJ4" s="1154"/>
      <c r="BK4" s="1154"/>
      <c r="BL4" s="1154"/>
      <c r="BM4" s="1154"/>
      <c r="BN4" s="1154"/>
      <c r="BO4" s="1154"/>
      <c r="BP4" s="1154"/>
      <c r="BQ4" s="1154"/>
      <c r="BR4" s="1154"/>
      <c r="BS4" s="1154"/>
      <c r="BT4" s="1154"/>
      <c r="BU4" s="1154"/>
      <c r="BV4" s="1154"/>
      <c r="BW4" s="1154"/>
      <c r="BX4" s="1154"/>
      <c r="BY4" s="1154"/>
      <c r="BZ4" s="1154"/>
      <c r="CA4" s="1154"/>
      <c r="CB4" s="1154"/>
      <c r="CC4" s="1154"/>
      <c r="CD4" s="1154"/>
      <c r="CE4" s="1154"/>
      <c r="CF4" s="1154"/>
      <c r="CG4" s="1154"/>
      <c r="CH4" s="1154"/>
      <c r="CI4" s="1154"/>
      <c r="CJ4" s="1154"/>
      <c r="CK4" s="1154"/>
      <c r="CL4" s="1154"/>
      <c r="CM4" s="1154"/>
      <c r="CN4" s="1154"/>
      <c r="CO4" s="1154"/>
      <c r="CP4" s="1154"/>
      <c r="CQ4" s="1154"/>
      <c r="CR4" s="1154"/>
      <c r="CS4" s="1154"/>
      <c r="CT4" s="1154"/>
      <c r="CU4" s="1154"/>
      <c r="CV4" s="1154"/>
      <c r="CW4" s="1154"/>
      <c r="CX4" s="1154"/>
      <c r="CY4" s="1154"/>
      <c r="CZ4" s="1154"/>
      <c r="DA4" s="1154"/>
      <c r="DB4" s="1154"/>
      <c r="DC4" s="1154"/>
      <c r="DD4" s="1154"/>
      <c r="DE4" s="1154"/>
      <c r="DF4" s="1154"/>
      <c r="DG4" s="1154"/>
      <c r="DH4" s="1154"/>
      <c r="DI4" s="1154"/>
      <c r="DJ4" s="397" t="s">
        <v>501</v>
      </c>
      <c r="DL4" s="121"/>
      <c r="DM4" s="121" t="str">
        <f t="shared" si="0"/>
        <v>Наименование централизованной системы водоотведения</v>
      </c>
      <c r="DN4" s="121"/>
      <c r="DO4" s="121"/>
    </row>
    <row r="5" spans="1:119" ht="23.25" hidden="1" customHeight="1">
      <c r="A5" s="390"/>
      <c r="B5" s="390"/>
      <c r="C5" s="390"/>
      <c r="D5" s="390"/>
      <c r="E5" s="1153"/>
      <c r="F5" s="1153"/>
      <c r="G5" s="1153"/>
      <c r="H5" s="1189"/>
      <c r="I5" s="1155" t="e">
        <f>S4&amp;".1"</f>
        <v>#N/A</v>
      </c>
      <c r="J5" s="390"/>
      <c r="K5" s="390"/>
      <c r="L5" s="391"/>
      <c r="P5" s="1156">
        <v>1</v>
      </c>
      <c r="Q5" s="124"/>
      <c r="R5" s="405"/>
      <c r="S5" s="394" t="e">
        <f>$I5</f>
        <v>#N/A</v>
      </c>
      <c r="T5" s="406" t="s">
        <v>469</v>
      </c>
      <c r="U5" s="396"/>
      <c r="V5" s="1190"/>
      <c r="W5" s="1190"/>
      <c r="X5" s="1190"/>
      <c r="Y5" s="1190"/>
      <c r="Z5" s="1190"/>
      <c r="AA5" s="1190"/>
      <c r="AB5" s="1190"/>
      <c r="AC5" s="1123"/>
      <c r="AD5" s="1123"/>
      <c r="AE5" s="1123"/>
      <c r="AF5" s="1123"/>
      <c r="AG5" s="1123"/>
      <c r="AH5" s="1123"/>
      <c r="AI5" s="1123"/>
      <c r="AJ5" s="1123"/>
      <c r="AK5" s="1123"/>
      <c r="AL5" s="1123"/>
      <c r="AM5" s="1123"/>
      <c r="AN5" s="1123"/>
      <c r="AO5" s="1123"/>
      <c r="AP5" s="1123"/>
      <c r="AQ5" s="1123"/>
      <c r="AR5" s="1123"/>
      <c r="AS5" s="1123"/>
      <c r="AT5" s="1123"/>
      <c r="AU5" s="1123"/>
      <c r="AV5" s="1123"/>
      <c r="AW5" s="1123"/>
      <c r="AX5" s="1123"/>
      <c r="AY5" s="1123"/>
      <c r="AZ5" s="1123"/>
      <c r="BA5" s="1123"/>
      <c r="BB5" s="1123"/>
      <c r="BC5" s="1123"/>
      <c r="BD5" s="1123"/>
      <c r="BE5" s="1123"/>
      <c r="BF5" s="1123"/>
      <c r="BG5" s="1123"/>
      <c r="BH5" s="1123"/>
      <c r="BI5" s="1123"/>
      <c r="BJ5" s="1123"/>
      <c r="BK5" s="1123"/>
      <c r="BL5" s="1123"/>
      <c r="BM5" s="1123"/>
      <c r="BN5" s="1123"/>
      <c r="BO5" s="1123"/>
      <c r="BP5" s="1123"/>
      <c r="BQ5" s="1123"/>
      <c r="BR5" s="1123"/>
      <c r="BS5" s="1123"/>
      <c r="BT5" s="1123"/>
      <c r="BU5" s="1123"/>
      <c r="BV5" s="1123"/>
      <c r="BW5" s="1123"/>
      <c r="BX5" s="1123"/>
      <c r="BY5" s="1123"/>
      <c r="BZ5" s="1123"/>
      <c r="CA5" s="1123"/>
      <c r="CB5" s="1123"/>
      <c r="CC5" s="1123"/>
      <c r="CD5" s="1123"/>
      <c r="CE5" s="1123"/>
      <c r="CF5" s="1123"/>
      <c r="CG5" s="1123"/>
      <c r="CH5" s="1123"/>
      <c r="CI5" s="1123"/>
      <c r="CJ5" s="1123"/>
      <c r="CK5" s="1123"/>
      <c r="CL5" s="1123"/>
      <c r="CM5" s="1123"/>
      <c r="CN5" s="1123"/>
      <c r="CO5" s="1123"/>
      <c r="CP5" s="1123"/>
      <c r="CQ5" s="1123"/>
      <c r="CR5" s="1123"/>
      <c r="CS5" s="1123"/>
      <c r="CT5" s="1123"/>
      <c r="CU5" s="1123"/>
      <c r="CV5" s="1123"/>
      <c r="CW5" s="1123"/>
      <c r="CX5" s="1123"/>
      <c r="CY5" s="1123"/>
      <c r="CZ5" s="1123"/>
      <c r="DA5" s="1123"/>
      <c r="DB5" s="1123"/>
      <c r="DC5" s="1123"/>
      <c r="DD5" s="1123"/>
      <c r="DE5" s="1123"/>
      <c r="DF5" s="1123"/>
      <c r="DG5" s="1123"/>
      <c r="DH5" s="1123"/>
      <c r="DI5" s="1123"/>
      <c r="DJ5" s="397" t="s">
        <v>470</v>
      </c>
      <c r="DL5" s="121"/>
      <c r="DM5" s="121" t="str">
        <f t="shared" si="0"/>
        <v>Наименование признака дифференциации</v>
      </c>
      <c r="DN5" s="121"/>
      <c r="DO5" s="121"/>
    </row>
    <row r="6" spans="1:119" ht="23.25" hidden="1" customHeight="1">
      <c r="A6" s="390"/>
      <c r="B6" s="390"/>
      <c r="C6" s="390"/>
      <c r="D6" s="390"/>
      <c r="E6" s="1153"/>
      <c r="F6" s="1153"/>
      <c r="G6" s="1153"/>
      <c r="H6" s="1153"/>
      <c r="I6" s="1155"/>
      <c r="J6" s="1155" t="e">
        <f>I5&amp;".1"</f>
        <v>#N/A</v>
      </c>
      <c r="K6" s="390"/>
      <c r="L6" s="391" t="s">
        <v>395</v>
      </c>
      <c r="P6" s="1156"/>
      <c r="Q6" s="1156">
        <v>1</v>
      </c>
      <c r="R6" s="408"/>
      <c r="S6" s="394" t="e">
        <f>$J6</f>
        <v>#N/A</v>
      </c>
      <c r="T6" s="409" t="s">
        <v>396</v>
      </c>
      <c r="U6" s="396"/>
      <c r="V6" s="1157"/>
      <c r="W6" s="1157"/>
      <c r="X6" s="1157"/>
      <c r="Y6" s="1157"/>
      <c r="Z6" s="1157"/>
      <c r="AA6" s="1157"/>
      <c r="AB6" s="1157"/>
      <c r="AC6" s="1157"/>
      <c r="AD6" s="1157"/>
      <c r="AE6" s="1157"/>
      <c r="AF6" s="1157"/>
      <c r="AG6" s="1157"/>
      <c r="AH6" s="1157"/>
      <c r="AI6" s="1157"/>
      <c r="AJ6" s="1157"/>
      <c r="AK6" s="1157"/>
      <c r="AL6" s="1157"/>
      <c r="AM6" s="1157"/>
      <c r="AN6" s="1157"/>
      <c r="AO6" s="1157"/>
      <c r="AP6" s="1157"/>
      <c r="AQ6" s="1157"/>
      <c r="AR6" s="1157"/>
      <c r="AS6" s="1157"/>
      <c r="AT6" s="1157"/>
      <c r="AU6" s="1157"/>
      <c r="AV6" s="1157"/>
      <c r="AW6" s="1157"/>
      <c r="AX6" s="1157"/>
      <c r="AY6" s="1157"/>
      <c r="AZ6" s="1157"/>
      <c r="BA6" s="1157"/>
      <c r="BB6" s="1157"/>
      <c r="BC6" s="1157"/>
      <c r="BD6" s="1157"/>
      <c r="BE6" s="1157"/>
      <c r="BF6" s="1157"/>
      <c r="BG6" s="1157"/>
      <c r="BH6" s="1157"/>
      <c r="BI6" s="1157"/>
      <c r="BJ6" s="1157"/>
      <c r="BK6" s="1157"/>
      <c r="BL6" s="1157"/>
      <c r="BM6" s="1157"/>
      <c r="BN6" s="1157"/>
      <c r="BO6" s="1157"/>
      <c r="BP6" s="1157"/>
      <c r="BQ6" s="1157"/>
      <c r="BR6" s="1157"/>
      <c r="BS6" s="1157"/>
      <c r="BT6" s="1157"/>
      <c r="BU6" s="1157"/>
      <c r="BV6" s="1157"/>
      <c r="BW6" s="1157"/>
      <c r="BX6" s="1157"/>
      <c r="BY6" s="1157"/>
      <c r="BZ6" s="1157"/>
      <c r="CA6" s="1157"/>
      <c r="CB6" s="1157"/>
      <c r="CC6" s="1157"/>
      <c r="CD6" s="1157"/>
      <c r="CE6" s="1157"/>
      <c r="CF6" s="1157"/>
      <c r="CG6" s="1157"/>
      <c r="CH6" s="1157"/>
      <c r="CI6" s="1157"/>
      <c r="CJ6" s="1157"/>
      <c r="CK6" s="1157"/>
      <c r="CL6" s="1157"/>
      <c r="CM6" s="1157"/>
      <c r="CN6" s="1157"/>
      <c r="CO6" s="1157"/>
      <c r="CP6" s="1157"/>
      <c r="CQ6" s="1157"/>
      <c r="CR6" s="1157"/>
      <c r="CS6" s="1157"/>
      <c r="CT6" s="1157"/>
      <c r="CU6" s="1157"/>
      <c r="CV6" s="1157"/>
      <c r="CW6" s="1157"/>
      <c r="CX6" s="1157"/>
      <c r="CY6" s="1157"/>
      <c r="CZ6" s="1157"/>
      <c r="DA6" s="1157"/>
      <c r="DB6" s="1157"/>
      <c r="DC6" s="1157"/>
      <c r="DD6" s="1157"/>
      <c r="DE6" s="1157"/>
      <c r="DF6" s="1157"/>
      <c r="DG6" s="1157"/>
      <c r="DH6" s="1157"/>
      <c r="DI6" s="1157"/>
      <c r="DJ6" s="471" t="s">
        <v>471</v>
      </c>
      <c r="DL6" s="121"/>
      <c r="DM6" s="121" t="str">
        <f t="shared" si="0"/>
        <v>Группа потребителей</v>
      </c>
      <c r="DN6" s="121"/>
      <c r="DO6" s="121"/>
    </row>
    <row r="7" spans="1:119" ht="23.25" hidden="1" customHeight="1">
      <c r="A7" s="390"/>
      <c r="B7" s="390"/>
      <c r="C7" s="390"/>
      <c r="D7" s="390"/>
      <c r="E7" s="1153"/>
      <c r="F7" s="1153"/>
      <c r="G7" s="1153"/>
      <c r="H7" s="1153"/>
      <c r="I7" s="1155"/>
      <c r="J7" s="1155"/>
      <c r="K7" s="1155" t="e">
        <f>J6&amp;".1"</f>
        <v>#N/A</v>
      </c>
      <c r="L7" s="391"/>
      <c r="P7" s="1156"/>
      <c r="Q7" s="1156"/>
      <c r="R7" s="408">
        <v>1</v>
      </c>
      <c r="S7" s="394" t="e">
        <f>$K7</f>
        <v>#N/A</v>
      </c>
      <c r="T7" s="517"/>
      <c r="U7" s="396"/>
      <c r="V7" s="411"/>
      <c r="W7" s="411"/>
      <c r="X7" s="413"/>
      <c r="Y7" s="1158"/>
      <c r="Z7" s="1105" t="s">
        <v>63</v>
      </c>
      <c r="AA7" s="1158"/>
      <c r="AB7" s="1105" t="s">
        <v>63</v>
      </c>
      <c r="AC7" s="411"/>
      <c r="AD7" s="411"/>
      <c r="AE7" s="413"/>
      <c r="AF7" s="1158"/>
      <c r="AG7" s="1105" t="s">
        <v>63</v>
      </c>
      <c r="AH7" s="1158"/>
      <c r="AI7" s="1105" t="s">
        <v>63</v>
      </c>
      <c r="AJ7" s="411"/>
      <c r="AK7" s="411"/>
      <c r="AL7" s="413"/>
      <c r="AM7" s="1158"/>
      <c r="AN7" s="1105" t="s">
        <v>63</v>
      </c>
      <c r="AO7" s="1158"/>
      <c r="AP7" s="1105" t="s">
        <v>63</v>
      </c>
      <c r="AQ7" s="411"/>
      <c r="AR7" s="411"/>
      <c r="AS7" s="413"/>
      <c r="AT7" s="1158"/>
      <c r="AU7" s="1105" t="s">
        <v>63</v>
      </c>
      <c r="AV7" s="1158"/>
      <c r="AW7" s="1105" t="s">
        <v>63</v>
      </c>
      <c r="AX7" s="411"/>
      <c r="AY7" s="411"/>
      <c r="AZ7" s="413"/>
      <c r="BA7" s="1158"/>
      <c r="BB7" s="1105" t="s">
        <v>63</v>
      </c>
      <c r="BC7" s="1158"/>
      <c r="BD7" s="1105" t="s">
        <v>63</v>
      </c>
      <c r="BE7" s="411"/>
      <c r="BF7" s="411"/>
      <c r="BG7" s="413"/>
      <c r="BH7" s="1158"/>
      <c r="BI7" s="1105" t="s">
        <v>63</v>
      </c>
      <c r="BJ7" s="1158"/>
      <c r="BK7" s="1105" t="s">
        <v>63</v>
      </c>
      <c r="BL7" s="411"/>
      <c r="BM7" s="411"/>
      <c r="BN7" s="413"/>
      <c r="BO7" s="1158"/>
      <c r="BP7" s="1105" t="s">
        <v>63</v>
      </c>
      <c r="BQ7" s="1158"/>
      <c r="BR7" s="1105" t="s">
        <v>63</v>
      </c>
      <c r="BS7" s="411"/>
      <c r="BT7" s="411"/>
      <c r="BU7" s="413"/>
      <c r="BV7" s="1158"/>
      <c r="BW7" s="1105" t="s">
        <v>63</v>
      </c>
      <c r="BX7" s="1158"/>
      <c r="BY7" s="1105" t="s">
        <v>63</v>
      </c>
      <c r="BZ7" s="411"/>
      <c r="CA7" s="411"/>
      <c r="CB7" s="413"/>
      <c r="CC7" s="1158"/>
      <c r="CD7" s="1105" t="s">
        <v>63</v>
      </c>
      <c r="CE7" s="1158"/>
      <c r="CF7" s="1105" t="s">
        <v>63</v>
      </c>
      <c r="CG7" s="411"/>
      <c r="CH7" s="411"/>
      <c r="CI7" s="413"/>
      <c r="CJ7" s="1158"/>
      <c r="CK7" s="1105" t="s">
        <v>63</v>
      </c>
      <c r="CL7" s="1158"/>
      <c r="CM7" s="1105" t="s">
        <v>63</v>
      </c>
      <c r="CN7" s="411"/>
      <c r="CO7" s="411"/>
      <c r="CP7" s="413"/>
      <c r="CQ7" s="1158"/>
      <c r="CR7" s="1105" t="s">
        <v>63</v>
      </c>
      <c r="CS7" s="1158"/>
      <c r="CT7" s="1105" t="s">
        <v>63</v>
      </c>
      <c r="CU7" s="411"/>
      <c r="CV7" s="411"/>
      <c r="CW7" s="413"/>
      <c r="CX7" s="1158"/>
      <c r="CY7" s="1105" t="s">
        <v>63</v>
      </c>
      <c r="CZ7" s="1158"/>
      <c r="DA7" s="1105" t="s">
        <v>63</v>
      </c>
      <c r="DB7" s="411"/>
      <c r="DC7" s="411"/>
      <c r="DD7" s="413"/>
      <c r="DE7" s="1158"/>
      <c r="DF7" s="1105" t="s">
        <v>63</v>
      </c>
      <c r="DG7" s="1158"/>
      <c r="DH7" s="1105" t="s">
        <v>63</v>
      </c>
      <c r="DI7" s="518"/>
      <c r="DJ7"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K7" s="53" t="e">
        <f ca="1">strcheckdate(V8:DI8)</f>
        <v>#NAME?</v>
      </c>
      <c r="DL7" s="121"/>
      <c r="DM7" s="121" t="str">
        <f t="shared" si="0"/>
        <v/>
      </c>
      <c r="DN7" s="121"/>
      <c r="DO7" s="121"/>
    </row>
    <row r="8" spans="1:119" ht="14.25" hidden="1" customHeight="1">
      <c r="A8" s="390"/>
      <c r="B8" s="390"/>
      <c r="C8" s="390"/>
      <c r="D8" s="390"/>
      <c r="E8" s="1153"/>
      <c r="F8" s="1153"/>
      <c r="G8" s="1153"/>
      <c r="H8" s="1153"/>
      <c r="I8" s="1155"/>
      <c r="J8" s="1155"/>
      <c r="K8" s="1155"/>
      <c r="L8" s="391"/>
      <c r="P8" s="1156"/>
      <c r="Q8" s="1156"/>
      <c r="R8" s="408"/>
      <c r="S8" s="370"/>
      <c r="T8" s="396"/>
      <c r="U8" s="396"/>
      <c r="V8" s="412"/>
      <c r="W8" s="412"/>
      <c r="X8" s="415" t="str">
        <f>Y7&amp;"-"&amp;AA7</f>
        <v>-</v>
      </c>
      <c r="Y8" s="1158"/>
      <c r="Z8" s="1105"/>
      <c r="AA8" s="1158"/>
      <c r="AB8" s="1105"/>
      <c r="AC8" s="412"/>
      <c r="AD8" s="412"/>
      <c r="AE8" s="415" t="str">
        <f>AF7&amp;"-"&amp;AH7</f>
        <v>-</v>
      </c>
      <c r="AF8" s="1158"/>
      <c r="AG8" s="1105"/>
      <c r="AH8" s="1158"/>
      <c r="AI8" s="1105"/>
      <c r="AJ8" s="412"/>
      <c r="AK8" s="412"/>
      <c r="AL8" s="415" t="str">
        <f>AM7&amp;"-"&amp;AO7</f>
        <v>-</v>
      </c>
      <c r="AM8" s="1158"/>
      <c r="AN8" s="1105"/>
      <c r="AO8" s="1158"/>
      <c r="AP8" s="1105"/>
      <c r="AQ8" s="412"/>
      <c r="AR8" s="412"/>
      <c r="AS8" s="415" t="str">
        <f>AT7&amp;"-"&amp;AV7</f>
        <v>-</v>
      </c>
      <c r="AT8" s="1158"/>
      <c r="AU8" s="1105"/>
      <c r="AV8" s="1158"/>
      <c r="AW8" s="1105"/>
      <c r="AX8" s="412"/>
      <c r="AY8" s="412"/>
      <c r="AZ8" s="415" t="str">
        <f>BA7&amp;"-"&amp;BC7</f>
        <v>-</v>
      </c>
      <c r="BA8" s="1158"/>
      <c r="BB8" s="1105"/>
      <c r="BC8" s="1158"/>
      <c r="BD8" s="1105"/>
      <c r="BE8" s="412"/>
      <c r="BF8" s="412"/>
      <c r="BG8" s="415" t="str">
        <f>BH7&amp;"-"&amp;BJ7</f>
        <v>-</v>
      </c>
      <c r="BH8" s="1158"/>
      <c r="BI8" s="1105"/>
      <c r="BJ8" s="1158"/>
      <c r="BK8" s="1105"/>
      <c r="BL8" s="412"/>
      <c r="BM8" s="412"/>
      <c r="BN8" s="415" t="str">
        <f>BO7&amp;"-"&amp;BQ7</f>
        <v>-</v>
      </c>
      <c r="BO8" s="1158"/>
      <c r="BP8" s="1105"/>
      <c r="BQ8" s="1158"/>
      <c r="BR8" s="1105"/>
      <c r="BS8" s="412"/>
      <c r="BT8" s="412"/>
      <c r="BU8" s="415" t="str">
        <f>BV7&amp;"-"&amp;BX7</f>
        <v>-</v>
      </c>
      <c r="BV8" s="1158"/>
      <c r="BW8" s="1105"/>
      <c r="BX8" s="1158"/>
      <c r="BY8" s="1105"/>
      <c r="BZ8" s="412"/>
      <c r="CA8" s="412"/>
      <c r="CB8" s="415" t="str">
        <f>CC7&amp;"-"&amp;CE7</f>
        <v>-</v>
      </c>
      <c r="CC8" s="1158"/>
      <c r="CD8" s="1105"/>
      <c r="CE8" s="1158"/>
      <c r="CF8" s="1105"/>
      <c r="CG8" s="412"/>
      <c r="CH8" s="412"/>
      <c r="CI8" s="415" t="str">
        <f>CJ7&amp;"-"&amp;CL7</f>
        <v>-</v>
      </c>
      <c r="CJ8" s="1158"/>
      <c r="CK8" s="1105"/>
      <c r="CL8" s="1158"/>
      <c r="CM8" s="1105"/>
      <c r="CN8" s="412"/>
      <c r="CO8" s="412"/>
      <c r="CP8" s="415" t="str">
        <f>CQ7&amp;"-"&amp;CS7</f>
        <v>-</v>
      </c>
      <c r="CQ8" s="1158"/>
      <c r="CR8" s="1105"/>
      <c r="CS8" s="1158"/>
      <c r="CT8" s="1105"/>
      <c r="CU8" s="412"/>
      <c r="CV8" s="412"/>
      <c r="CW8" s="415" t="str">
        <f>CX7&amp;"-"&amp;CZ7</f>
        <v>-</v>
      </c>
      <c r="CX8" s="1158"/>
      <c r="CY8" s="1105"/>
      <c r="CZ8" s="1158"/>
      <c r="DA8" s="1105"/>
      <c r="DB8" s="412"/>
      <c r="DC8" s="412"/>
      <c r="DD8" s="415" t="str">
        <f>DE7&amp;"-"&amp;DG7</f>
        <v>-</v>
      </c>
      <c r="DE8" s="1158"/>
      <c r="DF8" s="1105"/>
      <c r="DG8" s="1158"/>
      <c r="DH8" s="1105"/>
      <c r="DI8" s="519"/>
      <c r="DJ8" s="1191"/>
      <c r="DL8" s="121"/>
      <c r="DM8" s="121" t="str">
        <f t="shared" si="0"/>
        <v/>
      </c>
      <c r="DN8" s="121"/>
      <c r="DO8" s="121"/>
    </row>
    <row r="9" spans="1:119" ht="21" hidden="1" customHeight="1">
      <c r="A9" s="390"/>
      <c r="B9" s="390"/>
      <c r="C9" s="390"/>
      <c r="D9" s="390"/>
      <c r="E9" s="1153"/>
      <c r="F9" s="1153"/>
      <c r="G9" s="1153"/>
      <c r="H9" s="1153"/>
      <c r="I9" s="1155"/>
      <c r="J9" s="1155"/>
      <c r="K9" s="390"/>
      <c r="L9" s="391"/>
      <c r="P9" s="1156"/>
      <c r="Q9" s="1156"/>
      <c r="R9" s="405"/>
      <c r="S9" s="416"/>
      <c r="T9" s="419" t="s">
        <v>472</v>
      </c>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397" t="s">
        <v>473</v>
      </c>
      <c r="DL9" s="121"/>
      <c r="DM9" s="121" t="str">
        <f t="shared" si="0"/>
        <v>Добавить значение признака дифференциации</v>
      </c>
      <c r="DN9" s="121"/>
      <c r="DO9" s="121"/>
    </row>
    <row r="10" spans="1:119" ht="21" hidden="1" customHeight="1">
      <c r="A10" s="390"/>
      <c r="B10" s="390"/>
      <c r="C10" s="390"/>
      <c r="D10" s="390"/>
      <c r="E10" s="1153"/>
      <c r="F10" s="1153"/>
      <c r="G10" s="1153"/>
      <c r="H10" s="1153"/>
      <c r="I10" s="1155"/>
      <c r="J10" s="390"/>
      <c r="K10" s="390"/>
      <c r="L10" s="391"/>
      <c r="P10" s="1156"/>
      <c r="Q10" s="124"/>
      <c r="R10" s="405"/>
      <c r="S10" s="416"/>
      <c r="T10" s="423" t="s">
        <v>401</v>
      </c>
      <c r="U10" s="186"/>
      <c r="V10" s="186"/>
      <c r="W10" s="186"/>
      <c r="X10" s="186"/>
      <c r="Y10" s="186"/>
      <c r="Z10" s="186"/>
      <c r="AA10" s="186"/>
      <c r="AB10" s="420"/>
      <c r="AC10" s="186"/>
      <c r="AD10" s="186"/>
      <c r="AE10" s="186"/>
      <c r="AF10" s="186"/>
      <c r="AG10" s="186"/>
      <c r="AH10" s="186"/>
      <c r="AI10" s="420"/>
      <c r="AJ10" s="186"/>
      <c r="AK10" s="186"/>
      <c r="AL10" s="186"/>
      <c r="AM10" s="186"/>
      <c r="AN10" s="186"/>
      <c r="AO10" s="186"/>
      <c r="AP10" s="420"/>
      <c r="AQ10" s="186"/>
      <c r="AR10" s="186"/>
      <c r="AS10" s="186"/>
      <c r="AT10" s="186"/>
      <c r="AU10" s="186"/>
      <c r="AV10" s="186"/>
      <c r="AW10" s="420"/>
      <c r="AX10" s="186"/>
      <c r="AY10" s="186"/>
      <c r="AZ10" s="186"/>
      <c r="BA10" s="186"/>
      <c r="BB10" s="186"/>
      <c r="BC10" s="186"/>
      <c r="BD10" s="420"/>
      <c r="BE10" s="186"/>
      <c r="BF10" s="186"/>
      <c r="BG10" s="186"/>
      <c r="BH10" s="186"/>
      <c r="BI10" s="186"/>
      <c r="BJ10" s="186"/>
      <c r="BK10" s="420"/>
      <c r="BL10" s="186"/>
      <c r="BM10" s="186"/>
      <c r="BN10" s="186"/>
      <c r="BO10" s="186"/>
      <c r="BP10" s="186"/>
      <c r="BQ10" s="186"/>
      <c r="BR10" s="420"/>
      <c r="BS10" s="186"/>
      <c r="BT10" s="186"/>
      <c r="BU10" s="186"/>
      <c r="BV10" s="186"/>
      <c r="BW10" s="186"/>
      <c r="BX10" s="186"/>
      <c r="BY10" s="420"/>
      <c r="BZ10" s="186"/>
      <c r="CA10" s="186"/>
      <c r="CB10" s="186"/>
      <c r="CC10" s="186"/>
      <c r="CD10" s="186"/>
      <c r="CE10" s="186"/>
      <c r="CF10" s="420"/>
      <c r="CG10" s="186"/>
      <c r="CH10" s="186"/>
      <c r="CI10" s="186"/>
      <c r="CJ10" s="186"/>
      <c r="CK10" s="186"/>
      <c r="CL10" s="186"/>
      <c r="CM10" s="420"/>
      <c r="CN10" s="186"/>
      <c r="CO10" s="186"/>
      <c r="CP10" s="186"/>
      <c r="CQ10" s="186"/>
      <c r="CR10" s="186"/>
      <c r="CS10" s="186"/>
      <c r="CT10" s="420"/>
      <c r="CU10" s="186"/>
      <c r="CV10" s="186"/>
      <c r="CW10" s="186"/>
      <c r="CX10" s="186"/>
      <c r="CY10" s="186"/>
      <c r="CZ10" s="186"/>
      <c r="DA10" s="420"/>
      <c r="DB10" s="186"/>
      <c r="DC10" s="186"/>
      <c r="DD10" s="186"/>
      <c r="DE10" s="186"/>
      <c r="DF10" s="186"/>
      <c r="DG10" s="186"/>
      <c r="DH10" s="420"/>
      <c r="DI10" s="186"/>
      <c r="DJ10" s="520"/>
      <c r="DL10" s="121"/>
      <c r="DM10" s="121" t="str">
        <f t="shared" si="0"/>
        <v>Добавить группу потребителей</v>
      </c>
      <c r="DN10" s="121"/>
      <c r="DO10" s="121"/>
    </row>
    <row r="11" spans="1:119" ht="21" hidden="1" customHeight="1">
      <c r="A11" s="390"/>
      <c r="B11" s="390"/>
      <c r="C11" s="390"/>
      <c r="D11" s="390"/>
      <c r="E11" s="1153"/>
      <c r="F11" s="1153"/>
      <c r="G11" s="1153"/>
      <c r="H11" s="1189"/>
      <c r="I11" s="390"/>
      <c r="J11" s="390"/>
      <c r="K11" s="390"/>
      <c r="L11" s="391"/>
      <c r="M11" s="392"/>
      <c r="N11" s="392"/>
      <c r="O11" s="49"/>
      <c r="P11" s="134"/>
      <c r="Q11" s="422"/>
      <c r="R11" s="393"/>
      <c r="S11" s="416"/>
      <c r="T11" s="521" t="s">
        <v>474</v>
      </c>
      <c r="U11" s="186"/>
      <c r="V11" s="186"/>
      <c r="W11" s="186"/>
      <c r="X11" s="186"/>
      <c r="Y11" s="186"/>
      <c r="Z11" s="186"/>
      <c r="AA11" s="186"/>
      <c r="AB11" s="420"/>
      <c r="AC11" s="186"/>
      <c r="AD11" s="186"/>
      <c r="AE11" s="186"/>
      <c r="AF11" s="186"/>
      <c r="AG11" s="186"/>
      <c r="AH11" s="186"/>
      <c r="AI11" s="420"/>
      <c r="AJ11" s="186"/>
      <c r="AK11" s="186"/>
      <c r="AL11" s="186"/>
      <c r="AM11" s="186"/>
      <c r="AN11" s="186"/>
      <c r="AO11" s="186"/>
      <c r="AP11" s="420"/>
      <c r="AQ11" s="186"/>
      <c r="AR11" s="186"/>
      <c r="AS11" s="186"/>
      <c r="AT11" s="186"/>
      <c r="AU11" s="186"/>
      <c r="AV11" s="186"/>
      <c r="AW11" s="420"/>
      <c r="AX11" s="186"/>
      <c r="AY11" s="186"/>
      <c r="AZ11" s="186"/>
      <c r="BA11" s="186"/>
      <c r="BB11" s="186"/>
      <c r="BC11" s="186"/>
      <c r="BD11" s="420"/>
      <c r="BE11" s="186"/>
      <c r="BF11" s="186"/>
      <c r="BG11" s="186"/>
      <c r="BH11" s="186"/>
      <c r="BI11" s="186"/>
      <c r="BJ11" s="186"/>
      <c r="BK11" s="420"/>
      <c r="BL11" s="186"/>
      <c r="BM11" s="186"/>
      <c r="BN11" s="186"/>
      <c r="BO11" s="186"/>
      <c r="BP11" s="186"/>
      <c r="BQ11" s="186"/>
      <c r="BR11" s="420"/>
      <c r="BS11" s="186"/>
      <c r="BT11" s="186"/>
      <c r="BU11" s="186"/>
      <c r="BV11" s="186"/>
      <c r="BW11" s="186"/>
      <c r="BX11" s="186"/>
      <c r="BY11" s="420"/>
      <c r="BZ11" s="186"/>
      <c r="CA11" s="186"/>
      <c r="CB11" s="186"/>
      <c r="CC11" s="186"/>
      <c r="CD11" s="186"/>
      <c r="CE11" s="186"/>
      <c r="CF11" s="420"/>
      <c r="CG11" s="186"/>
      <c r="CH11" s="186"/>
      <c r="CI11" s="186"/>
      <c r="CJ11" s="186"/>
      <c r="CK11" s="186"/>
      <c r="CL11" s="186"/>
      <c r="CM11" s="420"/>
      <c r="CN11" s="186"/>
      <c r="CO11" s="186"/>
      <c r="CP11" s="186"/>
      <c r="CQ11" s="186"/>
      <c r="CR11" s="186"/>
      <c r="CS11" s="186"/>
      <c r="CT11" s="420"/>
      <c r="CU11" s="186"/>
      <c r="CV11" s="186"/>
      <c r="CW11" s="186"/>
      <c r="CX11" s="186"/>
      <c r="CY11" s="186"/>
      <c r="CZ11" s="186"/>
      <c r="DA11" s="420"/>
      <c r="DB11" s="186"/>
      <c r="DC11" s="186"/>
      <c r="DD11" s="186"/>
      <c r="DE11" s="186"/>
      <c r="DF11" s="186"/>
      <c r="DG11" s="186"/>
      <c r="DH11" s="420"/>
      <c r="DI11" s="186"/>
      <c r="DJ11" s="421"/>
      <c r="DL11" s="121"/>
      <c r="DM11" s="121" t="str">
        <f t="shared" si="0"/>
        <v>Добавить наименование признака дифференциации</v>
      </c>
      <c r="DN11" s="121"/>
      <c r="DO11" s="121"/>
    </row>
    <row r="12" spans="1:119" s="53" customFormat="1" ht="14.25" hidden="1" customHeight="1">
      <c r="A12" s="125"/>
      <c r="B12" s="125"/>
      <c r="C12" s="125"/>
      <c r="D12" s="125"/>
      <c r="E12" s="1153"/>
      <c r="F12" s="1153"/>
      <c r="G12" s="125"/>
      <c r="H12" s="125"/>
      <c r="I12" s="125"/>
      <c r="J12" s="125"/>
      <c r="K12" s="125"/>
      <c r="L12" s="184"/>
      <c r="M12" s="428"/>
      <c r="N12" s="428"/>
      <c r="P12" s="158"/>
      <c r="Q12" s="424"/>
      <c r="R12" s="158"/>
      <c r="S12" s="429"/>
      <c r="T12" s="432" t="s">
        <v>253</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L12" s="121"/>
      <c r="DM12" s="121" t="str">
        <f t="shared" si="0"/>
        <v>Добавить централизованную систему для дифференциации</v>
      </c>
      <c r="DN12" s="121"/>
      <c r="DO12" s="121"/>
    </row>
    <row r="13" spans="1:119" s="53" customFormat="1" ht="14.25" hidden="1" customHeight="1">
      <c r="A13" s="125"/>
      <c r="B13" s="125"/>
      <c r="C13" s="125"/>
      <c r="D13" s="125"/>
      <c r="E13" s="1153"/>
      <c r="F13" s="125"/>
      <c r="G13" s="125"/>
      <c r="H13" s="125"/>
      <c r="I13" s="125"/>
      <c r="J13" s="125"/>
      <c r="K13" s="125"/>
      <c r="L13" s="184"/>
      <c r="M13" s="428"/>
      <c r="N13" s="428"/>
      <c r="P13" s="158"/>
      <c r="Q13" s="424"/>
      <c r="R13" s="158"/>
      <c r="S13" s="429"/>
      <c r="T13" s="432" t="s">
        <v>254</v>
      </c>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L13" s="121"/>
      <c r="DM13" s="121" t="str">
        <f t="shared" si="0"/>
        <v>Добавить территорию для дифференциации</v>
      </c>
      <c r="DN13" s="121"/>
      <c r="DO13" s="121"/>
    </row>
    <row r="14" spans="1:119" ht="14.25" hidden="1" customHeight="1">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row>
    <row r="15" spans="1:119" ht="14.25" hidden="1" customHeight="1">
      <c r="AC15" s="433"/>
      <c r="AD15" s="433"/>
      <c r="AE15" s="434"/>
      <c r="AF15" s="1160"/>
      <c r="AG15" s="1161" t="s">
        <v>63</v>
      </c>
      <c r="AH15" s="1160"/>
      <c r="AI15" s="1161" t="s">
        <v>63</v>
      </c>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row>
    <row r="16" spans="1:119" ht="14.25" hidden="1" customHeight="1">
      <c r="AC16" s="433"/>
      <c r="AD16" s="433"/>
      <c r="AE16" s="415" t="str">
        <f>AF15&amp;"-"&amp;AH15</f>
        <v>-</v>
      </c>
      <c r="AF16" s="1160"/>
      <c r="AG16" s="1160"/>
      <c r="AH16" s="1160"/>
      <c r="AI16" s="1160"/>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row>
    <row r="17" spans="1:119" ht="14.25" hidden="1" customHeight="1">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row>
    <row r="18" spans="1:119" s="49" customFormat="1" ht="22.5" hidden="1" customHeight="1">
      <c r="L18" s="107"/>
      <c r="M18" s="57"/>
      <c r="N18" s="57"/>
      <c r="O18" s="435" t="s">
        <v>404</v>
      </c>
      <c r="P18" s="57"/>
      <c r="Q18" s="436"/>
      <c r="R18" s="436"/>
      <c r="S18" s="392"/>
      <c r="Y18" s="435"/>
      <c r="AA18" s="435"/>
      <c r="AF18" s="435"/>
      <c r="AH18" s="435"/>
      <c r="AM18" s="435"/>
      <c r="AO18" s="435"/>
      <c r="AT18" s="435"/>
      <c r="AV18" s="435"/>
      <c r="BA18" s="435"/>
      <c r="BC18" s="435"/>
      <c r="BH18" s="435"/>
      <c r="BJ18" s="435"/>
      <c r="BO18" s="435"/>
      <c r="BQ18" s="435"/>
      <c r="BV18" s="435"/>
      <c r="BX18" s="435"/>
      <c r="CC18" s="435"/>
      <c r="CE18" s="435"/>
      <c r="CJ18" s="435"/>
      <c r="CL18" s="435"/>
      <c r="CQ18" s="435"/>
      <c r="CS18" s="435"/>
      <c r="CX18" s="435"/>
      <c r="CZ18" s="435"/>
      <c r="DE18" s="435"/>
      <c r="DG18" s="435"/>
      <c r="DK18" s="53"/>
      <c r="DL18" s="53"/>
      <c r="DM18" s="53"/>
      <c r="DN18" s="53"/>
      <c r="DO18" s="53"/>
    </row>
    <row r="19" spans="1:119" s="49" customFormat="1" ht="14.25" hidden="1" customHeight="1">
      <c r="L19" s="107"/>
      <c r="M19" s="57"/>
      <c r="N19" s="57"/>
      <c r="O19" s="57"/>
      <c r="P19" s="57"/>
      <c r="Q19" s="436"/>
      <c r="R19" s="436"/>
      <c r="S19" s="392"/>
      <c r="DK19" s="53"/>
      <c r="DL19" s="53"/>
      <c r="DM19" s="53"/>
      <c r="DN19" s="53"/>
      <c r="DO19" s="53"/>
    </row>
    <row r="20" spans="1:119" s="49" customFormat="1" ht="12" hidden="1" customHeight="1">
      <c r="L20" s="107"/>
      <c r="M20" s="57"/>
      <c r="N20" s="57"/>
      <c r="O20" s="391" t="s">
        <v>405</v>
      </c>
      <c r="P20" s="57"/>
      <c r="Q20" s="522"/>
      <c r="R20" s="522"/>
      <c r="S20" s="392"/>
      <c r="T20" s="49" t="s">
        <v>406</v>
      </c>
      <c r="Z20" s="142" t="s">
        <v>407</v>
      </c>
      <c r="AB20" s="142" t="s">
        <v>408</v>
      </c>
      <c r="AC20" s="49" t="s">
        <v>406</v>
      </c>
      <c r="AG20" s="142" t="s">
        <v>409</v>
      </c>
      <c r="AI20" s="142" t="s">
        <v>408</v>
      </c>
      <c r="AN20" s="142" t="s">
        <v>407</v>
      </c>
      <c r="AP20" s="142" t="s">
        <v>408</v>
      </c>
      <c r="AU20" s="142" t="s">
        <v>407</v>
      </c>
      <c r="AW20" s="142" t="s">
        <v>408</v>
      </c>
      <c r="BB20" s="142" t="s">
        <v>407</v>
      </c>
      <c r="BD20" s="142" t="s">
        <v>408</v>
      </c>
      <c r="BI20" s="142" t="s">
        <v>407</v>
      </c>
      <c r="BK20" s="142" t="s">
        <v>408</v>
      </c>
      <c r="BP20" s="142" t="s">
        <v>407</v>
      </c>
      <c r="BR20" s="142" t="s">
        <v>408</v>
      </c>
      <c r="BW20" s="142" t="s">
        <v>407</v>
      </c>
      <c r="BY20" s="142" t="s">
        <v>408</v>
      </c>
      <c r="CD20" s="142" t="s">
        <v>407</v>
      </c>
      <c r="CF20" s="142" t="s">
        <v>408</v>
      </c>
      <c r="CK20" s="142" t="s">
        <v>407</v>
      </c>
      <c r="CM20" s="142" t="s">
        <v>408</v>
      </c>
      <c r="CR20" s="142" t="s">
        <v>407</v>
      </c>
      <c r="CT20" s="142" t="s">
        <v>408</v>
      </c>
      <c r="CY20" s="142" t="s">
        <v>407</v>
      </c>
      <c r="DA20" s="142" t="s">
        <v>408</v>
      </c>
      <c r="DF20" s="142" t="s">
        <v>407</v>
      </c>
      <c r="DH20" s="142" t="s">
        <v>408</v>
      </c>
    </row>
    <row r="21" spans="1:119" ht="14.25" hidden="1" customHeight="1">
      <c r="O21" s="391"/>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row>
    <row r="22" spans="1:119" ht="14.25" hidden="1" customHeight="1">
      <c r="O22" s="391"/>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row>
    <row r="23" spans="1:119" ht="14.25" customHeight="1">
      <c r="Q23" s="437"/>
      <c r="R23" s="437"/>
      <c r="S23" s="438"/>
      <c r="T23" s="83"/>
      <c r="U23" s="83"/>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row>
    <row r="24" spans="1:119" ht="14.25" customHeight="1">
      <c r="Q24" s="437"/>
      <c r="R24" s="437"/>
      <c r="S24" s="110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106"/>
      <c r="U24" s="1106"/>
      <c r="V24" s="1106"/>
      <c r="W24" s="1106"/>
      <c r="X24" s="1106"/>
      <c r="Y24" s="1106"/>
      <c r="Z24" s="1106"/>
      <c r="AA24" s="1106"/>
      <c r="AB24" s="1106"/>
      <c r="AC24" s="1106"/>
      <c r="AD24" s="1106"/>
      <c r="AE24" s="1106"/>
      <c r="AF24" s="1106"/>
      <c r="AG24" s="1106"/>
      <c r="AH24" s="1106"/>
      <c r="AI24" s="201"/>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2"/>
      <c r="CO24" s="362"/>
      <c r="CP24" s="362"/>
      <c r="CQ24" s="362"/>
      <c r="CR24" s="362"/>
      <c r="CS24" s="362"/>
      <c r="CT24" s="362"/>
      <c r="CU24" s="362"/>
      <c r="CV24" s="362"/>
      <c r="CW24" s="362"/>
      <c r="CX24" s="362"/>
      <c r="CY24" s="362"/>
      <c r="CZ24" s="362"/>
      <c r="DA24" s="362"/>
      <c r="DB24" s="362"/>
      <c r="DC24" s="362"/>
      <c r="DD24" s="362"/>
      <c r="DE24" s="362"/>
      <c r="DF24" s="362"/>
      <c r="DG24" s="362"/>
      <c r="DH24" s="362"/>
    </row>
    <row r="25" spans="1:119" ht="14.25" customHeight="1">
      <c r="Q25" s="437"/>
      <c r="R25" s="437"/>
      <c r="S25" s="1127" t="str">
        <f>IF(org=0,"Не определено",org)</f>
        <v>Филиал ПАО "ОГК-2" - Серовская ГРЭС, г. Серов</v>
      </c>
      <c r="T25" s="1127"/>
      <c r="U25" s="1127"/>
      <c r="V25" s="1127"/>
      <c r="W25" s="1127"/>
      <c r="X25" s="1127"/>
      <c r="Y25" s="1127"/>
      <c r="Z25" s="1127"/>
      <c r="AA25" s="1127"/>
      <c r="AB25" s="1127"/>
      <c r="AC25" s="1127"/>
      <c r="AD25" s="1127"/>
      <c r="AE25" s="1127"/>
      <c r="AF25" s="1127"/>
      <c r="AG25" s="1127"/>
      <c r="AH25" s="1127"/>
      <c r="AI25" s="201"/>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528"/>
      <c r="BL25" s="528"/>
      <c r="BM25" s="528"/>
      <c r="BN25" s="528"/>
      <c r="BO25" s="528"/>
      <c r="BP25" s="528"/>
      <c r="BQ25" s="528"/>
      <c r="BR25" s="528"/>
      <c r="BS25" s="528"/>
      <c r="BT25" s="528"/>
      <c r="BU25" s="528"/>
      <c r="BV25" s="528"/>
      <c r="BW25" s="528"/>
      <c r="BX25" s="528"/>
      <c r="BY25" s="528"/>
      <c r="BZ25" s="528"/>
      <c r="CA25" s="528"/>
      <c r="CB25" s="528"/>
      <c r="CC25" s="528"/>
      <c r="CD25" s="528"/>
      <c r="CE25" s="528"/>
      <c r="CF25" s="528"/>
      <c r="CG25" s="528"/>
      <c r="CH25" s="528"/>
      <c r="CI25" s="528"/>
      <c r="CJ25" s="528"/>
      <c r="CK25" s="528"/>
      <c r="CL25" s="528"/>
      <c r="CM25" s="528"/>
      <c r="CN25" s="528"/>
      <c r="CO25" s="528"/>
      <c r="CP25" s="528"/>
      <c r="CQ25" s="528"/>
      <c r="CR25" s="528"/>
      <c r="CS25" s="528"/>
      <c r="CT25" s="528"/>
      <c r="CU25" s="528"/>
      <c r="CV25" s="528"/>
      <c r="CW25" s="528"/>
      <c r="CX25" s="528"/>
      <c r="CY25" s="528"/>
      <c r="CZ25" s="528"/>
      <c r="DA25" s="528"/>
      <c r="DB25" s="528"/>
      <c r="DC25" s="528"/>
      <c r="DD25" s="528"/>
      <c r="DE25" s="528"/>
      <c r="DF25" s="528"/>
      <c r="DG25" s="528"/>
      <c r="DH25" s="528"/>
    </row>
    <row r="26" spans="1:119" ht="14.25" customHeight="1">
      <c r="Q26" s="437"/>
      <c r="R26" s="437"/>
      <c r="S26" s="438"/>
      <c r="T26" s="83"/>
      <c r="U26" s="83"/>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39"/>
      <c r="AY26" s="439"/>
      <c r="AZ26" s="439"/>
      <c r="BA26" s="439"/>
      <c r="BB26" s="439"/>
      <c r="BC26" s="439"/>
      <c r="BD26" s="439"/>
      <c r="BE26" s="439"/>
      <c r="BF26" s="439"/>
      <c r="BG26" s="439"/>
      <c r="BH26" s="439"/>
      <c r="BI26" s="439"/>
      <c r="BJ26" s="439"/>
      <c r="BK26" s="439"/>
      <c r="BL26" s="439"/>
      <c r="BM26" s="439"/>
      <c r="BN26" s="439"/>
      <c r="BO26" s="439"/>
      <c r="BP26" s="439"/>
      <c r="BQ26" s="439"/>
      <c r="BR26" s="439"/>
      <c r="BS26" s="439"/>
      <c r="BT26" s="439"/>
      <c r="BU26" s="439"/>
      <c r="BV26" s="439"/>
      <c r="BW26" s="439"/>
      <c r="BX26" s="439"/>
      <c r="BY26" s="439"/>
      <c r="BZ26" s="439"/>
      <c r="CA26" s="439"/>
      <c r="CB26" s="439"/>
      <c r="CC26" s="439"/>
      <c r="CD26" s="439"/>
      <c r="CE26" s="439"/>
      <c r="CF26" s="439"/>
      <c r="CG26" s="439"/>
      <c r="CH26" s="439"/>
      <c r="CI26" s="439"/>
      <c r="CJ26" s="439"/>
      <c r="CK26" s="439"/>
      <c r="CL26" s="439"/>
      <c r="CM26" s="439"/>
      <c r="CN26" s="439"/>
      <c r="CO26" s="439"/>
      <c r="CP26" s="439"/>
      <c r="CQ26" s="439"/>
      <c r="CR26" s="439"/>
      <c r="CS26" s="439"/>
      <c r="CT26" s="439"/>
      <c r="CU26" s="439"/>
      <c r="CV26" s="439"/>
      <c r="CW26" s="439"/>
      <c r="CX26" s="439"/>
      <c r="CY26" s="439"/>
      <c r="CZ26" s="439"/>
      <c r="DA26" s="439"/>
      <c r="DB26" s="439"/>
      <c r="DC26" s="439"/>
      <c r="DD26" s="439"/>
      <c r="DE26" s="439"/>
      <c r="DF26" s="439"/>
      <c r="DG26" s="439"/>
      <c r="DH26" s="439"/>
    </row>
    <row r="27" spans="1:119" s="174" customFormat="1" ht="25.5" customHeight="1">
      <c r="A27" s="142"/>
      <c r="B27" s="142"/>
      <c r="C27" s="142"/>
      <c r="D27" s="142"/>
      <c r="E27" s="142"/>
      <c r="F27" s="142"/>
      <c r="G27" s="142"/>
      <c r="H27" s="142"/>
      <c r="I27" s="142"/>
      <c r="J27" s="142"/>
      <c r="K27" s="142"/>
      <c r="L27" s="391"/>
      <c r="M27" s="142"/>
      <c r="N27" s="142"/>
      <c r="O27" s="142"/>
      <c r="S27" s="1162" t="s">
        <v>37</v>
      </c>
      <c r="T27" s="1162"/>
      <c r="U27" s="441"/>
      <c r="V27" s="1163" t="str">
        <f>IF(TITLE_NAME_OR_PR_CHANGE="",IF(TITLE_NAME_OR_PR="","",TITLE_NAME_OR_PR),TITLE_NAME_OR_PR_CHANGE)</f>
        <v>Региональная энергетическая комиссия Свердловской области</v>
      </c>
      <c r="W27" s="1163"/>
      <c r="X27" s="1163"/>
      <c r="Y27" s="1163"/>
      <c r="Z27" s="1163"/>
      <c r="AA27" s="1163"/>
      <c r="AB27" s="46"/>
      <c r="AC27" s="1163" t="str">
        <f>IF(TITLE_NAME_OR_PR_CHANGE="",IF(TITLE_NAME_OR_PR="","",TITLE_NAME_OR_PR),TITLE_NAME_OR_PR_CHANGE)</f>
        <v>Региональная энергетическая комиссия Свердловской области</v>
      </c>
      <c r="AD27" s="1163"/>
      <c r="AE27" s="1163"/>
      <c r="AF27" s="1163"/>
      <c r="AG27" s="1163"/>
      <c r="AH27" s="1163"/>
      <c r="AI27" s="46"/>
      <c r="AJ27" s="1163" t="str">
        <f>IF(TITLE_NAME_OR_PR_CHANGE="",IF(TITLE_NAME_OR_PR="","",TITLE_NAME_OR_PR),TITLE_NAME_OR_PR_CHANGE)</f>
        <v>Региональная энергетическая комиссия Свердловской области</v>
      </c>
      <c r="AK27" s="1163"/>
      <c r="AL27" s="1163"/>
      <c r="AM27" s="1163"/>
      <c r="AN27" s="1163"/>
      <c r="AO27" s="1163"/>
      <c r="AP27" s="46"/>
      <c r="AQ27" s="1163" t="str">
        <f>IF(TITLE_NAME_OR_PR_CHANGE="",IF(TITLE_NAME_OR_PR="","",TITLE_NAME_OR_PR),TITLE_NAME_OR_PR_CHANGE)</f>
        <v>Региональная энергетическая комиссия Свердловской области</v>
      </c>
      <c r="AR27" s="1163"/>
      <c r="AS27" s="1163"/>
      <c r="AT27" s="1163"/>
      <c r="AU27" s="1163"/>
      <c r="AV27" s="1163"/>
      <c r="AW27" s="46"/>
      <c r="AX27" s="1163" t="str">
        <f>IF(TITLE_NAME_OR_PR_CHANGE="",IF(TITLE_NAME_OR_PR="","",TITLE_NAME_OR_PR),TITLE_NAME_OR_PR_CHANGE)</f>
        <v>Региональная энергетическая комиссия Свердловской области</v>
      </c>
      <c r="AY27" s="1163"/>
      <c r="AZ27" s="1163"/>
      <c r="BA27" s="1163"/>
      <c r="BB27" s="1163"/>
      <c r="BC27" s="1163"/>
      <c r="BD27" s="46"/>
      <c r="BE27" s="1163" t="str">
        <f>IF(TITLE_NAME_OR_PR_CHANGE="",IF(TITLE_NAME_OR_PR="","",TITLE_NAME_OR_PR),TITLE_NAME_OR_PR_CHANGE)</f>
        <v>Региональная энергетическая комиссия Свердловской области</v>
      </c>
      <c r="BF27" s="1163"/>
      <c r="BG27" s="1163"/>
      <c r="BH27" s="1163"/>
      <c r="BI27" s="1163"/>
      <c r="BJ27" s="1163"/>
      <c r="BK27" s="46"/>
      <c r="BL27" s="1163" t="str">
        <f>IF(TITLE_NAME_OR_PR_CHANGE="",IF(TITLE_NAME_OR_PR="","",TITLE_NAME_OR_PR),TITLE_NAME_OR_PR_CHANGE)</f>
        <v>Региональная энергетическая комиссия Свердловской области</v>
      </c>
      <c r="BM27" s="1163"/>
      <c r="BN27" s="1163"/>
      <c r="BO27" s="1163"/>
      <c r="BP27" s="1163"/>
      <c r="BQ27" s="1163"/>
      <c r="BR27" s="46"/>
      <c r="BS27" s="1163" t="str">
        <f>IF(TITLE_NAME_OR_PR_CHANGE="",IF(TITLE_NAME_OR_PR="","",TITLE_NAME_OR_PR),TITLE_NAME_OR_PR_CHANGE)</f>
        <v>Региональная энергетическая комиссия Свердловской области</v>
      </c>
      <c r="BT27" s="1163"/>
      <c r="BU27" s="1163"/>
      <c r="BV27" s="1163"/>
      <c r="BW27" s="1163"/>
      <c r="BX27" s="1163"/>
      <c r="BY27" s="46"/>
      <c r="BZ27" s="1163" t="str">
        <f>IF(TITLE_NAME_OR_PR_CHANGE="",IF(TITLE_NAME_OR_PR="","",TITLE_NAME_OR_PR),TITLE_NAME_OR_PR_CHANGE)</f>
        <v>Региональная энергетическая комиссия Свердловской области</v>
      </c>
      <c r="CA27" s="1163"/>
      <c r="CB27" s="1163"/>
      <c r="CC27" s="1163"/>
      <c r="CD27" s="1163"/>
      <c r="CE27" s="1163"/>
      <c r="CF27" s="46"/>
      <c r="CG27" s="1163" t="str">
        <f>IF(TITLE_NAME_OR_PR_CHANGE="",IF(TITLE_NAME_OR_PR="","",TITLE_NAME_OR_PR),TITLE_NAME_OR_PR_CHANGE)</f>
        <v>Региональная энергетическая комиссия Свердловской области</v>
      </c>
      <c r="CH27" s="1163"/>
      <c r="CI27" s="1163"/>
      <c r="CJ27" s="1163"/>
      <c r="CK27" s="1163"/>
      <c r="CL27" s="1163"/>
      <c r="CM27" s="46"/>
      <c r="CN27" s="1163" t="str">
        <f>IF(TITLE_NAME_OR_PR_CHANGE="",IF(TITLE_NAME_OR_PR="","",TITLE_NAME_OR_PR),TITLE_NAME_OR_PR_CHANGE)</f>
        <v>Региональная энергетическая комиссия Свердловской области</v>
      </c>
      <c r="CO27" s="1163"/>
      <c r="CP27" s="1163"/>
      <c r="CQ27" s="1163"/>
      <c r="CR27" s="1163"/>
      <c r="CS27" s="1163"/>
      <c r="CT27" s="46"/>
      <c r="CU27" s="1163" t="str">
        <f>IF(TITLE_NAME_OR_PR_CHANGE="",IF(TITLE_NAME_OR_PR="","",TITLE_NAME_OR_PR),TITLE_NAME_OR_PR_CHANGE)</f>
        <v>Региональная энергетическая комиссия Свердловской области</v>
      </c>
      <c r="CV27" s="1163"/>
      <c r="CW27" s="1163"/>
      <c r="CX27" s="1163"/>
      <c r="CY27" s="1163"/>
      <c r="CZ27" s="1163"/>
      <c r="DA27" s="46"/>
      <c r="DB27" s="1163" t="str">
        <f>IF(TITLE_NAME_OR_PR_CHANGE="",IF(TITLE_NAME_OR_PR="","",TITLE_NAME_OR_PR),TITLE_NAME_OR_PR_CHANGE)</f>
        <v>Региональная энергетическая комиссия Свердловской области</v>
      </c>
      <c r="DC27" s="1163"/>
      <c r="DD27" s="1163"/>
      <c r="DE27" s="1163"/>
      <c r="DF27" s="1163"/>
      <c r="DG27" s="1163"/>
      <c r="DH27" s="46"/>
      <c r="DI27" s="46"/>
      <c r="DJ27" s="442"/>
      <c r="DK27" s="121"/>
      <c r="DL27" s="121"/>
      <c r="DM27" s="121"/>
      <c r="DN27" s="121"/>
      <c r="DO27" s="121"/>
    </row>
    <row r="28" spans="1:119" s="174" customFormat="1" ht="18.75" customHeight="1">
      <c r="A28" s="142"/>
      <c r="B28" s="142"/>
      <c r="C28" s="142"/>
      <c r="D28" s="142"/>
      <c r="E28" s="142"/>
      <c r="F28" s="142"/>
      <c r="G28" s="142"/>
      <c r="H28" s="142"/>
      <c r="I28" s="142"/>
      <c r="J28" s="142"/>
      <c r="K28" s="142"/>
      <c r="L28" s="391"/>
      <c r="M28" s="142"/>
      <c r="N28" s="142"/>
      <c r="O28" s="142"/>
      <c r="S28" s="1162" t="s">
        <v>410</v>
      </c>
      <c r="T28" s="1162"/>
      <c r="U28" s="441"/>
      <c r="V28" s="1164">
        <f>IF(TITLE_DATE_PR_CHANGE="",IF(TITLE_DATE_PR="","",TITLE_DATE_PR),TITLE_DATE_PR_CHANGE)</f>
        <v>45266.462974536997</v>
      </c>
      <c r="W28" s="1164"/>
      <c r="X28" s="1164"/>
      <c r="Y28" s="1164"/>
      <c r="Z28" s="1164"/>
      <c r="AA28" s="1164"/>
      <c r="AB28" s="46"/>
      <c r="AC28" s="1164">
        <v>45266</v>
      </c>
      <c r="AD28" s="1164"/>
      <c r="AE28" s="1164"/>
      <c r="AF28" s="1164"/>
      <c r="AG28" s="1164"/>
      <c r="AH28" s="1164"/>
      <c r="AI28" s="46"/>
      <c r="AJ28" s="1164">
        <v>45266</v>
      </c>
      <c r="AK28" s="1164"/>
      <c r="AL28" s="1164"/>
      <c r="AM28" s="1164"/>
      <c r="AN28" s="1164"/>
      <c r="AO28" s="1164"/>
      <c r="AP28" s="46"/>
      <c r="AQ28" s="1164">
        <v>45266</v>
      </c>
      <c r="AR28" s="1164"/>
      <c r="AS28" s="1164"/>
      <c r="AT28" s="1164"/>
      <c r="AU28" s="1164"/>
      <c r="AV28" s="1164"/>
      <c r="AW28" s="46"/>
      <c r="AX28" s="1164">
        <v>45266</v>
      </c>
      <c r="AY28" s="1164"/>
      <c r="AZ28" s="1164"/>
      <c r="BA28" s="1164"/>
      <c r="BB28" s="1164"/>
      <c r="BC28" s="1164"/>
      <c r="BD28" s="46"/>
      <c r="BE28" s="1164">
        <v>45266</v>
      </c>
      <c r="BF28" s="1164"/>
      <c r="BG28" s="1164"/>
      <c r="BH28" s="1164"/>
      <c r="BI28" s="1164"/>
      <c r="BJ28" s="1164"/>
      <c r="BK28" s="46"/>
      <c r="BL28" s="1164">
        <v>45266</v>
      </c>
      <c r="BM28" s="1164"/>
      <c r="BN28" s="1164"/>
      <c r="BO28" s="1164"/>
      <c r="BP28" s="1164"/>
      <c r="BQ28" s="1164"/>
      <c r="BR28" s="46"/>
      <c r="BS28" s="1164">
        <v>45266</v>
      </c>
      <c r="BT28" s="1164"/>
      <c r="BU28" s="1164"/>
      <c r="BV28" s="1164"/>
      <c r="BW28" s="1164"/>
      <c r="BX28" s="1164"/>
      <c r="BY28" s="46"/>
      <c r="BZ28" s="1164">
        <v>45266</v>
      </c>
      <c r="CA28" s="1164"/>
      <c r="CB28" s="1164"/>
      <c r="CC28" s="1164"/>
      <c r="CD28" s="1164"/>
      <c r="CE28" s="1164"/>
      <c r="CF28" s="46"/>
      <c r="CG28" s="1164">
        <v>45266</v>
      </c>
      <c r="CH28" s="1164"/>
      <c r="CI28" s="1164"/>
      <c r="CJ28" s="1164"/>
      <c r="CK28" s="1164"/>
      <c r="CL28" s="1164"/>
      <c r="CM28" s="46"/>
      <c r="CN28" s="1164">
        <v>45266</v>
      </c>
      <c r="CO28" s="1164"/>
      <c r="CP28" s="1164"/>
      <c r="CQ28" s="1164"/>
      <c r="CR28" s="1164"/>
      <c r="CS28" s="1164"/>
      <c r="CT28" s="46"/>
      <c r="CU28" s="1164">
        <v>45266</v>
      </c>
      <c r="CV28" s="1164"/>
      <c r="CW28" s="1164"/>
      <c r="CX28" s="1164"/>
      <c r="CY28" s="1164"/>
      <c r="CZ28" s="1164"/>
      <c r="DA28" s="46"/>
      <c r="DB28" s="1164">
        <v>45266</v>
      </c>
      <c r="DC28" s="1164"/>
      <c r="DD28" s="1164"/>
      <c r="DE28" s="1164"/>
      <c r="DF28" s="1164"/>
      <c r="DG28" s="1164"/>
      <c r="DH28" s="46"/>
      <c r="DI28" s="46"/>
      <c r="DJ28" s="442"/>
      <c r="DK28" s="121"/>
      <c r="DL28" s="121"/>
      <c r="DM28" s="121"/>
      <c r="DN28" s="121"/>
      <c r="DO28" s="121"/>
    </row>
    <row r="29" spans="1:119" s="174" customFormat="1" ht="18.75" customHeight="1">
      <c r="A29" s="142"/>
      <c r="B29" s="142"/>
      <c r="C29" s="142"/>
      <c r="D29" s="142"/>
      <c r="E29" s="142"/>
      <c r="F29" s="142"/>
      <c r="G29" s="142"/>
      <c r="H29" s="142"/>
      <c r="I29" s="142"/>
      <c r="J29" s="142"/>
      <c r="K29" s="142"/>
      <c r="L29" s="391"/>
      <c r="M29" s="142"/>
      <c r="N29" s="142"/>
      <c r="O29" s="142"/>
      <c r="S29" s="1162" t="s">
        <v>411</v>
      </c>
      <c r="T29" s="1162"/>
      <c r="U29" s="441"/>
      <c r="V29" s="1163" t="str">
        <f>IF(TITLE_NUMBER_PR_CHANGE="",IF(TITLE_NUMBER_PR="","",TITLE_NUMBER_PR),TITLE_NUMBER_PR_CHANGE)</f>
        <v>216-ПК</v>
      </c>
      <c r="W29" s="1163"/>
      <c r="X29" s="1163"/>
      <c r="Y29" s="1163"/>
      <c r="Z29" s="1163"/>
      <c r="AA29" s="1163"/>
      <c r="AB29" s="46"/>
      <c r="AC29" s="1163" t="str">
        <f>IF(TITLE_NUMBER_PR_CHANGE="",IF(TITLE_NUMBER_PR="","",TITLE_NUMBER_PR),TITLE_NUMBER_PR_CHANGE)</f>
        <v>216-ПК</v>
      </c>
      <c r="AD29" s="1163"/>
      <c r="AE29" s="1163"/>
      <c r="AF29" s="1163"/>
      <c r="AG29" s="1163"/>
      <c r="AH29" s="1163"/>
      <c r="AI29" s="46"/>
      <c r="AJ29" s="1163" t="str">
        <f>IF(TITLE_NUMBER_PR_CHANGE="",IF(TITLE_NUMBER_PR="","",TITLE_NUMBER_PR),TITLE_NUMBER_PR_CHANGE)</f>
        <v>216-ПК</v>
      </c>
      <c r="AK29" s="1163"/>
      <c r="AL29" s="1163"/>
      <c r="AM29" s="1163"/>
      <c r="AN29" s="1163"/>
      <c r="AO29" s="1163"/>
      <c r="AP29" s="46"/>
      <c r="AQ29" s="1163" t="str">
        <f>IF(TITLE_NUMBER_PR_CHANGE="",IF(TITLE_NUMBER_PR="","",TITLE_NUMBER_PR),TITLE_NUMBER_PR_CHANGE)</f>
        <v>216-ПК</v>
      </c>
      <c r="AR29" s="1163"/>
      <c r="AS29" s="1163"/>
      <c r="AT29" s="1163"/>
      <c r="AU29" s="1163"/>
      <c r="AV29" s="1163"/>
      <c r="AW29" s="46"/>
      <c r="AX29" s="1163" t="str">
        <f>IF(TITLE_NUMBER_PR_CHANGE="",IF(TITLE_NUMBER_PR="","",TITLE_NUMBER_PR),TITLE_NUMBER_PR_CHANGE)</f>
        <v>216-ПК</v>
      </c>
      <c r="AY29" s="1163"/>
      <c r="AZ29" s="1163"/>
      <c r="BA29" s="1163"/>
      <c r="BB29" s="1163"/>
      <c r="BC29" s="1163"/>
      <c r="BD29" s="46"/>
      <c r="BE29" s="1163" t="str">
        <f>IF(TITLE_NUMBER_PR_CHANGE="",IF(TITLE_NUMBER_PR="","",TITLE_NUMBER_PR),TITLE_NUMBER_PR_CHANGE)</f>
        <v>216-ПК</v>
      </c>
      <c r="BF29" s="1163"/>
      <c r="BG29" s="1163"/>
      <c r="BH29" s="1163"/>
      <c r="BI29" s="1163"/>
      <c r="BJ29" s="1163"/>
      <c r="BK29" s="46"/>
      <c r="BL29" s="1163" t="str">
        <f>IF(TITLE_NUMBER_PR_CHANGE="",IF(TITLE_NUMBER_PR="","",TITLE_NUMBER_PR),TITLE_NUMBER_PR_CHANGE)</f>
        <v>216-ПК</v>
      </c>
      <c r="BM29" s="1163"/>
      <c r="BN29" s="1163"/>
      <c r="BO29" s="1163"/>
      <c r="BP29" s="1163"/>
      <c r="BQ29" s="1163"/>
      <c r="BR29" s="46"/>
      <c r="BS29" s="1163" t="str">
        <f>IF(TITLE_NUMBER_PR_CHANGE="",IF(TITLE_NUMBER_PR="","",TITLE_NUMBER_PR),TITLE_NUMBER_PR_CHANGE)</f>
        <v>216-ПК</v>
      </c>
      <c r="BT29" s="1163"/>
      <c r="BU29" s="1163"/>
      <c r="BV29" s="1163"/>
      <c r="BW29" s="1163"/>
      <c r="BX29" s="1163"/>
      <c r="BY29" s="46"/>
      <c r="BZ29" s="1163" t="str">
        <f>IF(TITLE_NUMBER_PR_CHANGE="",IF(TITLE_NUMBER_PR="","",TITLE_NUMBER_PR),TITLE_NUMBER_PR_CHANGE)</f>
        <v>216-ПК</v>
      </c>
      <c r="CA29" s="1163"/>
      <c r="CB29" s="1163"/>
      <c r="CC29" s="1163"/>
      <c r="CD29" s="1163"/>
      <c r="CE29" s="1163"/>
      <c r="CF29" s="46"/>
      <c r="CG29" s="1163" t="str">
        <f>IF(TITLE_NUMBER_PR_CHANGE="",IF(TITLE_NUMBER_PR="","",TITLE_NUMBER_PR),TITLE_NUMBER_PR_CHANGE)</f>
        <v>216-ПК</v>
      </c>
      <c r="CH29" s="1163"/>
      <c r="CI29" s="1163"/>
      <c r="CJ29" s="1163"/>
      <c r="CK29" s="1163"/>
      <c r="CL29" s="1163"/>
      <c r="CM29" s="46"/>
      <c r="CN29" s="1163" t="str">
        <f>IF(TITLE_NUMBER_PR_CHANGE="",IF(TITLE_NUMBER_PR="","",TITLE_NUMBER_PR),TITLE_NUMBER_PR_CHANGE)</f>
        <v>216-ПК</v>
      </c>
      <c r="CO29" s="1163"/>
      <c r="CP29" s="1163"/>
      <c r="CQ29" s="1163"/>
      <c r="CR29" s="1163"/>
      <c r="CS29" s="1163"/>
      <c r="CT29" s="46"/>
      <c r="CU29" s="1163" t="str">
        <f>IF(TITLE_NUMBER_PR_CHANGE="",IF(TITLE_NUMBER_PR="","",TITLE_NUMBER_PR),TITLE_NUMBER_PR_CHANGE)</f>
        <v>216-ПК</v>
      </c>
      <c r="CV29" s="1163"/>
      <c r="CW29" s="1163"/>
      <c r="CX29" s="1163"/>
      <c r="CY29" s="1163"/>
      <c r="CZ29" s="1163"/>
      <c r="DA29" s="46"/>
      <c r="DB29" s="1163" t="str">
        <f>IF(TITLE_NUMBER_PR_CHANGE="",IF(TITLE_NUMBER_PR="","",TITLE_NUMBER_PR),TITLE_NUMBER_PR_CHANGE)</f>
        <v>216-ПК</v>
      </c>
      <c r="DC29" s="1163"/>
      <c r="DD29" s="1163"/>
      <c r="DE29" s="1163"/>
      <c r="DF29" s="1163"/>
      <c r="DG29" s="1163"/>
      <c r="DH29" s="46"/>
      <c r="DI29" s="46"/>
      <c r="DJ29" s="442"/>
      <c r="DK29" s="121"/>
      <c r="DL29" s="121"/>
      <c r="DM29" s="121"/>
      <c r="DN29" s="121"/>
      <c r="DO29" s="121"/>
    </row>
    <row r="30" spans="1:119" s="174" customFormat="1" ht="18.75" customHeight="1">
      <c r="A30" s="142"/>
      <c r="B30" s="142"/>
      <c r="C30" s="142"/>
      <c r="D30" s="142"/>
      <c r="E30" s="142"/>
      <c r="F30" s="142"/>
      <c r="G30" s="142"/>
      <c r="H30" s="142"/>
      <c r="I30" s="142"/>
      <c r="J30" s="142"/>
      <c r="K30" s="142"/>
      <c r="L30" s="391"/>
      <c r="M30" s="142"/>
      <c r="N30" s="142"/>
      <c r="O30" s="142"/>
      <c r="S30" s="1162" t="s">
        <v>39</v>
      </c>
      <c r="T30" s="1162"/>
      <c r="U30" s="441"/>
      <c r="V30" s="1163" t="str">
        <f>IF(TITLE_IST_PUB_CHANGE="",IF(TITLE_IST_PUB="","",TITLE_IST_PUB),TITLE_IST_PUB_CHANGE)</f>
        <v>Региональная энергетическая комиссия Свердловской области</v>
      </c>
      <c r="W30" s="1163"/>
      <c r="X30" s="1163"/>
      <c r="Y30" s="1163"/>
      <c r="Z30" s="1163"/>
      <c r="AA30" s="1163"/>
      <c r="AB30" s="46"/>
      <c r="AC30" s="1163" t="str">
        <f>IF(TITLE_IST_PUB_CHANGE="",IF(TITLE_IST_PUB="","",TITLE_IST_PUB),TITLE_IST_PUB_CHANGE)</f>
        <v>Региональная энергетическая комиссия Свердловской области</v>
      </c>
      <c r="AD30" s="1163"/>
      <c r="AE30" s="1163"/>
      <c r="AF30" s="1163"/>
      <c r="AG30" s="1163"/>
      <c r="AH30" s="1163"/>
      <c r="AI30" s="46"/>
      <c r="AJ30" s="1163" t="str">
        <f>IF(TITLE_IST_PUB_CHANGE="",IF(TITLE_IST_PUB="","",TITLE_IST_PUB),TITLE_IST_PUB_CHANGE)</f>
        <v>Региональная энергетическая комиссия Свердловской области</v>
      </c>
      <c r="AK30" s="1163"/>
      <c r="AL30" s="1163"/>
      <c r="AM30" s="1163"/>
      <c r="AN30" s="1163"/>
      <c r="AO30" s="1163"/>
      <c r="AP30" s="46"/>
      <c r="AQ30" s="1163" t="str">
        <f>IF(TITLE_IST_PUB_CHANGE="",IF(TITLE_IST_PUB="","",TITLE_IST_PUB),TITLE_IST_PUB_CHANGE)</f>
        <v>Региональная энергетическая комиссия Свердловской области</v>
      </c>
      <c r="AR30" s="1163"/>
      <c r="AS30" s="1163"/>
      <c r="AT30" s="1163"/>
      <c r="AU30" s="1163"/>
      <c r="AV30" s="1163"/>
      <c r="AW30" s="46"/>
      <c r="AX30" s="1163" t="str">
        <f>IF(TITLE_IST_PUB_CHANGE="",IF(TITLE_IST_PUB="","",TITLE_IST_PUB),TITLE_IST_PUB_CHANGE)</f>
        <v>Региональная энергетическая комиссия Свердловской области</v>
      </c>
      <c r="AY30" s="1163"/>
      <c r="AZ30" s="1163"/>
      <c r="BA30" s="1163"/>
      <c r="BB30" s="1163"/>
      <c r="BC30" s="1163"/>
      <c r="BD30" s="46"/>
      <c r="BE30" s="1163" t="str">
        <f>IF(TITLE_IST_PUB_CHANGE="",IF(TITLE_IST_PUB="","",TITLE_IST_PUB),TITLE_IST_PUB_CHANGE)</f>
        <v>Региональная энергетическая комиссия Свердловской области</v>
      </c>
      <c r="BF30" s="1163"/>
      <c r="BG30" s="1163"/>
      <c r="BH30" s="1163"/>
      <c r="BI30" s="1163"/>
      <c r="BJ30" s="1163"/>
      <c r="BK30" s="46"/>
      <c r="BL30" s="1163" t="str">
        <f>IF(TITLE_IST_PUB_CHANGE="",IF(TITLE_IST_PUB="","",TITLE_IST_PUB),TITLE_IST_PUB_CHANGE)</f>
        <v>Региональная энергетическая комиссия Свердловской области</v>
      </c>
      <c r="BM30" s="1163"/>
      <c r="BN30" s="1163"/>
      <c r="BO30" s="1163"/>
      <c r="BP30" s="1163"/>
      <c r="BQ30" s="1163"/>
      <c r="BR30" s="46"/>
      <c r="BS30" s="1163" t="str">
        <f>IF(TITLE_IST_PUB_CHANGE="",IF(TITLE_IST_PUB="","",TITLE_IST_PUB),TITLE_IST_PUB_CHANGE)</f>
        <v>Региональная энергетическая комиссия Свердловской области</v>
      </c>
      <c r="BT30" s="1163"/>
      <c r="BU30" s="1163"/>
      <c r="BV30" s="1163"/>
      <c r="BW30" s="1163"/>
      <c r="BX30" s="1163"/>
      <c r="BY30" s="46"/>
      <c r="BZ30" s="1163" t="str">
        <f>IF(TITLE_IST_PUB_CHANGE="",IF(TITLE_IST_PUB="","",TITLE_IST_PUB),TITLE_IST_PUB_CHANGE)</f>
        <v>Региональная энергетическая комиссия Свердловской области</v>
      </c>
      <c r="CA30" s="1163"/>
      <c r="CB30" s="1163"/>
      <c r="CC30" s="1163"/>
      <c r="CD30" s="1163"/>
      <c r="CE30" s="1163"/>
      <c r="CF30" s="46"/>
      <c r="CG30" s="1163" t="str">
        <f>IF(TITLE_IST_PUB_CHANGE="",IF(TITLE_IST_PUB="","",TITLE_IST_PUB),TITLE_IST_PUB_CHANGE)</f>
        <v>Региональная энергетическая комиссия Свердловской области</v>
      </c>
      <c r="CH30" s="1163"/>
      <c r="CI30" s="1163"/>
      <c r="CJ30" s="1163"/>
      <c r="CK30" s="1163"/>
      <c r="CL30" s="1163"/>
      <c r="CM30" s="46"/>
      <c r="CN30" s="1163" t="str">
        <f>IF(TITLE_IST_PUB_CHANGE="",IF(TITLE_IST_PUB="","",TITLE_IST_PUB),TITLE_IST_PUB_CHANGE)</f>
        <v>Региональная энергетическая комиссия Свердловской области</v>
      </c>
      <c r="CO30" s="1163"/>
      <c r="CP30" s="1163"/>
      <c r="CQ30" s="1163"/>
      <c r="CR30" s="1163"/>
      <c r="CS30" s="1163"/>
      <c r="CT30" s="46"/>
      <c r="CU30" s="1163" t="str">
        <f>IF(TITLE_IST_PUB_CHANGE="",IF(TITLE_IST_PUB="","",TITLE_IST_PUB),TITLE_IST_PUB_CHANGE)</f>
        <v>Региональная энергетическая комиссия Свердловской области</v>
      </c>
      <c r="CV30" s="1163"/>
      <c r="CW30" s="1163"/>
      <c r="CX30" s="1163"/>
      <c r="CY30" s="1163"/>
      <c r="CZ30" s="1163"/>
      <c r="DA30" s="46"/>
      <c r="DB30" s="1163" t="str">
        <f>IF(TITLE_IST_PUB_CHANGE="",IF(TITLE_IST_PUB="","",TITLE_IST_PUB),TITLE_IST_PUB_CHANGE)</f>
        <v>Региональная энергетическая комиссия Свердловской области</v>
      </c>
      <c r="DC30" s="1163"/>
      <c r="DD30" s="1163"/>
      <c r="DE30" s="1163"/>
      <c r="DF30" s="1163"/>
      <c r="DG30" s="1163"/>
      <c r="DH30" s="46"/>
      <c r="DI30" s="46"/>
      <c r="DJ30" s="442"/>
      <c r="DK30" s="121"/>
      <c r="DL30" s="121"/>
      <c r="DM30" s="121"/>
      <c r="DN30" s="121"/>
      <c r="DO30" s="121"/>
    </row>
    <row r="31" spans="1:119" ht="14.25" hidden="1" customHeight="1">
      <c r="Q31" s="437"/>
      <c r="R31" s="437"/>
      <c r="S31" s="438"/>
      <c r="T31" s="83"/>
      <c r="U31" s="83"/>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439"/>
      <c r="BI31" s="439"/>
      <c r="BJ31" s="439"/>
      <c r="BK31" s="439"/>
      <c r="BL31" s="439"/>
      <c r="BM31" s="439"/>
      <c r="BN31" s="439"/>
      <c r="BO31" s="439"/>
      <c r="BP31" s="439"/>
      <c r="BQ31" s="439"/>
      <c r="BR31" s="439"/>
      <c r="BS31" s="439"/>
      <c r="BT31" s="439"/>
      <c r="BU31" s="439"/>
      <c r="BV31" s="439"/>
      <c r="BW31" s="439"/>
      <c r="BX31" s="439"/>
      <c r="BY31" s="439"/>
      <c r="BZ31" s="439"/>
      <c r="CA31" s="439"/>
      <c r="CB31" s="439"/>
      <c r="CC31" s="439"/>
      <c r="CD31" s="439"/>
      <c r="CE31" s="439"/>
      <c r="CF31" s="439"/>
      <c r="CG31" s="439"/>
      <c r="CH31" s="439"/>
      <c r="CI31" s="439"/>
      <c r="CJ31" s="439"/>
      <c r="CK31" s="439"/>
      <c r="CL31" s="439"/>
      <c r="CM31" s="439"/>
      <c r="CN31" s="439"/>
      <c r="CO31" s="439"/>
      <c r="CP31" s="439"/>
      <c r="CQ31" s="439"/>
      <c r="CR31" s="439"/>
      <c r="CS31" s="439"/>
      <c r="CT31" s="439"/>
      <c r="CU31" s="439"/>
      <c r="CV31" s="439"/>
      <c r="CW31" s="439"/>
      <c r="CX31" s="439"/>
      <c r="CY31" s="439"/>
      <c r="CZ31" s="439"/>
      <c r="DA31" s="439"/>
      <c r="DB31" s="439"/>
      <c r="DC31" s="439"/>
      <c r="DD31" s="439"/>
      <c r="DE31" s="439"/>
      <c r="DF31" s="439"/>
      <c r="DG31" s="439"/>
      <c r="DH31" s="439"/>
    </row>
    <row r="32" spans="1:119" s="174" customFormat="1" ht="18.75" hidden="1" customHeight="1">
      <c r="A32" s="142"/>
      <c r="B32" s="142"/>
      <c r="C32" s="142"/>
      <c r="D32" s="142"/>
      <c r="E32" s="142"/>
      <c r="F32" s="142"/>
      <c r="G32" s="142"/>
      <c r="H32" s="142"/>
      <c r="I32" s="142"/>
      <c r="J32" s="142"/>
      <c r="K32" s="142"/>
      <c r="L32" s="391"/>
      <c r="M32" s="142"/>
      <c r="N32" s="142"/>
      <c r="O32" s="142"/>
      <c r="S32" s="1162" t="s">
        <v>412</v>
      </c>
      <c r="T32" s="1162"/>
      <c r="U32" s="441"/>
      <c r="V32" s="1164">
        <f>IF(TITLE_DATE_PR_CHANGE="",IF(TITLE_DATE_PR="","",TITLE_DATE_PR),TITLE_DATE_PR_CHANGE)</f>
        <v>45266.462974536997</v>
      </c>
      <c r="W32" s="1164"/>
      <c r="X32" s="1164"/>
      <c r="Y32" s="1164"/>
      <c r="Z32" s="1164"/>
      <c r="AA32" s="1164"/>
      <c r="AB32" s="46"/>
      <c r="AC32" s="1164">
        <f>IF(TITLE_DATE_PR_CHANGE="",IF(TITLE_DATE_PR="","",TITLE_DATE_PR),TITLE_DATE_PR_CHANGE)</f>
        <v>45266.462974536997</v>
      </c>
      <c r="AD32" s="1164"/>
      <c r="AE32" s="1164"/>
      <c r="AF32" s="1164"/>
      <c r="AG32" s="1164"/>
      <c r="AH32" s="1164"/>
      <c r="AI32" s="46"/>
      <c r="AJ32" s="1164">
        <f>IF(TITLE_DATE_PR_CHANGE="",IF(TITLE_DATE_PR="","",TITLE_DATE_PR),TITLE_DATE_PR_CHANGE)</f>
        <v>45266.462974536997</v>
      </c>
      <c r="AK32" s="1164"/>
      <c r="AL32" s="1164"/>
      <c r="AM32" s="1164"/>
      <c r="AN32" s="1164"/>
      <c r="AO32" s="1164"/>
      <c r="AP32" s="46"/>
      <c r="AQ32" s="1164">
        <f>IF(TITLE_DATE_PR_CHANGE="",IF(TITLE_DATE_PR="","",TITLE_DATE_PR),TITLE_DATE_PR_CHANGE)</f>
        <v>45266.462974536997</v>
      </c>
      <c r="AR32" s="1164"/>
      <c r="AS32" s="1164"/>
      <c r="AT32" s="1164"/>
      <c r="AU32" s="1164"/>
      <c r="AV32" s="1164"/>
      <c r="AW32" s="46"/>
      <c r="AX32" s="1164">
        <f>IF(TITLE_DATE_PR_CHANGE="",IF(TITLE_DATE_PR="","",TITLE_DATE_PR),TITLE_DATE_PR_CHANGE)</f>
        <v>45266.462974536997</v>
      </c>
      <c r="AY32" s="1164"/>
      <c r="AZ32" s="1164"/>
      <c r="BA32" s="1164"/>
      <c r="BB32" s="1164"/>
      <c r="BC32" s="1164"/>
      <c r="BD32" s="46"/>
      <c r="BE32" s="1164">
        <f>IF(TITLE_DATE_PR_CHANGE="",IF(TITLE_DATE_PR="","",TITLE_DATE_PR),TITLE_DATE_PR_CHANGE)</f>
        <v>45266.462974536997</v>
      </c>
      <c r="BF32" s="1164"/>
      <c r="BG32" s="1164"/>
      <c r="BH32" s="1164"/>
      <c r="BI32" s="1164"/>
      <c r="BJ32" s="1164"/>
      <c r="BK32" s="46"/>
      <c r="BL32" s="1164">
        <f>IF(TITLE_DATE_PR_CHANGE="",IF(TITLE_DATE_PR="","",TITLE_DATE_PR),TITLE_DATE_PR_CHANGE)</f>
        <v>45266.462974536997</v>
      </c>
      <c r="BM32" s="1164"/>
      <c r="BN32" s="1164"/>
      <c r="BO32" s="1164"/>
      <c r="BP32" s="1164"/>
      <c r="BQ32" s="1164"/>
      <c r="BR32" s="46"/>
      <c r="BS32" s="1164">
        <f>IF(TITLE_DATE_PR_CHANGE="",IF(TITLE_DATE_PR="","",TITLE_DATE_PR),TITLE_DATE_PR_CHANGE)</f>
        <v>45266.462974536997</v>
      </c>
      <c r="BT32" s="1164"/>
      <c r="BU32" s="1164"/>
      <c r="BV32" s="1164"/>
      <c r="BW32" s="1164"/>
      <c r="BX32" s="1164"/>
      <c r="BY32" s="46"/>
      <c r="BZ32" s="1164">
        <f>IF(TITLE_DATE_PR_CHANGE="",IF(TITLE_DATE_PR="","",TITLE_DATE_PR),TITLE_DATE_PR_CHANGE)</f>
        <v>45266.462974536997</v>
      </c>
      <c r="CA32" s="1164"/>
      <c r="CB32" s="1164"/>
      <c r="CC32" s="1164"/>
      <c r="CD32" s="1164"/>
      <c r="CE32" s="1164"/>
      <c r="CF32" s="46"/>
      <c r="CG32" s="1164">
        <f>IF(TITLE_DATE_PR_CHANGE="",IF(TITLE_DATE_PR="","",TITLE_DATE_PR),TITLE_DATE_PR_CHANGE)</f>
        <v>45266.462974536997</v>
      </c>
      <c r="CH32" s="1164"/>
      <c r="CI32" s="1164"/>
      <c r="CJ32" s="1164"/>
      <c r="CK32" s="1164"/>
      <c r="CL32" s="1164"/>
      <c r="CM32" s="46"/>
      <c r="CN32" s="1164">
        <f>IF(TITLE_DATE_PR_CHANGE="",IF(TITLE_DATE_PR="","",TITLE_DATE_PR),TITLE_DATE_PR_CHANGE)</f>
        <v>45266.462974536997</v>
      </c>
      <c r="CO32" s="1164"/>
      <c r="CP32" s="1164"/>
      <c r="CQ32" s="1164"/>
      <c r="CR32" s="1164"/>
      <c r="CS32" s="1164"/>
      <c r="CT32" s="46"/>
      <c r="CU32" s="1164">
        <f>IF(TITLE_DATE_PR_CHANGE="",IF(TITLE_DATE_PR="","",TITLE_DATE_PR),TITLE_DATE_PR_CHANGE)</f>
        <v>45266.462974536997</v>
      </c>
      <c r="CV32" s="1164"/>
      <c r="CW32" s="1164"/>
      <c r="CX32" s="1164"/>
      <c r="CY32" s="1164"/>
      <c r="CZ32" s="1164"/>
      <c r="DA32" s="46"/>
      <c r="DB32" s="1164">
        <f>IF(TITLE_DATE_PR_CHANGE="",IF(TITLE_DATE_PR="","",TITLE_DATE_PR),TITLE_DATE_PR_CHANGE)</f>
        <v>45266.462974536997</v>
      </c>
      <c r="DC32" s="1164"/>
      <c r="DD32" s="1164"/>
      <c r="DE32" s="1164"/>
      <c r="DF32" s="1164"/>
      <c r="DG32" s="1164"/>
      <c r="DH32" s="46"/>
      <c r="DI32" s="46"/>
      <c r="DJ32" s="442"/>
      <c r="DK32" s="121"/>
      <c r="DL32" s="121"/>
      <c r="DM32" s="121"/>
      <c r="DN32" s="121"/>
      <c r="DO32" s="121"/>
    </row>
    <row r="33" spans="1:119" s="174" customFormat="1" ht="18.75" hidden="1" customHeight="1">
      <c r="A33" s="142"/>
      <c r="B33" s="142"/>
      <c r="C33" s="142"/>
      <c r="D33" s="142"/>
      <c r="E33" s="142"/>
      <c r="F33" s="142"/>
      <c r="G33" s="142"/>
      <c r="H33" s="142"/>
      <c r="I33" s="142"/>
      <c r="J33" s="142"/>
      <c r="K33" s="142"/>
      <c r="L33" s="391"/>
      <c r="M33" s="142"/>
      <c r="N33" s="142"/>
      <c r="O33" s="142"/>
      <c r="S33" s="1162" t="s">
        <v>413</v>
      </c>
      <c r="T33" s="1162"/>
      <c r="U33" s="441"/>
      <c r="V33" s="1163" t="str">
        <f>IF(TITLE_NUMBER_PR_CHANGE="",IF(TITLE_NUMBER_PR="","",TITLE_NUMBER_PR),TITLE_NUMBER_PR_CHANGE)</f>
        <v>216-ПК</v>
      </c>
      <c r="W33" s="1163"/>
      <c r="X33" s="1163"/>
      <c r="Y33" s="1163"/>
      <c r="Z33" s="1163"/>
      <c r="AA33" s="1163"/>
      <c r="AB33" s="46"/>
      <c r="AC33" s="1163" t="str">
        <f>IF(TITLE_NUMBER_PR_CHANGE="",IF(TITLE_NUMBER_PR="","",TITLE_NUMBER_PR),TITLE_NUMBER_PR_CHANGE)</f>
        <v>216-ПК</v>
      </c>
      <c r="AD33" s="1163"/>
      <c r="AE33" s="1163"/>
      <c r="AF33" s="1163"/>
      <c r="AG33" s="1163"/>
      <c r="AH33" s="1163"/>
      <c r="AI33" s="46"/>
      <c r="AJ33" s="1163" t="str">
        <f>IF(TITLE_NUMBER_PR_CHANGE="",IF(TITLE_NUMBER_PR="","",TITLE_NUMBER_PR),TITLE_NUMBER_PR_CHANGE)</f>
        <v>216-ПК</v>
      </c>
      <c r="AK33" s="1163"/>
      <c r="AL33" s="1163"/>
      <c r="AM33" s="1163"/>
      <c r="AN33" s="1163"/>
      <c r="AO33" s="1163"/>
      <c r="AP33" s="46"/>
      <c r="AQ33" s="1163" t="str">
        <f>IF(TITLE_NUMBER_PR_CHANGE="",IF(TITLE_NUMBER_PR="","",TITLE_NUMBER_PR),TITLE_NUMBER_PR_CHANGE)</f>
        <v>216-ПК</v>
      </c>
      <c r="AR33" s="1163"/>
      <c r="AS33" s="1163"/>
      <c r="AT33" s="1163"/>
      <c r="AU33" s="1163"/>
      <c r="AV33" s="1163"/>
      <c r="AW33" s="46"/>
      <c r="AX33" s="1163" t="str">
        <f>IF(TITLE_NUMBER_PR_CHANGE="",IF(TITLE_NUMBER_PR="","",TITLE_NUMBER_PR),TITLE_NUMBER_PR_CHANGE)</f>
        <v>216-ПК</v>
      </c>
      <c r="AY33" s="1163"/>
      <c r="AZ33" s="1163"/>
      <c r="BA33" s="1163"/>
      <c r="BB33" s="1163"/>
      <c r="BC33" s="1163"/>
      <c r="BD33" s="46"/>
      <c r="BE33" s="1163" t="str">
        <f>IF(TITLE_NUMBER_PR_CHANGE="",IF(TITLE_NUMBER_PR="","",TITLE_NUMBER_PR),TITLE_NUMBER_PR_CHANGE)</f>
        <v>216-ПК</v>
      </c>
      <c r="BF33" s="1163"/>
      <c r="BG33" s="1163"/>
      <c r="BH33" s="1163"/>
      <c r="BI33" s="1163"/>
      <c r="BJ33" s="1163"/>
      <c r="BK33" s="46"/>
      <c r="BL33" s="1163" t="str">
        <f>IF(TITLE_NUMBER_PR_CHANGE="",IF(TITLE_NUMBER_PR="","",TITLE_NUMBER_PR),TITLE_NUMBER_PR_CHANGE)</f>
        <v>216-ПК</v>
      </c>
      <c r="BM33" s="1163"/>
      <c r="BN33" s="1163"/>
      <c r="BO33" s="1163"/>
      <c r="BP33" s="1163"/>
      <c r="BQ33" s="1163"/>
      <c r="BR33" s="46"/>
      <c r="BS33" s="1163" t="str">
        <f>IF(TITLE_NUMBER_PR_CHANGE="",IF(TITLE_NUMBER_PR="","",TITLE_NUMBER_PR),TITLE_NUMBER_PR_CHANGE)</f>
        <v>216-ПК</v>
      </c>
      <c r="BT33" s="1163"/>
      <c r="BU33" s="1163"/>
      <c r="BV33" s="1163"/>
      <c r="BW33" s="1163"/>
      <c r="BX33" s="1163"/>
      <c r="BY33" s="46"/>
      <c r="BZ33" s="1163" t="str">
        <f>IF(TITLE_NUMBER_PR_CHANGE="",IF(TITLE_NUMBER_PR="","",TITLE_NUMBER_PR),TITLE_NUMBER_PR_CHANGE)</f>
        <v>216-ПК</v>
      </c>
      <c r="CA33" s="1163"/>
      <c r="CB33" s="1163"/>
      <c r="CC33" s="1163"/>
      <c r="CD33" s="1163"/>
      <c r="CE33" s="1163"/>
      <c r="CF33" s="46"/>
      <c r="CG33" s="1163" t="str">
        <f>IF(TITLE_NUMBER_PR_CHANGE="",IF(TITLE_NUMBER_PR="","",TITLE_NUMBER_PR),TITLE_NUMBER_PR_CHANGE)</f>
        <v>216-ПК</v>
      </c>
      <c r="CH33" s="1163"/>
      <c r="CI33" s="1163"/>
      <c r="CJ33" s="1163"/>
      <c r="CK33" s="1163"/>
      <c r="CL33" s="1163"/>
      <c r="CM33" s="46"/>
      <c r="CN33" s="1163" t="str">
        <f>IF(TITLE_NUMBER_PR_CHANGE="",IF(TITLE_NUMBER_PR="","",TITLE_NUMBER_PR),TITLE_NUMBER_PR_CHANGE)</f>
        <v>216-ПК</v>
      </c>
      <c r="CO33" s="1163"/>
      <c r="CP33" s="1163"/>
      <c r="CQ33" s="1163"/>
      <c r="CR33" s="1163"/>
      <c r="CS33" s="1163"/>
      <c r="CT33" s="46"/>
      <c r="CU33" s="1163" t="str">
        <f>IF(TITLE_NUMBER_PR_CHANGE="",IF(TITLE_NUMBER_PR="","",TITLE_NUMBER_PR),TITLE_NUMBER_PR_CHANGE)</f>
        <v>216-ПК</v>
      </c>
      <c r="CV33" s="1163"/>
      <c r="CW33" s="1163"/>
      <c r="CX33" s="1163"/>
      <c r="CY33" s="1163"/>
      <c r="CZ33" s="1163"/>
      <c r="DA33" s="46"/>
      <c r="DB33" s="1163" t="str">
        <f>IF(TITLE_NUMBER_PR_CHANGE="",IF(TITLE_NUMBER_PR="","",TITLE_NUMBER_PR),TITLE_NUMBER_PR_CHANGE)</f>
        <v>216-ПК</v>
      </c>
      <c r="DC33" s="1163"/>
      <c r="DD33" s="1163"/>
      <c r="DE33" s="1163"/>
      <c r="DF33" s="1163"/>
      <c r="DG33" s="1163"/>
      <c r="DH33" s="46"/>
      <c r="DI33" s="46"/>
      <c r="DJ33" s="442"/>
      <c r="DK33" s="121"/>
      <c r="DL33" s="121"/>
      <c r="DM33" s="121"/>
      <c r="DN33" s="121"/>
      <c r="DO33" s="121"/>
    </row>
    <row r="34" spans="1:119" s="174" customFormat="1" ht="0.75" customHeight="1">
      <c r="A34" s="142"/>
      <c r="B34" s="142"/>
      <c r="C34" s="142"/>
      <c r="D34" s="142"/>
      <c r="E34" s="142"/>
      <c r="F34" s="142"/>
      <c r="G34" s="142"/>
      <c r="H34" s="142"/>
      <c r="I34" s="142"/>
      <c r="J34" s="142"/>
      <c r="K34" s="142"/>
      <c r="L34" s="391"/>
      <c r="M34" s="142"/>
      <c r="N34" s="142"/>
      <c r="O34" s="142"/>
      <c r="S34" s="46"/>
      <c r="T34" s="46"/>
      <c r="U34" s="131"/>
      <c r="V34" s="46"/>
      <c r="W34" s="46"/>
      <c r="X34" s="46"/>
      <c r="Y34" s="46"/>
      <c r="Z34" s="46"/>
      <c r="AA34" s="46"/>
      <c r="AB34" s="53" t="s">
        <v>414</v>
      </c>
      <c r="AC34" s="46"/>
      <c r="AD34" s="46"/>
      <c r="AE34" s="46"/>
      <c r="AF34" s="46"/>
      <c r="AG34" s="46"/>
      <c r="AH34" s="46"/>
      <c r="AI34" s="53" t="s">
        <v>414</v>
      </c>
      <c r="AJ34" s="46"/>
      <c r="AK34" s="46"/>
      <c r="AL34" s="46"/>
      <c r="AM34" s="46"/>
      <c r="AN34" s="46"/>
      <c r="AO34" s="46"/>
      <c r="AP34" s="53" t="s">
        <v>414</v>
      </c>
      <c r="AQ34" s="46"/>
      <c r="AR34" s="46"/>
      <c r="AS34" s="46"/>
      <c r="AT34" s="46"/>
      <c r="AU34" s="46"/>
      <c r="AV34" s="46"/>
      <c r="AW34" s="53" t="s">
        <v>414</v>
      </c>
      <c r="AX34" s="46"/>
      <c r="AY34" s="46"/>
      <c r="AZ34" s="46"/>
      <c r="BA34" s="46"/>
      <c r="BB34" s="46"/>
      <c r="BC34" s="46"/>
      <c r="BD34" s="53" t="s">
        <v>414</v>
      </c>
      <c r="BE34" s="46"/>
      <c r="BF34" s="46"/>
      <c r="BG34" s="46"/>
      <c r="BH34" s="46"/>
      <c r="BI34" s="46"/>
      <c r="BJ34" s="46"/>
      <c r="BK34" s="53" t="s">
        <v>414</v>
      </c>
      <c r="BL34" s="46"/>
      <c r="BM34" s="46"/>
      <c r="BN34" s="46"/>
      <c r="BO34" s="46"/>
      <c r="BP34" s="46"/>
      <c r="BQ34" s="46"/>
      <c r="BR34" s="53" t="s">
        <v>414</v>
      </c>
      <c r="BS34" s="46"/>
      <c r="BT34" s="46"/>
      <c r="BU34" s="46"/>
      <c r="BV34" s="46"/>
      <c r="BW34" s="46"/>
      <c r="BX34" s="46"/>
      <c r="BY34" s="53" t="s">
        <v>414</v>
      </c>
      <c r="BZ34" s="46"/>
      <c r="CA34" s="46"/>
      <c r="CB34" s="46"/>
      <c r="CC34" s="46"/>
      <c r="CD34" s="46"/>
      <c r="CE34" s="46"/>
      <c r="CF34" s="53" t="s">
        <v>414</v>
      </c>
      <c r="CG34" s="46"/>
      <c r="CH34" s="46"/>
      <c r="CI34" s="46"/>
      <c r="CJ34" s="46"/>
      <c r="CK34" s="46"/>
      <c r="CL34" s="46"/>
      <c r="CM34" s="53" t="s">
        <v>414</v>
      </c>
      <c r="CN34" s="46"/>
      <c r="CO34" s="46"/>
      <c r="CP34" s="46"/>
      <c r="CQ34" s="46"/>
      <c r="CR34" s="46"/>
      <c r="CS34" s="46"/>
      <c r="CT34" s="53" t="s">
        <v>414</v>
      </c>
      <c r="CU34" s="46"/>
      <c r="CV34" s="46"/>
      <c r="CW34" s="46"/>
      <c r="CX34" s="46"/>
      <c r="CY34" s="46"/>
      <c r="CZ34" s="46"/>
      <c r="DA34" s="53" t="s">
        <v>414</v>
      </c>
      <c r="DB34" s="46"/>
      <c r="DC34" s="46"/>
      <c r="DD34" s="46"/>
      <c r="DE34" s="46"/>
      <c r="DF34" s="46"/>
      <c r="DG34" s="46"/>
      <c r="DH34" s="53" t="s">
        <v>414</v>
      </c>
      <c r="DK34" s="121"/>
      <c r="DL34" s="121"/>
      <c r="DM34" s="121"/>
      <c r="DN34" s="121"/>
      <c r="DO34" s="121"/>
    </row>
    <row r="35" spans="1:119" ht="14.25" customHeight="1">
      <c r="Q35" s="437"/>
      <c r="R35" s="437"/>
      <c r="S35" s="438"/>
      <c r="T35" s="83"/>
      <c r="U35" s="443"/>
      <c r="V35" s="1165"/>
      <c r="W35" s="1165"/>
      <c r="X35" s="1165"/>
      <c r="Y35" s="1165"/>
      <c r="Z35" s="1165"/>
      <c r="AA35" s="1165"/>
      <c r="AB35" s="1165"/>
      <c r="AC35" s="1165"/>
      <c r="AD35" s="1165"/>
      <c r="AE35" s="1165"/>
      <c r="AF35" s="1165"/>
      <c r="AG35" s="1165"/>
      <c r="AH35" s="1165"/>
      <c r="AI35" s="1165"/>
      <c r="AJ35" s="1165" t="s">
        <v>502</v>
      </c>
      <c r="AK35" s="1165"/>
      <c r="AL35" s="1165"/>
      <c r="AM35" s="1165"/>
      <c r="AN35" s="1165"/>
      <c r="AO35" s="1165"/>
      <c r="AP35" s="1165"/>
      <c r="AQ35" s="1165" t="s">
        <v>502</v>
      </c>
      <c r="AR35" s="1165"/>
      <c r="AS35" s="1165"/>
      <c r="AT35" s="1165"/>
      <c r="AU35" s="1165"/>
      <c r="AV35" s="1165"/>
      <c r="AW35" s="1165"/>
      <c r="AX35" s="1165" t="s">
        <v>502</v>
      </c>
      <c r="AY35" s="1165"/>
      <c r="AZ35" s="1165"/>
      <c r="BA35" s="1165"/>
      <c r="BB35" s="1165"/>
      <c r="BC35" s="1165"/>
      <c r="BD35" s="1165"/>
      <c r="BE35" s="1165" t="s">
        <v>502</v>
      </c>
      <c r="BF35" s="1165"/>
      <c r="BG35" s="1165"/>
      <c r="BH35" s="1165"/>
      <c r="BI35" s="1165"/>
      <c r="BJ35" s="1165"/>
      <c r="BK35" s="1165"/>
      <c r="BL35" s="1165" t="s">
        <v>502</v>
      </c>
      <c r="BM35" s="1165"/>
      <c r="BN35" s="1165"/>
      <c r="BO35" s="1165"/>
      <c r="BP35" s="1165"/>
      <c r="BQ35" s="1165"/>
      <c r="BR35" s="1165"/>
      <c r="BS35" s="1165" t="s">
        <v>502</v>
      </c>
      <c r="BT35" s="1165"/>
      <c r="BU35" s="1165"/>
      <c r="BV35" s="1165"/>
      <c r="BW35" s="1165"/>
      <c r="BX35" s="1165"/>
      <c r="BY35" s="1165"/>
      <c r="BZ35" s="1165" t="s">
        <v>502</v>
      </c>
      <c r="CA35" s="1165"/>
      <c r="CB35" s="1165"/>
      <c r="CC35" s="1165"/>
      <c r="CD35" s="1165"/>
      <c r="CE35" s="1165"/>
      <c r="CF35" s="1165"/>
      <c r="CG35" s="1165" t="s">
        <v>502</v>
      </c>
      <c r="CH35" s="1165"/>
      <c r="CI35" s="1165"/>
      <c r="CJ35" s="1165"/>
      <c r="CK35" s="1165"/>
      <c r="CL35" s="1165"/>
      <c r="CM35" s="1165"/>
      <c r="CN35" s="1165" t="s">
        <v>502</v>
      </c>
      <c r="CO35" s="1165"/>
      <c r="CP35" s="1165"/>
      <c r="CQ35" s="1165"/>
      <c r="CR35" s="1165"/>
      <c r="CS35" s="1165"/>
      <c r="CT35" s="1165"/>
      <c r="CU35" s="1165" t="s">
        <v>502</v>
      </c>
      <c r="CV35" s="1165"/>
      <c r="CW35" s="1165"/>
      <c r="CX35" s="1165"/>
      <c r="CY35" s="1165"/>
      <c r="CZ35" s="1165"/>
      <c r="DA35" s="1165"/>
      <c r="DB35" s="1165" t="s">
        <v>502</v>
      </c>
      <c r="DC35" s="1165"/>
      <c r="DD35" s="1165"/>
      <c r="DE35" s="1165"/>
      <c r="DF35" s="1165"/>
      <c r="DG35" s="1165"/>
      <c r="DH35" s="1165"/>
    </row>
    <row r="36" spans="1:119" ht="14.25" customHeight="1">
      <c r="Q36" s="437"/>
      <c r="R36" s="437"/>
      <c r="S36" s="1087" t="s">
        <v>287</v>
      </c>
      <c r="T36" s="1087"/>
      <c r="U36" s="1087"/>
      <c r="V36" s="1087"/>
      <c r="W36" s="1087"/>
      <c r="X36" s="1087"/>
      <c r="Y36" s="1087"/>
      <c r="Z36" s="1087"/>
      <c r="AA36" s="1087"/>
      <c r="AB36" s="1087"/>
      <c r="AC36" s="1087"/>
      <c r="AD36" s="1087"/>
      <c r="AE36" s="1087"/>
      <c r="AF36" s="1087"/>
      <c r="AG36" s="1087"/>
      <c r="AH36" s="1087"/>
      <c r="AI36" s="1087"/>
      <c r="AJ36" s="1087" t="s">
        <v>287</v>
      </c>
      <c r="AK36" s="1087"/>
      <c r="AL36" s="1087"/>
      <c r="AM36" s="1087"/>
      <c r="AN36" s="1087"/>
      <c r="AO36" s="1087"/>
      <c r="AP36" s="1087"/>
      <c r="AQ36" s="1087" t="s">
        <v>287</v>
      </c>
      <c r="AR36" s="1087"/>
      <c r="AS36" s="1087"/>
      <c r="AT36" s="1087"/>
      <c r="AU36" s="1087"/>
      <c r="AV36" s="1087"/>
      <c r="AW36" s="1087"/>
      <c r="AX36" s="1087" t="s">
        <v>287</v>
      </c>
      <c r="AY36" s="1087"/>
      <c r="AZ36" s="1087"/>
      <c r="BA36" s="1087"/>
      <c r="BB36" s="1087"/>
      <c r="BC36" s="1087"/>
      <c r="BD36" s="1087"/>
      <c r="BE36" s="1087" t="s">
        <v>287</v>
      </c>
      <c r="BF36" s="1087"/>
      <c r="BG36" s="1087"/>
      <c r="BH36" s="1087"/>
      <c r="BI36" s="1087"/>
      <c r="BJ36" s="1087"/>
      <c r="BK36" s="1087"/>
      <c r="BL36" s="1087" t="s">
        <v>287</v>
      </c>
      <c r="BM36" s="1087"/>
      <c r="BN36" s="1087"/>
      <c r="BO36" s="1087"/>
      <c r="BP36" s="1087"/>
      <c r="BQ36" s="1087"/>
      <c r="BR36" s="1087"/>
      <c r="BS36" s="1087" t="s">
        <v>287</v>
      </c>
      <c r="BT36" s="1087"/>
      <c r="BU36" s="1087"/>
      <c r="BV36" s="1087"/>
      <c r="BW36" s="1087"/>
      <c r="BX36" s="1087"/>
      <c r="BY36" s="1087"/>
      <c r="BZ36" s="1087" t="s">
        <v>287</v>
      </c>
      <c r="CA36" s="1087"/>
      <c r="CB36" s="1087"/>
      <c r="CC36" s="1087"/>
      <c r="CD36" s="1087"/>
      <c r="CE36" s="1087"/>
      <c r="CF36" s="1087"/>
      <c r="CG36" s="1087" t="s">
        <v>287</v>
      </c>
      <c r="CH36" s="1087"/>
      <c r="CI36" s="1087"/>
      <c r="CJ36" s="1087"/>
      <c r="CK36" s="1087"/>
      <c r="CL36" s="1087"/>
      <c r="CM36" s="1087"/>
      <c r="CN36" s="1087" t="s">
        <v>287</v>
      </c>
      <c r="CO36" s="1087"/>
      <c r="CP36" s="1087"/>
      <c r="CQ36" s="1087"/>
      <c r="CR36" s="1087"/>
      <c r="CS36" s="1087"/>
      <c r="CT36" s="1087"/>
      <c r="CU36" s="1087" t="s">
        <v>287</v>
      </c>
      <c r="CV36" s="1087"/>
      <c r="CW36" s="1087"/>
      <c r="CX36" s="1087"/>
      <c r="CY36" s="1087"/>
      <c r="CZ36" s="1087"/>
      <c r="DA36" s="1087"/>
      <c r="DB36" s="1087" t="s">
        <v>287</v>
      </c>
      <c r="DC36" s="1087"/>
      <c r="DD36" s="1087"/>
      <c r="DE36" s="1087"/>
      <c r="DF36" s="1087"/>
      <c r="DG36" s="1087"/>
      <c r="DH36" s="1087"/>
      <c r="DI36" s="1087"/>
      <c r="DJ36" s="1087"/>
    </row>
    <row r="37" spans="1:119" ht="14.25" customHeight="1">
      <c r="Q37" s="437"/>
      <c r="R37" s="437"/>
      <c r="S37" s="1166" t="s">
        <v>84</v>
      </c>
      <c r="T37" s="1167" t="s">
        <v>415</v>
      </c>
      <c r="U37" s="444"/>
      <c r="V37" s="1140" t="s">
        <v>416</v>
      </c>
      <c r="W37" s="1140"/>
      <c r="X37" s="1140"/>
      <c r="Y37" s="1140"/>
      <c r="Z37" s="1140"/>
      <c r="AA37" s="1140"/>
      <c r="AB37" s="1167" t="s">
        <v>417</v>
      </c>
      <c r="AC37" s="1140" t="s">
        <v>416</v>
      </c>
      <c r="AD37" s="1140"/>
      <c r="AE37" s="1140"/>
      <c r="AF37" s="1140"/>
      <c r="AG37" s="1140"/>
      <c r="AH37" s="1140"/>
      <c r="AI37" s="1167" t="s">
        <v>418</v>
      </c>
      <c r="AJ37" s="1140" t="s">
        <v>416</v>
      </c>
      <c r="AK37" s="1140"/>
      <c r="AL37" s="1140"/>
      <c r="AM37" s="1140"/>
      <c r="AN37" s="1140"/>
      <c r="AO37" s="1140"/>
      <c r="AP37" s="1167" t="s">
        <v>417</v>
      </c>
      <c r="AQ37" s="1140" t="s">
        <v>416</v>
      </c>
      <c r="AR37" s="1140"/>
      <c r="AS37" s="1140"/>
      <c r="AT37" s="1140"/>
      <c r="AU37" s="1140"/>
      <c r="AV37" s="1140"/>
      <c r="AW37" s="1167" t="s">
        <v>417</v>
      </c>
      <c r="AX37" s="1140" t="s">
        <v>416</v>
      </c>
      <c r="AY37" s="1140"/>
      <c r="AZ37" s="1140"/>
      <c r="BA37" s="1140"/>
      <c r="BB37" s="1140"/>
      <c r="BC37" s="1140"/>
      <c r="BD37" s="1167" t="s">
        <v>417</v>
      </c>
      <c r="BE37" s="1140" t="s">
        <v>416</v>
      </c>
      <c r="BF37" s="1140"/>
      <c r="BG37" s="1140"/>
      <c r="BH37" s="1140"/>
      <c r="BI37" s="1140"/>
      <c r="BJ37" s="1140"/>
      <c r="BK37" s="1167" t="s">
        <v>417</v>
      </c>
      <c r="BL37" s="1140" t="s">
        <v>416</v>
      </c>
      <c r="BM37" s="1140"/>
      <c r="BN37" s="1140"/>
      <c r="BO37" s="1140"/>
      <c r="BP37" s="1140"/>
      <c r="BQ37" s="1140"/>
      <c r="BR37" s="1167" t="s">
        <v>417</v>
      </c>
      <c r="BS37" s="1140" t="s">
        <v>416</v>
      </c>
      <c r="BT37" s="1140"/>
      <c r="BU37" s="1140"/>
      <c r="BV37" s="1140"/>
      <c r="BW37" s="1140"/>
      <c r="BX37" s="1140"/>
      <c r="BY37" s="1167" t="s">
        <v>417</v>
      </c>
      <c r="BZ37" s="1140" t="s">
        <v>416</v>
      </c>
      <c r="CA37" s="1140"/>
      <c r="CB37" s="1140"/>
      <c r="CC37" s="1140"/>
      <c r="CD37" s="1140"/>
      <c r="CE37" s="1140"/>
      <c r="CF37" s="1167" t="s">
        <v>417</v>
      </c>
      <c r="CG37" s="1140" t="s">
        <v>416</v>
      </c>
      <c r="CH37" s="1140"/>
      <c r="CI37" s="1140"/>
      <c r="CJ37" s="1140"/>
      <c r="CK37" s="1140"/>
      <c r="CL37" s="1140"/>
      <c r="CM37" s="1167" t="s">
        <v>417</v>
      </c>
      <c r="CN37" s="1140" t="s">
        <v>416</v>
      </c>
      <c r="CO37" s="1140"/>
      <c r="CP37" s="1140"/>
      <c r="CQ37" s="1140"/>
      <c r="CR37" s="1140"/>
      <c r="CS37" s="1140"/>
      <c r="CT37" s="1167" t="s">
        <v>417</v>
      </c>
      <c r="CU37" s="1140" t="s">
        <v>416</v>
      </c>
      <c r="CV37" s="1140"/>
      <c r="CW37" s="1140"/>
      <c r="CX37" s="1140"/>
      <c r="CY37" s="1140"/>
      <c r="CZ37" s="1140"/>
      <c r="DA37" s="1167" t="s">
        <v>417</v>
      </c>
      <c r="DB37" s="1140" t="s">
        <v>416</v>
      </c>
      <c r="DC37" s="1140"/>
      <c r="DD37" s="1140"/>
      <c r="DE37" s="1140"/>
      <c r="DF37" s="1140"/>
      <c r="DG37" s="1140"/>
      <c r="DH37" s="1167" t="s">
        <v>417</v>
      </c>
      <c r="DI37" s="1168" t="s">
        <v>419</v>
      </c>
      <c r="DJ37" s="1087"/>
    </row>
    <row r="38" spans="1:119" ht="33.75" customHeight="1">
      <c r="Q38" s="437"/>
      <c r="R38" s="437"/>
      <c r="S38" s="1166"/>
      <c r="T38" s="1167"/>
      <c r="U38" s="445"/>
      <c r="V38" s="242" t="s">
        <v>475</v>
      </c>
      <c r="W38" s="1087" t="s">
        <v>422</v>
      </c>
      <c r="X38" s="1087"/>
      <c r="Y38" s="1087" t="s">
        <v>423</v>
      </c>
      <c r="Z38" s="1087"/>
      <c r="AA38" s="1087"/>
      <c r="AB38" s="1167"/>
      <c r="AC38" s="242" t="s">
        <v>475</v>
      </c>
      <c r="AD38" s="1087" t="s">
        <v>422</v>
      </c>
      <c r="AE38" s="1087"/>
      <c r="AF38" s="1087" t="s">
        <v>423</v>
      </c>
      <c r="AG38" s="1087"/>
      <c r="AH38" s="1087"/>
      <c r="AI38" s="1167"/>
      <c r="AJ38" s="242" t="s">
        <v>475</v>
      </c>
      <c r="AK38" s="1087" t="s">
        <v>422</v>
      </c>
      <c r="AL38" s="1087"/>
      <c r="AM38" s="1087" t="s">
        <v>423</v>
      </c>
      <c r="AN38" s="1087"/>
      <c r="AO38" s="1087"/>
      <c r="AP38" s="1167"/>
      <c r="AQ38" s="242" t="s">
        <v>475</v>
      </c>
      <c r="AR38" s="1087" t="s">
        <v>422</v>
      </c>
      <c r="AS38" s="1087"/>
      <c r="AT38" s="1087" t="s">
        <v>423</v>
      </c>
      <c r="AU38" s="1087"/>
      <c r="AV38" s="1087"/>
      <c r="AW38" s="1167"/>
      <c r="AX38" s="242" t="s">
        <v>475</v>
      </c>
      <c r="AY38" s="1087" t="s">
        <v>422</v>
      </c>
      <c r="AZ38" s="1087"/>
      <c r="BA38" s="1087" t="s">
        <v>423</v>
      </c>
      <c r="BB38" s="1087"/>
      <c r="BC38" s="1087"/>
      <c r="BD38" s="1167"/>
      <c r="BE38" s="242" t="s">
        <v>475</v>
      </c>
      <c r="BF38" s="1087" t="s">
        <v>422</v>
      </c>
      <c r="BG38" s="1087"/>
      <c r="BH38" s="1087" t="s">
        <v>423</v>
      </c>
      <c r="BI38" s="1087"/>
      <c r="BJ38" s="1087"/>
      <c r="BK38" s="1167"/>
      <c r="BL38" s="242" t="s">
        <v>475</v>
      </c>
      <c r="BM38" s="1087" t="s">
        <v>422</v>
      </c>
      <c r="BN38" s="1087"/>
      <c r="BO38" s="1087" t="s">
        <v>423</v>
      </c>
      <c r="BP38" s="1087"/>
      <c r="BQ38" s="1087"/>
      <c r="BR38" s="1167"/>
      <c r="BS38" s="242" t="s">
        <v>475</v>
      </c>
      <c r="BT38" s="1087" t="s">
        <v>422</v>
      </c>
      <c r="BU38" s="1087"/>
      <c r="BV38" s="1087" t="s">
        <v>423</v>
      </c>
      <c r="BW38" s="1087"/>
      <c r="BX38" s="1087"/>
      <c r="BY38" s="1167"/>
      <c r="BZ38" s="242" t="s">
        <v>475</v>
      </c>
      <c r="CA38" s="1087" t="s">
        <v>422</v>
      </c>
      <c r="CB38" s="1087"/>
      <c r="CC38" s="1087" t="s">
        <v>423</v>
      </c>
      <c r="CD38" s="1087"/>
      <c r="CE38" s="1087"/>
      <c r="CF38" s="1167"/>
      <c r="CG38" s="242" t="s">
        <v>475</v>
      </c>
      <c r="CH38" s="1087" t="s">
        <v>422</v>
      </c>
      <c r="CI38" s="1087"/>
      <c r="CJ38" s="1087" t="s">
        <v>423</v>
      </c>
      <c r="CK38" s="1087"/>
      <c r="CL38" s="1087"/>
      <c r="CM38" s="1167"/>
      <c r="CN38" s="242" t="s">
        <v>475</v>
      </c>
      <c r="CO38" s="1087" t="s">
        <v>422</v>
      </c>
      <c r="CP38" s="1087"/>
      <c r="CQ38" s="1087" t="s">
        <v>423</v>
      </c>
      <c r="CR38" s="1087"/>
      <c r="CS38" s="1087"/>
      <c r="CT38" s="1167"/>
      <c r="CU38" s="242" t="s">
        <v>475</v>
      </c>
      <c r="CV38" s="1087" t="s">
        <v>422</v>
      </c>
      <c r="CW38" s="1087"/>
      <c r="CX38" s="1087" t="s">
        <v>423</v>
      </c>
      <c r="CY38" s="1087"/>
      <c r="CZ38" s="1087"/>
      <c r="DA38" s="1167"/>
      <c r="DB38" s="242" t="s">
        <v>475</v>
      </c>
      <c r="DC38" s="1087" t="s">
        <v>422</v>
      </c>
      <c r="DD38" s="1087"/>
      <c r="DE38" s="1087" t="s">
        <v>423</v>
      </c>
      <c r="DF38" s="1087"/>
      <c r="DG38" s="1087"/>
      <c r="DH38" s="1167"/>
      <c r="DI38" s="1168"/>
      <c r="DJ38" s="1087"/>
    </row>
    <row r="39" spans="1:119" ht="86.25" customHeight="1">
      <c r="A39" s="142"/>
      <c r="B39" s="142" t="s">
        <v>131</v>
      </c>
      <c r="C39" s="142" t="s">
        <v>132</v>
      </c>
      <c r="D39" s="142" t="s">
        <v>133</v>
      </c>
      <c r="E39" s="391" t="s">
        <v>424</v>
      </c>
      <c r="F39" s="391" t="s">
        <v>425</v>
      </c>
      <c r="G39" s="391" t="s">
        <v>426</v>
      </c>
      <c r="H39" s="391"/>
      <c r="I39" s="391" t="s">
        <v>476</v>
      </c>
      <c r="J39" s="391" t="s">
        <v>429</v>
      </c>
      <c r="K39" s="391" t="s">
        <v>477</v>
      </c>
      <c r="L39" s="391" t="s">
        <v>405</v>
      </c>
      <c r="Q39" s="437"/>
      <c r="R39" s="437"/>
      <c r="S39" s="1166"/>
      <c r="T39" s="1167"/>
      <c r="U39" s="446"/>
      <c r="V39" s="523" t="s">
        <v>503</v>
      </c>
      <c r="W39" s="203" t="s">
        <v>504</v>
      </c>
      <c r="X39" s="203" t="s">
        <v>480</v>
      </c>
      <c r="Y39" s="203" t="s">
        <v>433</v>
      </c>
      <c r="Z39" s="1108" t="s">
        <v>434</v>
      </c>
      <c r="AA39" s="1108"/>
      <c r="AB39" s="1167"/>
      <c r="AC39" s="523" t="s">
        <v>503</v>
      </c>
      <c r="AD39" s="203" t="s">
        <v>504</v>
      </c>
      <c r="AE39" s="203" t="s">
        <v>480</v>
      </c>
      <c r="AF39" s="203" t="s">
        <v>433</v>
      </c>
      <c r="AG39" s="1108" t="s">
        <v>434</v>
      </c>
      <c r="AH39" s="1108"/>
      <c r="AI39" s="1167"/>
      <c r="AJ39" s="523" t="s">
        <v>503</v>
      </c>
      <c r="AK39" s="203" t="s">
        <v>504</v>
      </c>
      <c r="AL39" s="203" t="s">
        <v>480</v>
      </c>
      <c r="AM39" s="203" t="s">
        <v>433</v>
      </c>
      <c r="AN39" s="1108" t="s">
        <v>434</v>
      </c>
      <c r="AO39" s="1108"/>
      <c r="AP39" s="1167"/>
      <c r="AQ39" s="523" t="s">
        <v>503</v>
      </c>
      <c r="AR39" s="203" t="s">
        <v>504</v>
      </c>
      <c r="AS39" s="203" t="s">
        <v>480</v>
      </c>
      <c r="AT39" s="203" t="s">
        <v>433</v>
      </c>
      <c r="AU39" s="1108" t="s">
        <v>434</v>
      </c>
      <c r="AV39" s="1108"/>
      <c r="AW39" s="1167"/>
      <c r="AX39" s="523" t="s">
        <v>503</v>
      </c>
      <c r="AY39" s="203" t="s">
        <v>504</v>
      </c>
      <c r="AZ39" s="203" t="s">
        <v>480</v>
      </c>
      <c r="BA39" s="203" t="s">
        <v>433</v>
      </c>
      <c r="BB39" s="1108" t="s">
        <v>434</v>
      </c>
      <c r="BC39" s="1108"/>
      <c r="BD39" s="1167"/>
      <c r="BE39" s="523" t="s">
        <v>503</v>
      </c>
      <c r="BF39" s="203" t="s">
        <v>504</v>
      </c>
      <c r="BG39" s="203" t="s">
        <v>480</v>
      </c>
      <c r="BH39" s="203" t="s">
        <v>433</v>
      </c>
      <c r="BI39" s="1108" t="s">
        <v>434</v>
      </c>
      <c r="BJ39" s="1108"/>
      <c r="BK39" s="1167"/>
      <c r="BL39" s="523" t="s">
        <v>503</v>
      </c>
      <c r="BM39" s="203" t="s">
        <v>504</v>
      </c>
      <c r="BN39" s="203" t="s">
        <v>480</v>
      </c>
      <c r="BO39" s="203" t="s">
        <v>433</v>
      </c>
      <c r="BP39" s="1108" t="s">
        <v>434</v>
      </c>
      <c r="BQ39" s="1108"/>
      <c r="BR39" s="1167"/>
      <c r="BS39" s="523" t="s">
        <v>503</v>
      </c>
      <c r="BT39" s="203" t="s">
        <v>504</v>
      </c>
      <c r="BU39" s="203" t="s">
        <v>480</v>
      </c>
      <c r="BV39" s="203" t="s">
        <v>433</v>
      </c>
      <c r="BW39" s="1108" t="s">
        <v>434</v>
      </c>
      <c r="BX39" s="1108"/>
      <c r="BY39" s="1167"/>
      <c r="BZ39" s="523" t="s">
        <v>503</v>
      </c>
      <c r="CA39" s="203" t="s">
        <v>504</v>
      </c>
      <c r="CB39" s="203" t="s">
        <v>480</v>
      </c>
      <c r="CC39" s="203" t="s">
        <v>433</v>
      </c>
      <c r="CD39" s="1108" t="s">
        <v>434</v>
      </c>
      <c r="CE39" s="1108"/>
      <c r="CF39" s="1167"/>
      <c r="CG39" s="523" t="s">
        <v>503</v>
      </c>
      <c r="CH39" s="203" t="s">
        <v>504</v>
      </c>
      <c r="CI39" s="203" t="s">
        <v>480</v>
      </c>
      <c r="CJ39" s="203" t="s">
        <v>433</v>
      </c>
      <c r="CK39" s="1108" t="s">
        <v>434</v>
      </c>
      <c r="CL39" s="1108"/>
      <c r="CM39" s="1167"/>
      <c r="CN39" s="523" t="s">
        <v>503</v>
      </c>
      <c r="CO39" s="203" t="s">
        <v>504</v>
      </c>
      <c r="CP39" s="203" t="s">
        <v>480</v>
      </c>
      <c r="CQ39" s="203" t="s">
        <v>433</v>
      </c>
      <c r="CR39" s="1108" t="s">
        <v>434</v>
      </c>
      <c r="CS39" s="1108"/>
      <c r="CT39" s="1167"/>
      <c r="CU39" s="523" t="s">
        <v>503</v>
      </c>
      <c r="CV39" s="203" t="s">
        <v>504</v>
      </c>
      <c r="CW39" s="203" t="s">
        <v>480</v>
      </c>
      <c r="CX39" s="203" t="s">
        <v>433</v>
      </c>
      <c r="CY39" s="1108" t="s">
        <v>434</v>
      </c>
      <c r="CZ39" s="1108"/>
      <c r="DA39" s="1167"/>
      <c r="DB39" s="523" t="s">
        <v>503</v>
      </c>
      <c r="DC39" s="203" t="s">
        <v>504</v>
      </c>
      <c r="DD39" s="203" t="s">
        <v>480</v>
      </c>
      <c r="DE39" s="203" t="s">
        <v>433</v>
      </c>
      <c r="DF39" s="1108" t="s">
        <v>434</v>
      </c>
      <c r="DG39" s="1108"/>
      <c r="DH39" s="1167"/>
      <c r="DI39" s="1168"/>
      <c r="DJ39" s="1087"/>
    </row>
    <row r="40" spans="1:119" s="123" customFormat="1" ht="11.25" hidden="1" customHeight="1">
      <c r="A40" s="142"/>
      <c r="B40" s="142"/>
      <c r="C40" s="142"/>
      <c r="D40" s="142"/>
      <c r="E40" s="142"/>
      <c r="F40" s="142"/>
      <c r="G40" s="142"/>
      <c r="H40" s="142"/>
      <c r="I40" s="142"/>
      <c r="J40" s="142"/>
      <c r="K40" s="142"/>
      <c r="L40" s="391"/>
      <c r="M40" s="57"/>
      <c r="N40" s="57"/>
      <c r="O40" s="57"/>
      <c r="P40" s="447"/>
      <c r="Q40" s="448"/>
      <c r="R40" s="449">
        <v>1</v>
      </c>
      <c r="S40" s="450" t="s">
        <v>105</v>
      </c>
      <c r="T40" s="451" t="s">
        <v>106</v>
      </c>
      <c r="U40" s="452" t="str">
        <f ca="1">OFFSET(U40,0,-1)</f>
        <v>2</v>
      </c>
      <c r="V40" s="453">
        <f ca="1">OFFSET(V40,0,-1)+1</f>
        <v>3</v>
      </c>
      <c r="W40" s="453">
        <f ca="1">OFFSET(W40,0,-1)+1</f>
        <v>4</v>
      </c>
      <c r="X40" s="453">
        <f ca="1">OFFSET(X40,0,-1)+1</f>
        <v>5</v>
      </c>
      <c r="Y40" s="453">
        <f ca="1">OFFSET(Y40,0,-1)+1</f>
        <v>6</v>
      </c>
      <c r="Z40" s="1170">
        <f ca="1">OFFSET(Z40,0,-1)+1</f>
        <v>7</v>
      </c>
      <c r="AA40" s="1170"/>
      <c r="AB40" s="453">
        <f ca="1">OFFSET(AB40,0,-2)+1</f>
        <v>8</v>
      </c>
      <c r="AC40" s="453">
        <f ca="1">OFFSET(AC40,0,-1)+1</f>
        <v>9</v>
      </c>
      <c r="AD40" s="453">
        <f ca="1">OFFSET(AD40,0,-1)+1</f>
        <v>10</v>
      </c>
      <c r="AE40" s="453">
        <f ca="1">OFFSET(AE40,0,-1)+1</f>
        <v>11</v>
      </c>
      <c r="AF40" s="453">
        <f ca="1">OFFSET(AF40,0,-1)+1</f>
        <v>12</v>
      </c>
      <c r="AG40" s="1170">
        <f ca="1">OFFSET(AG40,0,-1)+1</f>
        <v>13</v>
      </c>
      <c r="AH40" s="1170"/>
      <c r="AI40" s="453">
        <f ca="1">OFFSET(AI40,0,-2)+1</f>
        <v>14</v>
      </c>
      <c r="AJ40" s="453">
        <f ca="1">OFFSET(AJ40,0,-1)+1</f>
        <v>15</v>
      </c>
      <c r="AK40" s="453">
        <f ca="1">OFFSET(AK40,0,-1)+1</f>
        <v>16</v>
      </c>
      <c r="AL40" s="453">
        <f ca="1">OFFSET(AL40,0,-1)+1</f>
        <v>17</v>
      </c>
      <c r="AM40" s="453">
        <f ca="1">OFFSET(AM40,0,-1)+1</f>
        <v>18</v>
      </c>
      <c r="AN40" s="1170">
        <f ca="1">OFFSET(AN40,0,-1)+1</f>
        <v>19</v>
      </c>
      <c r="AO40" s="1170"/>
      <c r="AP40" s="453">
        <f ca="1">OFFSET(AP40,0,-2)+1</f>
        <v>20</v>
      </c>
      <c r="AQ40" s="453">
        <f ca="1">OFFSET(AQ40,0,-1)+1</f>
        <v>21</v>
      </c>
      <c r="AR40" s="453">
        <f ca="1">OFFSET(AR40,0,-1)+1</f>
        <v>22</v>
      </c>
      <c r="AS40" s="453">
        <f ca="1">OFFSET(AS40,0,-1)+1</f>
        <v>23</v>
      </c>
      <c r="AT40" s="453">
        <f ca="1">OFFSET(AT40,0,-1)+1</f>
        <v>24</v>
      </c>
      <c r="AU40" s="1170">
        <f ca="1">OFFSET(AU40,0,-1)+1</f>
        <v>25</v>
      </c>
      <c r="AV40" s="1170"/>
      <c r="AW40" s="453">
        <f ca="1">OFFSET(AW40,0,-2)+1</f>
        <v>26</v>
      </c>
      <c r="AX40" s="453">
        <f ca="1">OFFSET(AX40,0,-1)+1</f>
        <v>27</v>
      </c>
      <c r="AY40" s="453">
        <f ca="1">OFFSET(AY40,0,-1)+1</f>
        <v>28</v>
      </c>
      <c r="AZ40" s="453">
        <f ca="1">OFFSET(AZ40,0,-1)+1</f>
        <v>29</v>
      </c>
      <c r="BA40" s="453">
        <f ca="1">OFFSET(BA40,0,-1)+1</f>
        <v>30</v>
      </c>
      <c r="BB40" s="1170">
        <f ca="1">OFFSET(BB40,0,-1)+1</f>
        <v>31</v>
      </c>
      <c r="BC40" s="1170"/>
      <c r="BD40" s="453">
        <f ca="1">OFFSET(BD40,0,-2)+1</f>
        <v>32</v>
      </c>
      <c r="BE40" s="453">
        <f ca="1">OFFSET(BE40,0,-1)+1</f>
        <v>33</v>
      </c>
      <c r="BF40" s="453">
        <f ca="1">OFFSET(BF40,0,-1)+1</f>
        <v>34</v>
      </c>
      <c r="BG40" s="453">
        <f ca="1">OFFSET(BG40,0,-1)+1</f>
        <v>35</v>
      </c>
      <c r="BH40" s="453">
        <f ca="1">OFFSET(BH40,0,-1)+1</f>
        <v>36</v>
      </c>
      <c r="BI40" s="1170">
        <f ca="1">OFFSET(BI40,0,-1)+1</f>
        <v>37</v>
      </c>
      <c r="BJ40" s="1170"/>
      <c r="BK40" s="453">
        <f ca="1">OFFSET(BK40,0,-2)+1</f>
        <v>38</v>
      </c>
      <c r="BL40" s="453">
        <f ca="1">OFFSET(BL40,0,-1)+1</f>
        <v>39</v>
      </c>
      <c r="BM40" s="453">
        <f ca="1">OFFSET(BM40,0,-1)+1</f>
        <v>40</v>
      </c>
      <c r="BN40" s="453">
        <f ca="1">OFFSET(BN40,0,-1)+1</f>
        <v>41</v>
      </c>
      <c r="BO40" s="453">
        <f ca="1">OFFSET(BO40,0,-1)+1</f>
        <v>42</v>
      </c>
      <c r="BP40" s="1170">
        <f ca="1">OFFSET(BP40,0,-1)+1</f>
        <v>43</v>
      </c>
      <c r="BQ40" s="1170"/>
      <c r="BR40" s="453">
        <f ca="1">OFFSET(BR40,0,-2)+1</f>
        <v>44</v>
      </c>
      <c r="BS40" s="453">
        <f ca="1">OFFSET(BS40,0,-1)+1</f>
        <v>45</v>
      </c>
      <c r="BT40" s="453">
        <f ca="1">OFFSET(BT40,0,-1)+1</f>
        <v>46</v>
      </c>
      <c r="BU40" s="453">
        <f ca="1">OFFSET(BU40,0,-1)+1</f>
        <v>47</v>
      </c>
      <c r="BV40" s="453">
        <f ca="1">OFFSET(BV40,0,-1)+1</f>
        <v>48</v>
      </c>
      <c r="BW40" s="1170">
        <f ca="1">OFFSET(BW40,0,-1)+1</f>
        <v>49</v>
      </c>
      <c r="BX40" s="1170"/>
      <c r="BY40" s="453">
        <f ca="1">OFFSET(BY40,0,-2)+1</f>
        <v>50</v>
      </c>
      <c r="BZ40" s="453">
        <f ca="1">OFFSET(BZ40,0,-1)+1</f>
        <v>51</v>
      </c>
      <c r="CA40" s="453">
        <f ca="1">OFFSET(CA40,0,-1)+1</f>
        <v>52</v>
      </c>
      <c r="CB40" s="453">
        <f ca="1">OFFSET(CB40,0,-1)+1</f>
        <v>53</v>
      </c>
      <c r="CC40" s="453">
        <f ca="1">OFFSET(CC40,0,-1)+1</f>
        <v>54</v>
      </c>
      <c r="CD40" s="1170">
        <f ca="1">OFFSET(CD40,0,-1)+1</f>
        <v>55</v>
      </c>
      <c r="CE40" s="1170"/>
      <c r="CF40" s="453">
        <f ca="1">OFFSET(CF40,0,-2)+1</f>
        <v>56</v>
      </c>
      <c r="CG40" s="453">
        <f ca="1">OFFSET(CG40,0,-1)+1</f>
        <v>57</v>
      </c>
      <c r="CH40" s="453">
        <f ca="1">OFFSET(CH40,0,-1)+1</f>
        <v>58</v>
      </c>
      <c r="CI40" s="453">
        <f ca="1">OFFSET(CI40,0,-1)+1</f>
        <v>59</v>
      </c>
      <c r="CJ40" s="453">
        <f ca="1">OFFSET(CJ40,0,-1)+1</f>
        <v>60</v>
      </c>
      <c r="CK40" s="1170">
        <f ca="1">OFFSET(CK40,0,-1)+1</f>
        <v>61</v>
      </c>
      <c r="CL40" s="1170"/>
      <c r="CM40" s="453">
        <f ca="1">OFFSET(CM40,0,-2)+1</f>
        <v>62</v>
      </c>
      <c r="CN40" s="453">
        <f ca="1">OFFSET(CN40,0,-1)+1</f>
        <v>63</v>
      </c>
      <c r="CO40" s="453">
        <f ca="1">OFFSET(CO40,0,-1)+1</f>
        <v>64</v>
      </c>
      <c r="CP40" s="453">
        <f ca="1">OFFSET(CP40,0,-1)+1</f>
        <v>65</v>
      </c>
      <c r="CQ40" s="453">
        <f ca="1">OFFSET(CQ40,0,-1)+1</f>
        <v>66</v>
      </c>
      <c r="CR40" s="1170">
        <f ca="1">OFFSET(CR40,0,-1)+1</f>
        <v>67</v>
      </c>
      <c r="CS40" s="1170"/>
      <c r="CT40" s="453">
        <f ca="1">OFFSET(CT40,0,-2)+1</f>
        <v>68</v>
      </c>
      <c r="CU40" s="453">
        <f ca="1">OFFSET(CU40,0,-1)+1</f>
        <v>69</v>
      </c>
      <c r="CV40" s="453">
        <f ca="1">OFFSET(CV40,0,-1)+1</f>
        <v>70</v>
      </c>
      <c r="CW40" s="453">
        <f ca="1">OFFSET(CW40,0,-1)+1</f>
        <v>71</v>
      </c>
      <c r="CX40" s="453">
        <f ca="1">OFFSET(CX40,0,-1)+1</f>
        <v>72</v>
      </c>
      <c r="CY40" s="1170">
        <f ca="1">OFFSET(CY40,0,-1)+1</f>
        <v>73</v>
      </c>
      <c r="CZ40" s="1170"/>
      <c r="DA40" s="453">
        <f ca="1">OFFSET(DA40,0,-2)+1</f>
        <v>74</v>
      </c>
      <c r="DB40" s="453">
        <f ca="1">OFFSET(DB40,0,-1)+1</f>
        <v>75</v>
      </c>
      <c r="DC40" s="453">
        <f ca="1">OFFSET(DC40,0,-1)+1</f>
        <v>76</v>
      </c>
      <c r="DD40" s="453">
        <f ca="1">OFFSET(DD40,0,-1)+1</f>
        <v>77</v>
      </c>
      <c r="DE40" s="453">
        <f ca="1">OFFSET(DE40,0,-1)+1</f>
        <v>78</v>
      </c>
      <c r="DF40" s="1170">
        <f ca="1">OFFSET(DF40,0,-1)+1</f>
        <v>79</v>
      </c>
      <c r="DG40" s="1170"/>
      <c r="DH40" s="453">
        <f ca="1">OFFSET(DH40,0,-2)+1</f>
        <v>80</v>
      </c>
      <c r="DI40" s="452">
        <f ca="1">OFFSET(DI40,0,-1)</f>
        <v>80</v>
      </c>
      <c r="DJ40" s="453">
        <f ca="1">OFFSET(DJ40,0,-1)+1</f>
        <v>81</v>
      </c>
      <c r="DK40" s="53"/>
      <c r="DL40" s="53"/>
      <c r="DM40" s="53"/>
      <c r="DN40" s="53"/>
      <c r="DO40" s="53"/>
    </row>
    <row r="41" spans="1:119" ht="23.25" customHeight="1">
      <c r="A41" s="390" t="s">
        <v>250</v>
      </c>
      <c r="B41" s="390"/>
      <c r="C41" s="390"/>
      <c r="D41" s="390"/>
      <c r="E41" s="1153">
        <v>1</v>
      </c>
      <c r="F41" s="390"/>
      <c r="G41" s="390"/>
      <c r="H41" s="390"/>
      <c r="I41" s="390"/>
      <c r="J41" s="390"/>
      <c r="K41" s="390"/>
      <c r="L41" s="391"/>
      <c r="M41" s="392"/>
      <c r="N41" s="392"/>
      <c r="O41" s="392"/>
      <c r="Q41" s="134"/>
      <c r="R41" s="393"/>
      <c r="S41" s="394">
        <f>INDEX(PT_DIFFERENTIATION_NUM_NTAR,MATCH(A41,PT_DIFFERENTIATION_NTAR_ID,0))</f>
        <v>1</v>
      </c>
      <c r="T41" s="395" t="s">
        <v>119</v>
      </c>
      <c r="U41" s="396"/>
      <c r="V41" s="1154"/>
      <c r="W41" s="1154"/>
      <c r="X41" s="1154"/>
      <c r="Y41" s="1154"/>
      <c r="Z41" s="1154"/>
      <c r="AA41" s="1154"/>
      <c r="AB41" s="1154"/>
      <c r="AC41" s="1154" t="str">
        <f>INDEX(PT_DIFFERENTIATION_NTAR,MATCH(A41,PT_DIFFERENTIATION_NTAR_ID,0))</f>
        <v>Водоотведение</v>
      </c>
      <c r="AD41" s="1154"/>
      <c r="AE41" s="1154"/>
      <c r="AF41" s="1154"/>
      <c r="AG41" s="1154"/>
      <c r="AH41" s="1154"/>
      <c r="AI41" s="1154"/>
      <c r="AJ41" s="1154"/>
      <c r="AK41" s="1154"/>
      <c r="AL41" s="1154"/>
      <c r="AM41" s="1154"/>
      <c r="AN41" s="1154"/>
      <c r="AO41" s="1154"/>
      <c r="AP41" s="1154"/>
      <c r="AQ41" s="1154"/>
      <c r="AR41" s="1154"/>
      <c r="AS41" s="1154"/>
      <c r="AT41" s="1154"/>
      <c r="AU41" s="1154"/>
      <c r="AV41" s="1154"/>
      <c r="AW41" s="1154"/>
      <c r="AX41" s="1154"/>
      <c r="AY41" s="1154"/>
      <c r="AZ41" s="1154"/>
      <c r="BA41" s="1154"/>
      <c r="BB41" s="1154"/>
      <c r="BC41" s="1154"/>
      <c r="BD41" s="1154"/>
      <c r="BE41" s="1154"/>
      <c r="BF41" s="1154"/>
      <c r="BG41" s="1154"/>
      <c r="BH41" s="1154"/>
      <c r="BI41" s="1154"/>
      <c r="BJ41" s="1154"/>
      <c r="BK41" s="1154"/>
      <c r="BL41" s="1154"/>
      <c r="BM41" s="1154"/>
      <c r="BN41" s="1154"/>
      <c r="BO41" s="1154"/>
      <c r="BP41" s="1154"/>
      <c r="BQ41" s="1154"/>
      <c r="BR41" s="1154"/>
      <c r="BS41" s="1154"/>
      <c r="BT41" s="1154"/>
      <c r="BU41" s="1154"/>
      <c r="BV41" s="1154"/>
      <c r="BW41" s="1154"/>
      <c r="BX41" s="1154"/>
      <c r="BY41" s="1154"/>
      <c r="BZ41" s="1154"/>
      <c r="CA41" s="1154"/>
      <c r="CB41" s="1154"/>
      <c r="CC41" s="1154"/>
      <c r="CD41" s="1154"/>
      <c r="CE41" s="1154"/>
      <c r="CF41" s="1154"/>
      <c r="CG41" s="1154"/>
      <c r="CH41" s="1154"/>
      <c r="CI41" s="1154"/>
      <c r="CJ41" s="1154"/>
      <c r="CK41" s="1154"/>
      <c r="CL41" s="1154"/>
      <c r="CM41" s="1154"/>
      <c r="CN41" s="1154"/>
      <c r="CO41" s="1154"/>
      <c r="CP41" s="1154"/>
      <c r="CQ41" s="1154"/>
      <c r="CR41" s="1154"/>
      <c r="CS41" s="1154"/>
      <c r="CT41" s="1154"/>
      <c r="CU41" s="1154"/>
      <c r="CV41" s="1154"/>
      <c r="CW41" s="1154"/>
      <c r="CX41" s="1154"/>
      <c r="CY41" s="1154"/>
      <c r="CZ41" s="1154"/>
      <c r="DA41" s="1154"/>
      <c r="DB41" s="1154"/>
      <c r="DC41" s="1154"/>
      <c r="DD41" s="1154"/>
      <c r="DE41" s="1154"/>
      <c r="DF41" s="1154"/>
      <c r="DG41" s="1154"/>
      <c r="DH41" s="1154"/>
      <c r="DI41" s="1154"/>
      <c r="DJ41"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L41" s="121"/>
      <c r="DM41" s="121" t="str">
        <f t="shared" ref="DM41:DM53" si="1">IF(T41="","",T41)</f>
        <v>Наименование тарифа</v>
      </c>
      <c r="DN41" s="121"/>
      <c r="DO41" s="121"/>
    </row>
    <row r="42" spans="1:119" ht="23.25" customHeight="1">
      <c r="A42" s="390" t="s">
        <v>250</v>
      </c>
      <c r="B42" s="390" t="s">
        <v>251</v>
      </c>
      <c r="C42" s="390"/>
      <c r="D42" s="390"/>
      <c r="E42" s="1153"/>
      <c r="F42" s="1153">
        <v>1</v>
      </c>
      <c r="G42" s="390"/>
      <c r="H42" s="390"/>
      <c r="I42" s="390"/>
      <c r="J42" s="390"/>
      <c r="K42" s="390"/>
      <c r="L42" s="391"/>
      <c r="M42" s="392"/>
      <c r="N42" s="392"/>
      <c r="O42" s="392"/>
      <c r="P42" s="47"/>
      <c r="Q42" s="398"/>
      <c r="R42" s="399"/>
      <c r="S42" s="394" t="str">
        <f>INDEX(PT_DIFFERENTIATION_NUM_TER,MATCH(B42,PT_DIFFERENTIATION_TER_ID,0))</f>
        <v>1.1</v>
      </c>
      <c r="T42" s="400" t="s">
        <v>386</v>
      </c>
      <c r="U42" s="396"/>
      <c r="V42" s="1154"/>
      <c r="W42" s="1154"/>
      <c r="X42" s="1154"/>
      <c r="Y42" s="1154"/>
      <c r="Z42" s="1154"/>
      <c r="AA42" s="1154"/>
      <c r="AB42" s="1154"/>
      <c r="AC42" s="1154" t="str">
        <f>INDEX(PT_DIFFERENTIATION_TER,MATCH(B42,PT_DIFFERENTIATION_TER_ID,0))</f>
        <v>Территория 1</v>
      </c>
      <c r="AD42" s="1154"/>
      <c r="AE42" s="1154"/>
      <c r="AF42" s="1154"/>
      <c r="AG42" s="1154"/>
      <c r="AH42" s="1154"/>
      <c r="AI42" s="1154"/>
      <c r="AJ42" s="1154"/>
      <c r="AK42" s="1154"/>
      <c r="AL42" s="1154"/>
      <c r="AM42" s="1154"/>
      <c r="AN42" s="1154"/>
      <c r="AO42" s="1154"/>
      <c r="AP42" s="1154"/>
      <c r="AQ42" s="1154"/>
      <c r="AR42" s="1154"/>
      <c r="AS42" s="1154"/>
      <c r="AT42" s="1154"/>
      <c r="AU42" s="1154"/>
      <c r="AV42" s="1154"/>
      <c r="AW42" s="1154"/>
      <c r="AX42" s="1154"/>
      <c r="AY42" s="1154"/>
      <c r="AZ42" s="1154"/>
      <c r="BA42" s="1154"/>
      <c r="BB42" s="1154"/>
      <c r="BC42" s="1154"/>
      <c r="BD42" s="1154"/>
      <c r="BE42" s="1154"/>
      <c r="BF42" s="1154"/>
      <c r="BG42" s="1154"/>
      <c r="BH42" s="1154"/>
      <c r="BI42" s="1154"/>
      <c r="BJ42" s="1154"/>
      <c r="BK42" s="1154"/>
      <c r="BL42" s="1154"/>
      <c r="BM42" s="1154"/>
      <c r="BN42" s="1154"/>
      <c r="BO42" s="1154"/>
      <c r="BP42" s="1154"/>
      <c r="BQ42" s="1154"/>
      <c r="BR42" s="1154"/>
      <c r="BS42" s="1154"/>
      <c r="BT42" s="1154"/>
      <c r="BU42" s="1154"/>
      <c r="BV42" s="1154"/>
      <c r="BW42" s="1154"/>
      <c r="BX42" s="1154"/>
      <c r="BY42" s="1154"/>
      <c r="BZ42" s="1154"/>
      <c r="CA42" s="1154"/>
      <c r="CB42" s="1154"/>
      <c r="CC42" s="1154"/>
      <c r="CD42" s="1154"/>
      <c r="CE42" s="1154"/>
      <c r="CF42" s="1154"/>
      <c r="CG42" s="1154"/>
      <c r="CH42" s="1154"/>
      <c r="CI42" s="1154"/>
      <c r="CJ42" s="1154"/>
      <c r="CK42" s="1154"/>
      <c r="CL42" s="1154"/>
      <c r="CM42" s="1154"/>
      <c r="CN42" s="1154"/>
      <c r="CO42" s="1154"/>
      <c r="CP42" s="1154"/>
      <c r="CQ42" s="1154"/>
      <c r="CR42" s="1154"/>
      <c r="CS42" s="1154"/>
      <c r="CT42" s="1154"/>
      <c r="CU42" s="1154"/>
      <c r="CV42" s="1154"/>
      <c r="CW42" s="1154"/>
      <c r="CX42" s="1154"/>
      <c r="CY42" s="1154"/>
      <c r="CZ42" s="1154"/>
      <c r="DA42" s="1154"/>
      <c r="DB42" s="1154"/>
      <c r="DC42" s="1154"/>
      <c r="DD42" s="1154"/>
      <c r="DE42" s="1154"/>
      <c r="DF42" s="1154"/>
      <c r="DG42" s="1154"/>
      <c r="DH42" s="1154"/>
      <c r="DI42" s="1154"/>
      <c r="DJ42" s="397" t="s">
        <v>387</v>
      </c>
      <c r="DL42" s="121"/>
      <c r="DM42" s="121" t="str">
        <f t="shared" si="1"/>
        <v>Территория действия тарифа</v>
      </c>
      <c r="DN42" s="121"/>
      <c r="DO42" s="121"/>
    </row>
    <row r="43" spans="1:119" ht="23.25" customHeight="1">
      <c r="A43" s="390" t="s">
        <v>250</v>
      </c>
      <c r="B43" s="390" t="s">
        <v>251</v>
      </c>
      <c r="C43" s="390" t="s">
        <v>252</v>
      </c>
      <c r="D43" s="390"/>
      <c r="E43" s="1153"/>
      <c r="F43" s="1153"/>
      <c r="G43" s="1153">
        <v>1</v>
      </c>
      <c r="H43" s="390"/>
      <c r="I43" s="390"/>
      <c r="J43" s="390"/>
      <c r="K43" s="390"/>
      <c r="L43" s="391"/>
      <c r="M43" s="392"/>
      <c r="N43" s="392"/>
      <c r="O43" s="392"/>
      <c r="P43" s="401"/>
      <c r="Q43" s="398"/>
      <c r="R43" s="399"/>
      <c r="S43" s="394" t="str">
        <f>INDEX(PT_DIFFERENTIATION_NUM_CS,MATCH(C43,PT_DIFFERENTIATION_CS_ID,0))</f>
        <v>1.1.1</v>
      </c>
      <c r="T43" s="402" t="s">
        <v>500</v>
      </c>
      <c r="U43" s="396"/>
      <c r="V43" s="1154"/>
      <c r="W43" s="1154"/>
      <c r="X43" s="1154"/>
      <c r="Y43" s="1154"/>
      <c r="Z43" s="1154"/>
      <c r="AA43" s="1154"/>
      <c r="AB43" s="1154"/>
      <c r="AC43" s="1154" t="str">
        <f>INDEX(PT_DIFFERENTIATION_CS,MATCH(C43,PT_DIFFERENTIATION_CS_ID,0))</f>
        <v>без дифференциации</v>
      </c>
      <c r="AD43" s="1154"/>
      <c r="AE43" s="1154"/>
      <c r="AF43" s="1154"/>
      <c r="AG43" s="1154"/>
      <c r="AH43" s="1154"/>
      <c r="AI43" s="1154"/>
      <c r="AJ43" s="1154"/>
      <c r="AK43" s="1154"/>
      <c r="AL43" s="1154"/>
      <c r="AM43" s="1154"/>
      <c r="AN43" s="1154"/>
      <c r="AO43" s="1154"/>
      <c r="AP43" s="1154"/>
      <c r="AQ43" s="1154"/>
      <c r="AR43" s="1154"/>
      <c r="AS43" s="1154"/>
      <c r="AT43" s="1154"/>
      <c r="AU43" s="1154"/>
      <c r="AV43" s="1154"/>
      <c r="AW43" s="1154"/>
      <c r="AX43" s="1154"/>
      <c r="AY43" s="1154"/>
      <c r="AZ43" s="1154"/>
      <c r="BA43" s="1154"/>
      <c r="BB43" s="1154"/>
      <c r="BC43" s="1154"/>
      <c r="BD43" s="1154"/>
      <c r="BE43" s="1154"/>
      <c r="BF43" s="1154"/>
      <c r="BG43" s="1154"/>
      <c r="BH43" s="1154"/>
      <c r="BI43" s="1154"/>
      <c r="BJ43" s="1154"/>
      <c r="BK43" s="1154"/>
      <c r="BL43" s="1154"/>
      <c r="BM43" s="1154"/>
      <c r="BN43" s="1154"/>
      <c r="BO43" s="1154"/>
      <c r="BP43" s="1154"/>
      <c r="BQ43" s="1154"/>
      <c r="BR43" s="1154"/>
      <c r="BS43" s="1154"/>
      <c r="BT43" s="1154"/>
      <c r="BU43" s="1154"/>
      <c r="BV43" s="1154"/>
      <c r="BW43" s="1154"/>
      <c r="BX43" s="1154"/>
      <c r="BY43" s="1154"/>
      <c r="BZ43" s="1154"/>
      <c r="CA43" s="1154"/>
      <c r="CB43" s="1154"/>
      <c r="CC43" s="1154"/>
      <c r="CD43" s="1154"/>
      <c r="CE43" s="1154"/>
      <c r="CF43" s="1154"/>
      <c r="CG43" s="1154"/>
      <c r="CH43" s="1154"/>
      <c r="CI43" s="1154"/>
      <c r="CJ43" s="1154"/>
      <c r="CK43" s="1154"/>
      <c r="CL43" s="1154"/>
      <c r="CM43" s="1154"/>
      <c r="CN43" s="1154"/>
      <c r="CO43" s="1154"/>
      <c r="CP43" s="1154"/>
      <c r="CQ43" s="1154"/>
      <c r="CR43" s="1154"/>
      <c r="CS43" s="1154"/>
      <c r="CT43" s="1154"/>
      <c r="CU43" s="1154"/>
      <c r="CV43" s="1154"/>
      <c r="CW43" s="1154"/>
      <c r="CX43" s="1154"/>
      <c r="CY43" s="1154"/>
      <c r="CZ43" s="1154"/>
      <c r="DA43" s="1154"/>
      <c r="DB43" s="1154"/>
      <c r="DC43" s="1154"/>
      <c r="DD43" s="1154"/>
      <c r="DE43" s="1154"/>
      <c r="DF43" s="1154"/>
      <c r="DG43" s="1154"/>
      <c r="DH43" s="1154"/>
      <c r="DI43" s="1154"/>
      <c r="DJ43" s="397" t="s">
        <v>501</v>
      </c>
      <c r="DL43" s="121"/>
      <c r="DM43" s="121" t="str">
        <f t="shared" si="1"/>
        <v>Наименование централизованной системы водоотведения</v>
      </c>
      <c r="DN43" s="121"/>
      <c r="DO43" s="121"/>
    </row>
    <row r="44" spans="1:119" ht="23.25" customHeight="1">
      <c r="A44" s="390" t="s">
        <v>250</v>
      </c>
      <c r="B44" s="390" t="s">
        <v>251</v>
      </c>
      <c r="C44" s="390" t="s">
        <v>252</v>
      </c>
      <c r="D44" s="390" t="s">
        <v>505</v>
      </c>
      <c r="E44" s="1153"/>
      <c r="F44" s="1153"/>
      <c r="G44" s="1153"/>
      <c r="H44" s="1189"/>
      <c r="I44" s="1155" t="str">
        <f>S43&amp;".1"</f>
        <v>1.1.1.1</v>
      </c>
      <c r="J44" s="390"/>
      <c r="K44" s="390"/>
      <c r="L44" s="391"/>
      <c r="P44" s="1156">
        <v>1</v>
      </c>
      <c r="Q44" s="124"/>
      <c r="R44" s="405"/>
      <c r="S44" s="394" t="str">
        <f>$I44</f>
        <v>1.1.1.1</v>
      </c>
      <c r="T44" s="406" t="s">
        <v>469</v>
      </c>
      <c r="U44" s="396"/>
      <c r="V44" s="1190"/>
      <c r="W44" s="1190"/>
      <c r="X44" s="1190"/>
      <c r="Y44" s="1190"/>
      <c r="Z44" s="1190"/>
      <c r="AA44" s="1190"/>
      <c r="AB44" s="1190"/>
      <c r="AC44" s="1123"/>
      <c r="AD44" s="1123"/>
      <c r="AE44" s="1123"/>
      <c r="AF44" s="1123"/>
      <c r="AG44" s="1123"/>
      <c r="AH44" s="1123"/>
      <c r="AI44" s="1123"/>
      <c r="AJ44" s="1123"/>
      <c r="AK44" s="1123"/>
      <c r="AL44" s="1123"/>
      <c r="AM44" s="1123"/>
      <c r="AN44" s="1123"/>
      <c r="AO44" s="1123"/>
      <c r="AP44" s="1123"/>
      <c r="AQ44" s="1123"/>
      <c r="AR44" s="1123"/>
      <c r="AS44" s="1123"/>
      <c r="AT44" s="1123"/>
      <c r="AU44" s="1123"/>
      <c r="AV44" s="1123"/>
      <c r="AW44" s="1123"/>
      <c r="AX44" s="1123"/>
      <c r="AY44" s="1123"/>
      <c r="AZ44" s="1123"/>
      <c r="BA44" s="1123"/>
      <c r="BB44" s="1123"/>
      <c r="BC44" s="1123"/>
      <c r="BD44" s="1123"/>
      <c r="BE44" s="1123"/>
      <c r="BF44" s="1123"/>
      <c r="BG44" s="1123"/>
      <c r="BH44" s="1123"/>
      <c r="BI44" s="1123"/>
      <c r="BJ44" s="1123"/>
      <c r="BK44" s="1123"/>
      <c r="BL44" s="1123"/>
      <c r="BM44" s="1123"/>
      <c r="BN44" s="1123"/>
      <c r="BO44" s="1123"/>
      <c r="BP44" s="1123"/>
      <c r="BQ44" s="1123"/>
      <c r="BR44" s="1123"/>
      <c r="BS44" s="1123"/>
      <c r="BT44" s="1123"/>
      <c r="BU44" s="1123"/>
      <c r="BV44" s="1123"/>
      <c r="BW44" s="1123"/>
      <c r="BX44" s="1123"/>
      <c r="BY44" s="1123"/>
      <c r="BZ44" s="1123"/>
      <c r="CA44" s="1123"/>
      <c r="CB44" s="1123"/>
      <c r="CC44" s="1123"/>
      <c r="CD44" s="1123"/>
      <c r="CE44" s="1123"/>
      <c r="CF44" s="1123"/>
      <c r="CG44" s="1123"/>
      <c r="CH44" s="1123"/>
      <c r="CI44" s="1123"/>
      <c r="CJ44" s="1123"/>
      <c r="CK44" s="1123"/>
      <c r="CL44" s="1123"/>
      <c r="CM44" s="1123"/>
      <c r="CN44" s="1123"/>
      <c r="CO44" s="1123"/>
      <c r="CP44" s="1123"/>
      <c r="CQ44" s="1123"/>
      <c r="CR44" s="1123"/>
      <c r="CS44" s="1123"/>
      <c r="CT44" s="1123"/>
      <c r="CU44" s="1123"/>
      <c r="CV44" s="1123"/>
      <c r="CW44" s="1123"/>
      <c r="CX44" s="1123"/>
      <c r="CY44" s="1123"/>
      <c r="CZ44" s="1123"/>
      <c r="DA44" s="1123"/>
      <c r="DB44" s="1123"/>
      <c r="DC44" s="1123"/>
      <c r="DD44" s="1123"/>
      <c r="DE44" s="1123"/>
      <c r="DF44" s="1123"/>
      <c r="DG44" s="1123"/>
      <c r="DH44" s="1123"/>
      <c r="DI44" s="1123"/>
      <c r="DJ44" s="397" t="s">
        <v>470</v>
      </c>
      <c r="DL44" s="121"/>
      <c r="DM44" s="121" t="str">
        <f t="shared" si="1"/>
        <v>Наименование признака дифференциации</v>
      </c>
      <c r="DN44" s="121"/>
      <c r="DO44" s="121"/>
    </row>
    <row r="45" spans="1:119" ht="23.25" customHeight="1">
      <c r="A45" s="390" t="s">
        <v>250</v>
      </c>
      <c r="B45" s="390" t="s">
        <v>251</v>
      </c>
      <c r="C45" s="390" t="s">
        <v>252</v>
      </c>
      <c r="D45" s="390" t="s">
        <v>505</v>
      </c>
      <c r="E45" s="1153"/>
      <c r="F45" s="1153"/>
      <c r="G45" s="1153"/>
      <c r="H45" s="1153"/>
      <c r="I45" s="1155"/>
      <c r="J45" s="1155" t="str">
        <f>I44&amp;".1"</f>
        <v>1.1.1.1.1</v>
      </c>
      <c r="K45" s="390"/>
      <c r="L45" s="391" t="s">
        <v>395</v>
      </c>
      <c r="P45" s="1156"/>
      <c r="Q45" s="1156">
        <v>1</v>
      </c>
      <c r="R45" s="408"/>
      <c r="S45" s="394" t="str">
        <f>$J45</f>
        <v>1.1.1.1.1</v>
      </c>
      <c r="T45" s="409" t="s">
        <v>396</v>
      </c>
      <c r="U45" s="396"/>
      <c r="V45" s="1157"/>
      <c r="W45" s="1157"/>
      <c r="X45" s="1157"/>
      <c r="Y45" s="1157"/>
      <c r="Z45" s="1157"/>
      <c r="AA45" s="1157"/>
      <c r="AB45" s="1157"/>
      <c r="AC45" s="1157" t="s">
        <v>506</v>
      </c>
      <c r="AD45" s="1157"/>
      <c r="AE45" s="1157"/>
      <c r="AF45" s="1157"/>
      <c r="AG45" s="1157"/>
      <c r="AH45" s="1157"/>
      <c r="AI45" s="1157"/>
      <c r="AJ45" s="1157"/>
      <c r="AK45" s="1157"/>
      <c r="AL45" s="1157"/>
      <c r="AM45" s="1157"/>
      <c r="AN45" s="1157"/>
      <c r="AO45" s="1157"/>
      <c r="AP45" s="1157"/>
      <c r="AQ45" s="1157"/>
      <c r="AR45" s="1157"/>
      <c r="AS45" s="1157"/>
      <c r="AT45" s="1157"/>
      <c r="AU45" s="1157"/>
      <c r="AV45" s="1157"/>
      <c r="AW45" s="1157"/>
      <c r="AX45" s="1157"/>
      <c r="AY45" s="1157"/>
      <c r="AZ45" s="1157"/>
      <c r="BA45" s="1157"/>
      <c r="BB45" s="1157"/>
      <c r="BC45" s="1157"/>
      <c r="BD45" s="1157"/>
      <c r="BE45" s="1157"/>
      <c r="BF45" s="1157"/>
      <c r="BG45" s="1157"/>
      <c r="BH45" s="1157"/>
      <c r="BI45" s="1157"/>
      <c r="BJ45" s="1157"/>
      <c r="BK45" s="1157"/>
      <c r="BL45" s="1157"/>
      <c r="BM45" s="1157"/>
      <c r="BN45" s="1157"/>
      <c r="BO45" s="1157"/>
      <c r="BP45" s="1157"/>
      <c r="BQ45" s="1157"/>
      <c r="BR45" s="1157"/>
      <c r="BS45" s="1157"/>
      <c r="BT45" s="1157"/>
      <c r="BU45" s="1157"/>
      <c r="BV45" s="1157"/>
      <c r="BW45" s="1157"/>
      <c r="BX45" s="1157"/>
      <c r="BY45" s="1157"/>
      <c r="BZ45" s="1157"/>
      <c r="CA45" s="1157"/>
      <c r="CB45" s="1157"/>
      <c r="CC45" s="1157"/>
      <c r="CD45" s="1157"/>
      <c r="CE45" s="1157"/>
      <c r="CF45" s="1157"/>
      <c r="CG45" s="1157"/>
      <c r="CH45" s="1157"/>
      <c r="CI45" s="1157"/>
      <c r="CJ45" s="1157"/>
      <c r="CK45" s="1157"/>
      <c r="CL45" s="1157"/>
      <c r="CM45" s="1157"/>
      <c r="CN45" s="1157"/>
      <c r="CO45" s="1157"/>
      <c r="CP45" s="1157"/>
      <c r="CQ45" s="1157"/>
      <c r="CR45" s="1157"/>
      <c r="CS45" s="1157"/>
      <c r="CT45" s="1157"/>
      <c r="CU45" s="1157"/>
      <c r="CV45" s="1157"/>
      <c r="CW45" s="1157"/>
      <c r="CX45" s="1157"/>
      <c r="CY45" s="1157"/>
      <c r="CZ45" s="1157"/>
      <c r="DA45" s="1157"/>
      <c r="DB45" s="1157"/>
      <c r="DC45" s="1157"/>
      <c r="DD45" s="1157"/>
      <c r="DE45" s="1157"/>
      <c r="DF45" s="1157"/>
      <c r="DG45" s="1157"/>
      <c r="DH45" s="1157"/>
      <c r="DI45" s="1157"/>
      <c r="DJ45" s="471" t="s">
        <v>471</v>
      </c>
      <c r="DL45" s="121"/>
      <c r="DM45" s="121" t="str">
        <f t="shared" si="1"/>
        <v>Группа потребителей</v>
      </c>
      <c r="DN45" s="121"/>
      <c r="DO45" s="121"/>
    </row>
    <row r="46" spans="1:119" ht="20.25" customHeight="1">
      <c r="A46" s="390" t="s">
        <v>250</v>
      </c>
      <c r="B46" s="390" t="s">
        <v>251</v>
      </c>
      <c r="C46" s="390" t="s">
        <v>252</v>
      </c>
      <c r="D46" s="390" t="s">
        <v>505</v>
      </c>
      <c r="E46" s="1153"/>
      <c r="F46" s="1153"/>
      <c r="G46" s="1153"/>
      <c r="H46" s="1153"/>
      <c r="I46" s="1155"/>
      <c r="J46" s="1155"/>
      <c r="K46" s="1155" t="str">
        <f>J45&amp;".1"</f>
        <v>1.1.1.1.1.1</v>
      </c>
      <c r="L46" s="391"/>
      <c r="P46" s="1156"/>
      <c r="Q46" s="1156"/>
      <c r="R46" s="408">
        <v>1</v>
      </c>
      <c r="S46" s="394" t="str">
        <f>$K46</f>
        <v>1.1.1.1.1.1</v>
      </c>
      <c r="T46" s="517"/>
      <c r="U46" s="396"/>
      <c r="V46" s="411"/>
      <c r="W46" s="411"/>
      <c r="X46" s="413"/>
      <c r="Y46" s="1158"/>
      <c r="Z46" s="1105" t="s">
        <v>63</v>
      </c>
      <c r="AA46" s="1158"/>
      <c r="AB46" s="1105" t="s">
        <v>63</v>
      </c>
      <c r="AC46" s="411">
        <v>87.36</v>
      </c>
      <c r="AD46" s="411"/>
      <c r="AE46" s="413"/>
      <c r="AF46" s="1158">
        <v>45292.480636574102</v>
      </c>
      <c r="AG46" s="1105" t="s">
        <v>63</v>
      </c>
      <c r="AH46" s="1158">
        <v>45473.480717592603</v>
      </c>
      <c r="AI46" s="1105" t="s">
        <v>63</v>
      </c>
      <c r="AJ46" s="411">
        <v>101.22</v>
      </c>
      <c r="AK46" s="411"/>
      <c r="AL46" s="413"/>
      <c r="AM46" s="1158">
        <v>45474.480787036999</v>
      </c>
      <c r="AN46" s="1105" t="s">
        <v>63</v>
      </c>
      <c r="AO46" s="1158">
        <v>45657.480902777803</v>
      </c>
      <c r="AP46" s="1105" t="s">
        <v>63</v>
      </c>
      <c r="AQ46" s="411">
        <v>101.22</v>
      </c>
      <c r="AR46" s="411"/>
      <c r="AS46" s="413"/>
      <c r="AT46" s="1158">
        <v>45658.481493055602</v>
      </c>
      <c r="AU46" s="1105" t="s">
        <v>63</v>
      </c>
      <c r="AV46" s="1158">
        <v>45838.4816319444</v>
      </c>
      <c r="AW46" s="1105" t="s">
        <v>63</v>
      </c>
      <c r="AX46" s="411">
        <v>102.09</v>
      </c>
      <c r="AY46" s="411"/>
      <c r="AZ46" s="413"/>
      <c r="BA46" s="1158">
        <v>45839.502905092602</v>
      </c>
      <c r="BB46" s="1105" t="s">
        <v>63</v>
      </c>
      <c r="BC46" s="1158">
        <v>46022.5083564815</v>
      </c>
      <c r="BD46" s="1105" t="s">
        <v>63</v>
      </c>
      <c r="BE46" s="411">
        <v>102.09</v>
      </c>
      <c r="BF46" s="411"/>
      <c r="BG46" s="413"/>
      <c r="BH46" s="1158">
        <v>46023.5151273148</v>
      </c>
      <c r="BI46" s="1105" t="s">
        <v>63</v>
      </c>
      <c r="BJ46" s="1158">
        <v>46203.515208333301</v>
      </c>
      <c r="BK46" s="1105" t="s">
        <v>63</v>
      </c>
      <c r="BL46" s="411">
        <v>116.78</v>
      </c>
      <c r="BM46" s="411"/>
      <c r="BN46" s="413"/>
      <c r="BO46" s="1158">
        <v>46204.515335648102</v>
      </c>
      <c r="BP46" s="1105" t="s">
        <v>63</v>
      </c>
      <c r="BQ46" s="1158">
        <v>46387.515474537002</v>
      </c>
      <c r="BR46" s="1105" t="s">
        <v>63</v>
      </c>
      <c r="BS46" s="411">
        <v>115.84</v>
      </c>
      <c r="BT46" s="411"/>
      <c r="BU46" s="413"/>
      <c r="BV46" s="1158">
        <v>46388.522025462997</v>
      </c>
      <c r="BW46" s="1105" t="s">
        <v>63</v>
      </c>
      <c r="BX46" s="1158">
        <v>46568.5221296296</v>
      </c>
      <c r="BY46" s="1105" t="s">
        <v>63</v>
      </c>
      <c r="BZ46" s="411">
        <v>115.84</v>
      </c>
      <c r="CA46" s="411"/>
      <c r="CB46" s="413"/>
      <c r="CC46" s="1158">
        <v>46569.522256944401</v>
      </c>
      <c r="CD46" s="1105" t="s">
        <v>63</v>
      </c>
      <c r="CE46" s="1158">
        <v>46752.522847222201</v>
      </c>
      <c r="CF46" s="1105" t="s">
        <v>63</v>
      </c>
      <c r="CG46" s="411">
        <v>115.84</v>
      </c>
      <c r="CH46" s="411"/>
      <c r="CI46" s="413"/>
      <c r="CJ46" s="1158">
        <v>46753.525578703702</v>
      </c>
      <c r="CK46" s="1105" t="s">
        <v>63</v>
      </c>
      <c r="CL46" s="1158">
        <v>46934.526342592602</v>
      </c>
      <c r="CM46" s="1105" t="s">
        <v>63</v>
      </c>
      <c r="CN46" s="411">
        <v>133.75</v>
      </c>
      <c r="CO46" s="411"/>
      <c r="CP46" s="413"/>
      <c r="CQ46" s="1158">
        <v>46935.526458333297</v>
      </c>
      <c r="CR46" s="1105" t="s">
        <v>63</v>
      </c>
      <c r="CS46" s="1158">
        <v>47118.531446759298</v>
      </c>
      <c r="CT46" s="1105" t="s">
        <v>63</v>
      </c>
      <c r="CU46" s="411">
        <v>127.76</v>
      </c>
      <c r="CV46" s="411"/>
      <c r="CW46" s="413"/>
      <c r="CX46" s="1158">
        <v>47119.534687500003</v>
      </c>
      <c r="CY46" s="1105" t="s">
        <v>63</v>
      </c>
      <c r="CZ46" s="1158">
        <v>47299.534791666701</v>
      </c>
      <c r="DA46" s="1105" t="s">
        <v>63</v>
      </c>
      <c r="DB46" s="411">
        <v>127.76</v>
      </c>
      <c r="DC46" s="411"/>
      <c r="DD46" s="413"/>
      <c r="DE46" s="1158">
        <v>47300.534895833298</v>
      </c>
      <c r="DF46" s="1105" t="s">
        <v>63</v>
      </c>
      <c r="DG46" s="1158">
        <v>47483.535011574102</v>
      </c>
      <c r="DH46" s="1105" t="s">
        <v>63</v>
      </c>
      <c r="DI46" s="518"/>
      <c r="DJ46"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K46" s="53" t="e">
        <f ca="1">strcheckdate(V47:DI47)</f>
        <v>#NAME?</v>
      </c>
      <c r="DL46" s="121"/>
      <c r="DM46" s="121" t="str">
        <f t="shared" si="1"/>
        <v/>
      </c>
      <c r="DN46" s="121"/>
      <c r="DO46" s="121"/>
    </row>
    <row r="47" spans="1:119" ht="11.25">
      <c r="A47" s="390" t="s">
        <v>250</v>
      </c>
      <c r="B47" s="390" t="s">
        <v>251</v>
      </c>
      <c r="C47" s="390" t="s">
        <v>252</v>
      </c>
      <c r="D47" s="390" t="s">
        <v>505</v>
      </c>
      <c r="E47" s="1153"/>
      <c r="F47" s="1153"/>
      <c r="G47" s="1153"/>
      <c r="H47" s="1153"/>
      <c r="I47" s="1155"/>
      <c r="J47" s="1155"/>
      <c r="K47" s="1155"/>
      <c r="L47" s="391"/>
      <c r="P47" s="1156"/>
      <c r="Q47" s="1156"/>
      <c r="R47" s="408"/>
      <c r="S47" s="370"/>
      <c r="T47" s="396"/>
      <c r="U47" s="396"/>
      <c r="V47" s="412"/>
      <c r="W47" s="412"/>
      <c r="X47" s="415" t="str">
        <f>Y46&amp;"-"&amp;AA46</f>
        <v>-</v>
      </c>
      <c r="Y47" s="1158"/>
      <c r="Z47" s="1105"/>
      <c r="AA47" s="1158"/>
      <c r="AB47" s="1105"/>
      <c r="AC47" s="412"/>
      <c r="AD47" s="412"/>
      <c r="AE47" s="415" t="str">
        <f>AF46&amp;"-"&amp;AH46</f>
        <v>45292,4806365741-45473,4807175926</v>
      </c>
      <c r="AF47" s="1158"/>
      <c r="AG47" s="1105"/>
      <c r="AH47" s="1158"/>
      <c r="AI47" s="1105"/>
      <c r="AJ47" s="412"/>
      <c r="AK47" s="412"/>
      <c r="AL47" s="415" t="str">
        <f>AM46&amp;"-"&amp;AO46</f>
        <v>45474,480787037-45657,4809027778</v>
      </c>
      <c r="AM47" s="1158"/>
      <c r="AN47" s="1105"/>
      <c r="AO47" s="1158"/>
      <c r="AP47" s="1105"/>
      <c r="AQ47" s="412"/>
      <c r="AR47" s="412"/>
      <c r="AS47" s="415" t="str">
        <f>AT46&amp;"-"&amp;AV46</f>
        <v>45658,4814930556-45838,4816319444</v>
      </c>
      <c r="AT47" s="1158"/>
      <c r="AU47" s="1105"/>
      <c r="AV47" s="1158"/>
      <c r="AW47" s="1105"/>
      <c r="AX47" s="412"/>
      <c r="AY47" s="412"/>
      <c r="AZ47" s="415" t="str">
        <f>BA46&amp;"-"&amp;BC46</f>
        <v>45839,5029050926-46022,5083564815</v>
      </c>
      <c r="BA47" s="1158"/>
      <c r="BB47" s="1105"/>
      <c r="BC47" s="1158"/>
      <c r="BD47" s="1105"/>
      <c r="BE47" s="412"/>
      <c r="BF47" s="412"/>
      <c r="BG47" s="415" t="str">
        <f>BH46&amp;"-"&amp;BJ46</f>
        <v>46023,5151273148-46203,5152083333</v>
      </c>
      <c r="BH47" s="1158"/>
      <c r="BI47" s="1105"/>
      <c r="BJ47" s="1158"/>
      <c r="BK47" s="1105"/>
      <c r="BL47" s="412"/>
      <c r="BM47" s="412"/>
      <c r="BN47" s="415" t="str">
        <f>BO46&amp;"-"&amp;BQ46</f>
        <v>46204,5153356481-46387,515474537</v>
      </c>
      <c r="BO47" s="1158"/>
      <c r="BP47" s="1105"/>
      <c r="BQ47" s="1158"/>
      <c r="BR47" s="1105"/>
      <c r="BS47" s="412"/>
      <c r="BT47" s="412"/>
      <c r="BU47" s="415" t="str">
        <f>BV46&amp;"-"&amp;BX46</f>
        <v>46388,522025463-46568,5221296296</v>
      </c>
      <c r="BV47" s="1158"/>
      <c r="BW47" s="1105"/>
      <c r="BX47" s="1158"/>
      <c r="BY47" s="1105"/>
      <c r="BZ47" s="412"/>
      <c r="CA47" s="412"/>
      <c r="CB47" s="415" t="str">
        <f>CC46&amp;"-"&amp;CE46</f>
        <v>46569,5222569444-46752,5228472222</v>
      </c>
      <c r="CC47" s="1158"/>
      <c r="CD47" s="1105"/>
      <c r="CE47" s="1158"/>
      <c r="CF47" s="1105"/>
      <c r="CG47" s="412"/>
      <c r="CH47" s="412"/>
      <c r="CI47" s="415" t="str">
        <f>CJ46&amp;"-"&amp;CL46</f>
        <v>46753,5255787037-46934,5263425926</v>
      </c>
      <c r="CJ47" s="1158"/>
      <c r="CK47" s="1105"/>
      <c r="CL47" s="1158"/>
      <c r="CM47" s="1105"/>
      <c r="CN47" s="412"/>
      <c r="CO47" s="412"/>
      <c r="CP47" s="415" t="str">
        <f>CQ46&amp;"-"&amp;CS46</f>
        <v>46935,5264583333-47118,5314467593</v>
      </c>
      <c r="CQ47" s="1158"/>
      <c r="CR47" s="1105"/>
      <c r="CS47" s="1158"/>
      <c r="CT47" s="1105"/>
      <c r="CU47" s="412"/>
      <c r="CV47" s="412"/>
      <c r="CW47" s="415" t="str">
        <f>CX46&amp;"-"&amp;CZ46</f>
        <v>47119,5346875-47299,5347916667</v>
      </c>
      <c r="CX47" s="1158"/>
      <c r="CY47" s="1105"/>
      <c r="CZ47" s="1158"/>
      <c r="DA47" s="1105"/>
      <c r="DB47" s="412"/>
      <c r="DC47" s="412"/>
      <c r="DD47" s="415" t="str">
        <f>DE46&amp;"-"&amp;DG46</f>
        <v>47300,5348958333-47483,5350115741</v>
      </c>
      <c r="DE47" s="1158"/>
      <c r="DF47" s="1105"/>
      <c r="DG47" s="1158"/>
      <c r="DH47" s="1105"/>
      <c r="DI47" s="519"/>
      <c r="DJ47" s="1191"/>
      <c r="DL47" s="121"/>
      <c r="DM47" s="121" t="str">
        <f t="shared" si="1"/>
        <v/>
      </c>
      <c r="DN47" s="121"/>
      <c r="DO47" s="121"/>
    </row>
    <row r="48" spans="1:119" ht="21" customHeight="1">
      <c r="A48" s="390" t="s">
        <v>250</v>
      </c>
      <c r="B48" s="390" t="s">
        <v>251</v>
      </c>
      <c r="C48" s="390" t="s">
        <v>252</v>
      </c>
      <c r="D48" s="390" t="s">
        <v>505</v>
      </c>
      <c r="E48" s="1153"/>
      <c r="F48" s="1153"/>
      <c r="G48" s="1153"/>
      <c r="H48" s="1153"/>
      <c r="I48" s="1155"/>
      <c r="J48" s="1155"/>
      <c r="K48" s="390"/>
      <c r="L48" s="391"/>
      <c r="P48" s="1156"/>
      <c r="Q48" s="1156"/>
      <c r="R48" s="405"/>
      <c r="S48" s="416"/>
      <c r="T48" s="419" t="s">
        <v>472</v>
      </c>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397" t="s">
        <v>473</v>
      </c>
      <c r="DL48" s="121"/>
      <c r="DM48" s="121" t="str">
        <f t="shared" si="1"/>
        <v>Добавить значение признака дифференциации</v>
      </c>
      <c r="DN48" s="121"/>
      <c r="DO48" s="121"/>
    </row>
    <row r="49" spans="1:119" ht="21" customHeight="1">
      <c r="A49" s="390" t="s">
        <v>250</v>
      </c>
      <c r="B49" s="390" t="s">
        <v>251</v>
      </c>
      <c r="C49" s="390" t="s">
        <v>252</v>
      </c>
      <c r="D49" s="390" t="s">
        <v>505</v>
      </c>
      <c r="E49" s="1153"/>
      <c r="F49" s="1153"/>
      <c r="G49" s="1153"/>
      <c r="H49" s="1153"/>
      <c r="I49" s="1155"/>
      <c r="J49" s="390"/>
      <c r="K49" s="390"/>
      <c r="L49" s="391"/>
      <c r="P49" s="1156"/>
      <c r="Q49" s="124"/>
      <c r="R49" s="405"/>
      <c r="S49" s="416"/>
      <c r="T49" s="423" t="s">
        <v>401</v>
      </c>
      <c r="U49" s="186"/>
      <c r="V49" s="186"/>
      <c r="W49" s="186"/>
      <c r="X49" s="186"/>
      <c r="Y49" s="186"/>
      <c r="Z49" s="186"/>
      <c r="AA49" s="186"/>
      <c r="AB49" s="420"/>
      <c r="AC49" s="186"/>
      <c r="AD49" s="186"/>
      <c r="AE49" s="186"/>
      <c r="AF49" s="186"/>
      <c r="AG49" s="186"/>
      <c r="AH49" s="186"/>
      <c r="AI49" s="420"/>
      <c r="AJ49" s="186"/>
      <c r="AK49" s="186"/>
      <c r="AL49" s="186"/>
      <c r="AM49" s="186"/>
      <c r="AN49" s="186"/>
      <c r="AO49" s="186"/>
      <c r="AP49" s="420"/>
      <c r="AQ49" s="186"/>
      <c r="AR49" s="186"/>
      <c r="AS49" s="186"/>
      <c r="AT49" s="186"/>
      <c r="AU49" s="186"/>
      <c r="AV49" s="186"/>
      <c r="AW49" s="420"/>
      <c r="AX49" s="186"/>
      <c r="AY49" s="186"/>
      <c r="AZ49" s="186"/>
      <c r="BA49" s="186"/>
      <c r="BB49" s="186"/>
      <c r="BC49" s="186"/>
      <c r="BD49" s="420"/>
      <c r="BE49" s="186"/>
      <c r="BF49" s="186"/>
      <c r="BG49" s="186"/>
      <c r="BH49" s="186"/>
      <c r="BI49" s="186"/>
      <c r="BJ49" s="186"/>
      <c r="BK49" s="420"/>
      <c r="BL49" s="186"/>
      <c r="BM49" s="186"/>
      <c r="BN49" s="186"/>
      <c r="BO49" s="186"/>
      <c r="BP49" s="186"/>
      <c r="BQ49" s="186"/>
      <c r="BR49" s="420"/>
      <c r="BS49" s="186"/>
      <c r="BT49" s="186"/>
      <c r="BU49" s="186"/>
      <c r="BV49" s="186"/>
      <c r="BW49" s="186"/>
      <c r="BX49" s="186"/>
      <c r="BY49" s="420"/>
      <c r="BZ49" s="186"/>
      <c r="CA49" s="186"/>
      <c r="CB49" s="186"/>
      <c r="CC49" s="186"/>
      <c r="CD49" s="186"/>
      <c r="CE49" s="186"/>
      <c r="CF49" s="420"/>
      <c r="CG49" s="186"/>
      <c r="CH49" s="186"/>
      <c r="CI49" s="186"/>
      <c r="CJ49" s="186"/>
      <c r="CK49" s="186"/>
      <c r="CL49" s="186"/>
      <c r="CM49" s="420"/>
      <c r="CN49" s="186"/>
      <c r="CO49" s="186"/>
      <c r="CP49" s="186"/>
      <c r="CQ49" s="186"/>
      <c r="CR49" s="186"/>
      <c r="CS49" s="186"/>
      <c r="CT49" s="420"/>
      <c r="CU49" s="186"/>
      <c r="CV49" s="186"/>
      <c r="CW49" s="186"/>
      <c r="CX49" s="186"/>
      <c r="CY49" s="186"/>
      <c r="CZ49" s="186"/>
      <c r="DA49" s="420"/>
      <c r="DB49" s="186"/>
      <c r="DC49" s="186"/>
      <c r="DD49" s="186"/>
      <c r="DE49" s="186"/>
      <c r="DF49" s="186"/>
      <c r="DG49" s="186"/>
      <c r="DH49" s="420"/>
      <c r="DI49" s="186"/>
      <c r="DJ49" s="520"/>
      <c r="DL49" s="121"/>
      <c r="DM49" s="121" t="str">
        <f t="shared" si="1"/>
        <v>Добавить группу потребителей</v>
      </c>
      <c r="DN49" s="121"/>
      <c r="DO49" s="121"/>
    </row>
    <row r="50" spans="1:119" ht="21" customHeight="1">
      <c r="A50" s="390" t="s">
        <v>250</v>
      </c>
      <c r="B50" s="390" t="s">
        <v>251</v>
      </c>
      <c r="C50" s="390" t="s">
        <v>252</v>
      </c>
      <c r="D50" s="390" t="s">
        <v>505</v>
      </c>
      <c r="E50" s="1153"/>
      <c r="F50" s="1153"/>
      <c r="G50" s="1153"/>
      <c r="H50" s="1189"/>
      <c r="I50" s="390"/>
      <c r="J50" s="390"/>
      <c r="K50" s="390"/>
      <c r="L50" s="391"/>
      <c r="M50" s="392"/>
      <c r="N50" s="392"/>
      <c r="O50" s="49"/>
      <c r="P50" s="134"/>
      <c r="Q50" s="422"/>
      <c r="R50" s="393"/>
      <c r="S50" s="416"/>
      <c r="T50" s="521" t="s">
        <v>474</v>
      </c>
      <c r="U50" s="186"/>
      <c r="V50" s="186"/>
      <c r="W50" s="186"/>
      <c r="X50" s="186"/>
      <c r="Y50" s="186"/>
      <c r="Z50" s="186"/>
      <c r="AA50" s="186"/>
      <c r="AB50" s="420"/>
      <c r="AC50" s="186"/>
      <c r="AD50" s="186"/>
      <c r="AE50" s="186"/>
      <c r="AF50" s="186"/>
      <c r="AG50" s="186"/>
      <c r="AH50" s="186"/>
      <c r="AI50" s="420"/>
      <c r="AJ50" s="186"/>
      <c r="AK50" s="186"/>
      <c r="AL50" s="186"/>
      <c r="AM50" s="186"/>
      <c r="AN50" s="186"/>
      <c r="AO50" s="186"/>
      <c r="AP50" s="420"/>
      <c r="AQ50" s="186"/>
      <c r="AR50" s="186"/>
      <c r="AS50" s="186"/>
      <c r="AT50" s="186"/>
      <c r="AU50" s="186"/>
      <c r="AV50" s="186"/>
      <c r="AW50" s="420"/>
      <c r="AX50" s="186"/>
      <c r="AY50" s="186"/>
      <c r="AZ50" s="186"/>
      <c r="BA50" s="186"/>
      <c r="BB50" s="186"/>
      <c r="BC50" s="186"/>
      <c r="BD50" s="420"/>
      <c r="BE50" s="186"/>
      <c r="BF50" s="186"/>
      <c r="BG50" s="186"/>
      <c r="BH50" s="186"/>
      <c r="BI50" s="186"/>
      <c r="BJ50" s="186"/>
      <c r="BK50" s="420"/>
      <c r="BL50" s="186"/>
      <c r="BM50" s="186"/>
      <c r="BN50" s="186"/>
      <c r="BO50" s="186"/>
      <c r="BP50" s="186"/>
      <c r="BQ50" s="186"/>
      <c r="BR50" s="420"/>
      <c r="BS50" s="186"/>
      <c r="BT50" s="186"/>
      <c r="BU50" s="186"/>
      <c r="BV50" s="186"/>
      <c r="BW50" s="186"/>
      <c r="BX50" s="186"/>
      <c r="BY50" s="420"/>
      <c r="BZ50" s="186"/>
      <c r="CA50" s="186"/>
      <c r="CB50" s="186"/>
      <c r="CC50" s="186"/>
      <c r="CD50" s="186"/>
      <c r="CE50" s="186"/>
      <c r="CF50" s="420"/>
      <c r="CG50" s="186"/>
      <c r="CH50" s="186"/>
      <c r="CI50" s="186"/>
      <c r="CJ50" s="186"/>
      <c r="CK50" s="186"/>
      <c r="CL50" s="186"/>
      <c r="CM50" s="420"/>
      <c r="CN50" s="186"/>
      <c r="CO50" s="186"/>
      <c r="CP50" s="186"/>
      <c r="CQ50" s="186"/>
      <c r="CR50" s="186"/>
      <c r="CS50" s="186"/>
      <c r="CT50" s="420"/>
      <c r="CU50" s="186"/>
      <c r="CV50" s="186"/>
      <c r="CW50" s="186"/>
      <c r="CX50" s="186"/>
      <c r="CY50" s="186"/>
      <c r="CZ50" s="186"/>
      <c r="DA50" s="420"/>
      <c r="DB50" s="186"/>
      <c r="DC50" s="186"/>
      <c r="DD50" s="186"/>
      <c r="DE50" s="186"/>
      <c r="DF50" s="186"/>
      <c r="DG50" s="186"/>
      <c r="DH50" s="420"/>
      <c r="DI50" s="186"/>
      <c r="DJ50" s="421"/>
      <c r="DL50" s="121"/>
      <c r="DM50" s="121" t="str">
        <f t="shared" si="1"/>
        <v>Добавить наименование признака дифференциации</v>
      </c>
      <c r="DN50" s="121"/>
      <c r="DO50" s="121"/>
    </row>
    <row r="51" spans="1:119" s="53" customFormat="1" ht="5.25">
      <c r="A51" s="125" t="s">
        <v>250</v>
      </c>
      <c r="B51" s="125" t="s">
        <v>251</v>
      </c>
      <c r="C51" s="125"/>
      <c r="D51" s="125"/>
      <c r="E51" s="1153"/>
      <c r="F51" s="1153"/>
      <c r="G51" s="125"/>
      <c r="H51" s="125"/>
      <c r="I51" s="125"/>
      <c r="J51" s="125"/>
      <c r="K51" s="125"/>
      <c r="L51" s="184"/>
      <c r="M51" s="428"/>
      <c r="N51" s="428"/>
      <c r="P51" s="158"/>
      <c r="Q51" s="424"/>
      <c r="R51" s="158"/>
      <c r="S51" s="429"/>
      <c r="T51" s="432" t="s">
        <v>253</v>
      </c>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c r="BM51" s="431"/>
      <c r="BN51" s="431"/>
      <c r="BO51" s="431"/>
      <c r="BP51" s="431"/>
      <c r="BQ51" s="431"/>
      <c r="BR51" s="431"/>
      <c r="BS51" s="431"/>
      <c r="BT51" s="431"/>
      <c r="BU51" s="431"/>
      <c r="BV51" s="431"/>
      <c r="BW51" s="431"/>
      <c r="BX51" s="431"/>
      <c r="BY51" s="431"/>
      <c r="BZ51" s="431"/>
      <c r="CA51" s="431"/>
      <c r="CB51" s="431"/>
      <c r="CC51" s="431"/>
      <c r="CD51" s="431"/>
      <c r="CE51" s="431"/>
      <c r="CF51" s="431"/>
      <c r="CG51" s="431"/>
      <c r="CH51" s="431"/>
      <c r="CI51" s="431"/>
      <c r="CJ51" s="431"/>
      <c r="CK51" s="431"/>
      <c r="CL51" s="431"/>
      <c r="CM51" s="431"/>
      <c r="CN51" s="431"/>
      <c r="CO51" s="431"/>
      <c r="CP51" s="431"/>
      <c r="CQ51" s="431"/>
      <c r="CR51" s="431"/>
      <c r="CS51" s="431"/>
      <c r="CT51" s="431"/>
      <c r="CU51" s="431"/>
      <c r="CV51" s="431"/>
      <c r="CW51" s="431"/>
      <c r="CX51" s="431"/>
      <c r="CY51" s="431"/>
      <c r="CZ51" s="431"/>
      <c r="DA51" s="431"/>
      <c r="DB51" s="431"/>
      <c r="DC51" s="431"/>
      <c r="DD51" s="431"/>
      <c r="DE51" s="431"/>
      <c r="DF51" s="431"/>
      <c r="DG51" s="431"/>
      <c r="DH51" s="431"/>
      <c r="DI51" s="431"/>
      <c r="DJ51" s="431"/>
      <c r="DL51" s="121"/>
      <c r="DM51" s="121" t="str">
        <f t="shared" si="1"/>
        <v>Добавить централизованную систему для дифференциации</v>
      </c>
      <c r="DN51" s="121"/>
      <c r="DO51" s="121"/>
    </row>
    <row r="52" spans="1:119" s="53" customFormat="1" ht="5.25">
      <c r="A52" s="125" t="s">
        <v>250</v>
      </c>
      <c r="B52" s="125"/>
      <c r="C52" s="125"/>
      <c r="D52" s="125"/>
      <c r="E52" s="1153"/>
      <c r="F52" s="125"/>
      <c r="G52" s="125"/>
      <c r="H52" s="125"/>
      <c r="I52" s="125"/>
      <c r="J52" s="125"/>
      <c r="K52" s="125"/>
      <c r="L52" s="184"/>
      <c r="M52" s="428"/>
      <c r="N52" s="428"/>
      <c r="P52" s="158"/>
      <c r="Q52" s="424"/>
      <c r="R52" s="158"/>
      <c r="S52" s="429"/>
      <c r="T52" s="432" t="s">
        <v>254</v>
      </c>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c r="BM52" s="431"/>
      <c r="BN52" s="431"/>
      <c r="BO52" s="431"/>
      <c r="BP52" s="431"/>
      <c r="BQ52" s="431"/>
      <c r="BR52" s="431"/>
      <c r="BS52" s="431"/>
      <c r="BT52" s="431"/>
      <c r="BU52" s="431"/>
      <c r="BV52" s="431"/>
      <c r="BW52" s="431"/>
      <c r="BX52" s="431"/>
      <c r="BY52" s="431"/>
      <c r="BZ52" s="431"/>
      <c r="CA52" s="431"/>
      <c r="CB52" s="431"/>
      <c r="CC52" s="431"/>
      <c r="CD52" s="431"/>
      <c r="CE52" s="431"/>
      <c r="CF52" s="431"/>
      <c r="CG52" s="431"/>
      <c r="CH52" s="431"/>
      <c r="CI52" s="431"/>
      <c r="CJ52" s="431"/>
      <c r="CK52" s="431"/>
      <c r="CL52" s="431"/>
      <c r="CM52" s="431"/>
      <c r="CN52" s="431"/>
      <c r="CO52" s="431"/>
      <c r="CP52" s="431"/>
      <c r="CQ52" s="431"/>
      <c r="CR52" s="431"/>
      <c r="CS52" s="431"/>
      <c r="CT52" s="431"/>
      <c r="CU52" s="431"/>
      <c r="CV52" s="431"/>
      <c r="CW52" s="431"/>
      <c r="CX52" s="431"/>
      <c r="CY52" s="431"/>
      <c r="CZ52" s="431"/>
      <c r="DA52" s="431"/>
      <c r="DB52" s="431"/>
      <c r="DC52" s="431"/>
      <c r="DD52" s="431"/>
      <c r="DE52" s="431"/>
      <c r="DF52" s="431"/>
      <c r="DG52" s="431"/>
      <c r="DH52" s="431"/>
      <c r="DI52" s="431"/>
      <c r="DJ52" s="431"/>
      <c r="DL52" s="121"/>
      <c r="DM52" s="121" t="str">
        <f t="shared" si="1"/>
        <v>Добавить территорию для дифференциации</v>
      </c>
      <c r="DN52" s="121"/>
      <c r="DO52" s="121"/>
    </row>
    <row r="53" spans="1:119" s="53" customFormat="1" ht="5.25">
      <c r="A53" s="125"/>
      <c r="B53" s="125"/>
      <c r="C53" s="125"/>
      <c r="D53" s="125"/>
      <c r="E53" s="125"/>
      <c r="F53" s="125"/>
      <c r="G53" s="125"/>
      <c r="H53" s="125"/>
      <c r="I53" s="125"/>
      <c r="J53" s="125"/>
      <c r="K53" s="125"/>
      <c r="L53" s="184"/>
      <c r="M53" s="428"/>
      <c r="N53" s="428"/>
      <c r="P53" s="158"/>
      <c r="Q53" s="424"/>
      <c r="R53" s="158"/>
      <c r="S53" s="429"/>
      <c r="T53" s="432" t="s">
        <v>255</v>
      </c>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31"/>
      <c r="BK53" s="431"/>
      <c r="BL53" s="431"/>
      <c r="BM53" s="431"/>
      <c r="BN53" s="431"/>
      <c r="BO53" s="431"/>
      <c r="BP53" s="431"/>
      <c r="BQ53" s="431"/>
      <c r="BR53" s="431"/>
      <c r="BS53" s="431"/>
      <c r="BT53" s="431"/>
      <c r="BU53" s="431"/>
      <c r="BV53" s="431"/>
      <c r="BW53" s="431"/>
      <c r="BX53" s="431"/>
      <c r="BY53" s="431"/>
      <c r="BZ53" s="431"/>
      <c r="CA53" s="431"/>
      <c r="CB53" s="431"/>
      <c r="CC53" s="431"/>
      <c r="CD53" s="431"/>
      <c r="CE53" s="431"/>
      <c r="CF53" s="431"/>
      <c r="CG53" s="431"/>
      <c r="CH53" s="431"/>
      <c r="CI53" s="431"/>
      <c r="CJ53" s="431"/>
      <c r="CK53" s="431"/>
      <c r="CL53" s="431"/>
      <c r="CM53" s="431"/>
      <c r="CN53" s="431"/>
      <c r="CO53" s="431"/>
      <c r="CP53" s="431"/>
      <c r="CQ53" s="431"/>
      <c r="CR53" s="431"/>
      <c r="CS53" s="431"/>
      <c r="CT53" s="431"/>
      <c r="CU53" s="431"/>
      <c r="CV53" s="431"/>
      <c r="CW53" s="431"/>
      <c r="CX53" s="431"/>
      <c r="CY53" s="431"/>
      <c r="CZ53" s="431"/>
      <c r="DA53" s="431"/>
      <c r="DB53" s="431"/>
      <c r="DC53" s="431"/>
      <c r="DD53" s="431"/>
      <c r="DE53" s="431"/>
      <c r="DF53" s="431"/>
      <c r="DG53" s="431"/>
      <c r="DH53" s="431"/>
      <c r="DI53" s="431"/>
      <c r="DJ53" s="431"/>
      <c r="DL53" s="121"/>
      <c r="DM53" s="121" t="str">
        <f t="shared" si="1"/>
        <v>Добавить наименование тарифа</v>
      </c>
      <c r="DN53" s="121"/>
      <c r="DO53" s="121"/>
    </row>
    <row r="54" spans="1:119" ht="11.25" customHeight="1">
      <c r="M54" s="49"/>
      <c r="N54" s="49"/>
      <c r="O54" s="49"/>
      <c r="P54" s="46"/>
      <c r="Q54" s="46"/>
      <c r="R54" s="46"/>
      <c r="S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K54" s="46"/>
      <c r="DL54" s="46"/>
      <c r="DM54" s="46"/>
      <c r="DN54" s="46"/>
      <c r="DO54" s="46"/>
    </row>
    <row r="55" spans="1:119" ht="14.25" customHeight="1">
      <c r="O55" s="49"/>
      <c r="S55" s="387"/>
      <c r="T55" s="1171"/>
      <c r="U55" s="1171"/>
      <c r="V55" s="1171"/>
      <c r="W55" s="1171"/>
      <c r="X55" s="1171"/>
      <c r="Y55" s="1171"/>
      <c r="Z55" s="1171"/>
      <c r="AA55" s="1171"/>
      <c r="AB55" s="1171"/>
      <c r="AC55" s="1171"/>
      <c r="AD55" s="1171"/>
      <c r="AE55" s="1171"/>
      <c r="AF55" s="1171"/>
      <c r="AG55" s="1171"/>
      <c r="AH55" s="1171"/>
      <c r="AI55" s="1171"/>
      <c r="AJ55" s="1171"/>
      <c r="AK55" s="1171"/>
      <c r="AL55" s="1171"/>
      <c r="AM55" s="1171"/>
      <c r="AN55" s="1171"/>
      <c r="AO55" s="1171"/>
      <c r="AP55" s="1171"/>
      <c r="AQ55" s="1171"/>
      <c r="AR55" s="1171"/>
      <c r="AS55" s="1171"/>
      <c r="AT55" s="1171"/>
      <c r="AU55" s="1171"/>
      <c r="AV55" s="1171"/>
      <c r="AW55" s="1171"/>
      <c r="AX55" s="1171"/>
      <c r="AY55" s="1171"/>
      <c r="AZ55" s="1171"/>
      <c r="BA55" s="1171"/>
      <c r="BB55" s="1171"/>
      <c r="BC55" s="1171"/>
      <c r="BD55" s="1171"/>
      <c r="BE55" s="1171"/>
      <c r="BF55" s="1171"/>
      <c r="BG55" s="1171"/>
      <c r="BH55" s="1171"/>
      <c r="BI55" s="1171"/>
      <c r="BJ55" s="1171"/>
      <c r="BK55" s="1171"/>
      <c r="BL55" s="1171"/>
      <c r="BM55" s="1171"/>
      <c r="BN55" s="1171"/>
      <c r="BO55" s="1171"/>
      <c r="BP55" s="1171"/>
      <c r="BQ55" s="1171"/>
      <c r="BR55" s="1171"/>
      <c r="BS55" s="1171"/>
      <c r="BT55" s="1171"/>
      <c r="BU55" s="1171"/>
      <c r="BV55" s="1171"/>
      <c r="BW55" s="1171"/>
      <c r="BX55" s="1171"/>
      <c r="BY55" s="1171"/>
      <c r="BZ55" s="1171"/>
      <c r="CA55" s="1171"/>
      <c r="CB55" s="1171"/>
      <c r="CC55" s="1171"/>
      <c r="CD55" s="1171"/>
      <c r="CE55" s="1171"/>
      <c r="CF55" s="1171"/>
      <c r="CG55" s="1171"/>
      <c r="CH55" s="1171"/>
      <c r="CI55" s="1171"/>
      <c r="CJ55" s="1171"/>
      <c r="CK55" s="1171"/>
      <c r="CL55" s="1171"/>
      <c r="CM55" s="1171"/>
      <c r="CN55" s="1171"/>
      <c r="CO55" s="1171"/>
      <c r="CP55" s="1171"/>
      <c r="CQ55" s="1171"/>
      <c r="CR55" s="1171"/>
      <c r="CS55" s="1171"/>
      <c r="CT55" s="1171"/>
      <c r="CU55" s="1171"/>
      <c r="CV55" s="1171"/>
      <c r="CW55" s="1171"/>
      <c r="CX55" s="1171"/>
      <c r="CY55" s="1171"/>
      <c r="CZ55" s="1171"/>
      <c r="DA55" s="1171"/>
      <c r="DB55" s="1171"/>
      <c r="DC55" s="1171"/>
      <c r="DD55" s="1171"/>
      <c r="DE55" s="1171"/>
      <c r="DF55" s="1171"/>
      <c r="DG55" s="1171"/>
      <c r="DH55" s="1171"/>
      <c r="DI55" s="1171"/>
      <c r="DJ55" s="1171"/>
    </row>
    <row r="56" spans="1:119" ht="14.25" customHeight="1">
      <c r="O56" s="49"/>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row>
    <row r="57" spans="1:119" ht="14.25" customHeight="1">
      <c r="O57" s="49"/>
      <c r="S57" s="387"/>
      <c r="T57" s="1171"/>
      <c r="U57" s="1171"/>
      <c r="V57" s="1171"/>
      <c r="W57" s="1171"/>
      <c r="X57" s="1171"/>
      <c r="Y57" s="1171"/>
      <c r="Z57" s="1171"/>
      <c r="AA57" s="1171"/>
      <c r="AB57" s="1171"/>
      <c r="AC57" s="1171"/>
      <c r="AD57" s="1171"/>
      <c r="AE57" s="1171"/>
      <c r="AF57" s="1171"/>
      <c r="AG57" s="1171"/>
      <c r="AH57" s="1171"/>
      <c r="AI57" s="1171"/>
      <c r="AJ57" s="1171"/>
      <c r="AK57" s="1171"/>
      <c r="AL57" s="1171"/>
      <c r="AM57" s="1171"/>
      <c r="AN57" s="1171"/>
      <c r="AO57" s="1171"/>
      <c r="AP57" s="1171"/>
      <c r="AQ57" s="1171"/>
      <c r="AR57" s="1171"/>
      <c r="AS57" s="1171"/>
      <c r="AT57" s="1171"/>
      <c r="AU57" s="1171"/>
      <c r="AV57" s="1171"/>
      <c r="AW57" s="1171"/>
      <c r="AX57" s="1171"/>
      <c r="AY57" s="1171"/>
      <c r="AZ57" s="1171"/>
      <c r="BA57" s="1171"/>
      <c r="BB57" s="1171"/>
      <c r="BC57" s="1171"/>
      <c r="BD57" s="1171"/>
      <c r="BE57" s="1171"/>
      <c r="BF57" s="1171"/>
      <c r="BG57" s="1171"/>
      <c r="BH57" s="1171"/>
      <c r="BI57" s="1171"/>
      <c r="BJ57" s="1171"/>
      <c r="BK57" s="1171"/>
      <c r="BL57" s="1171"/>
      <c r="BM57" s="1171"/>
      <c r="BN57" s="1171"/>
      <c r="BO57" s="1171"/>
      <c r="BP57" s="1171"/>
      <c r="BQ57" s="1171"/>
      <c r="BR57" s="1171"/>
      <c r="BS57" s="1171"/>
      <c r="BT57" s="1171"/>
      <c r="BU57" s="1171"/>
      <c r="BV57" s="1171"/>
      <c r="BW57" s="1171"/>
      <c r="BX57" s="1171"/>
      <c r="BY57" s="1171"/>
      <c r="BZ57" s="1171"/>
      <c r="CA57" s="1171"/>
      <c r="CB57" s="1171"/>
      <c r="CC57" s="1171"/>
      <c r="CD57" s="1171"/>
      <c r="CE57" s="1171"/>
      <c r="CF57" s="1171"/>
      <c r="CG57" s="1171"/>
      <c r="CH57" s="1171"/>
      <c r="CI57" s="1171"/>
      <c r="CJ57" s="1171"/>
      <c r="CK57" s="1171"/>
      <c r="CL57" s="1171"/>
      <c r="CM57" s="1171"/>
      <c r="CN57" s="1171"/>
      <c r="CO57" s="1171"/>
      <c r="CP57" s="1171"/>
      <c r="CQ57" s="1171"/>
      <c r="CR57" s="1171"/>
      <c r="CS57" s="1171"/>
      <c r="CT57" s="1171"/>
      <c r="CU57" s="1171"/>
      <c r="CV57" s="1171"/>
      <c r="CW57" s="1171"/>
      <c r="CX57" s="1171"/>
      <c r="CY57" s="1171"/>
      <c r="CZ57" s="1171"/>
      <c r="DA57" s="1171"/>
      <c r="DB57" s="1171"/>
      <c r="DC57" s="1171"/>
      <c r="DD57" s="1171"/>
      <c r="DE57" s="1171"/>
      <c r="DF57" s="1171"/>
      <c r="DG57" s="1171"/>
      <c r="DH57" s="1171"/>
      <c r="DI57" s="1171"/>
      <c r="DJ57" s="1171"/>
    </row>
  </sheetData>
  <mergeCells count="332">
    <mergeCell ref="CZ46:CZ47"/>
    <mergeCell ref="DA46:DA47"/>
    <mergeCell ref="DE46:DE47"/>
    <mergeCell ref="DF46:DF47"/>
    <mergeCell ref="DG46:DG47"/>
    <mergeCell ref="DH46:DH47"/>
    <mergeCell ref="DJ46:DJ47"/>
    <mergeCell ref="T55:DJ55"/>
    <mergeCell ref="T57:DJ57"/>
    <mergeCell ref="CK46:CK47"/>
    <mergeCell ref="CL46:CL47"/>
    <mergeCell ref="CM46:CM47"/>
    <mergeCell ref="CQ46:CQ47"/>
    <mergeCell ref="CR46:CR47"/>
    <mergeCell ref="CS46:CS47"/>
    <mergeCell ref="CT46:CT47"/>
    <mergeCell ref="CX46:CX47"/>
    <mergeCell ref="CY46:CY47"/>
    <mergeCell ref="BV46:BV47"/>
    <mergeCell ref="BW46:BW47"/>
    <mergeCell ref="BX46:BX47"/>
    <mergeCell ref="BY46:BY47"/>
    <mergeCell ref="CC46:CC47"/>
    <mergeCell ref="CD46:CD47"/>
    <mergeCell ref="CE46:CE47"/>
    <mergeCell ref="CF46:CF47"/>
    <mergeCell ref="CJ46:CJ47"/>
    <mergeCell ref="BD46:BD47"/>
    <mergeCell ref="BH46:BH47"/>
    <mergeCell ref="BI46:BI47"/>
    <mergeCell ref="BJ46:BJ47"/>
    <mergeCell ref="BK46:BK47"/>
    <mergeCell ref="BO46:BO47"/>
    <mergeCell ref="BP46:BP47"/>
    <mergeCell ref="BQ46:BQ47"/>
    <mergeCell ref="BR46:BR47"/>
    <mergeCell ref="AO46:AO47"/>
    <mergeCell ref="AP46:AP47"/>
    <mergeCell ref="AT46:AT47"/>
    <mergeCell ref="AU46:AU47"/>
    <mergeCell ref="AV46:AV47"/>
    <mergeCell ref="AW46:AW47"/>
    <mergeCell ref="BA46:BA47"/>
    <mergeCell ref="BB46:BB47"/>
    <mergeCell ref="BC46:BC47"/>
    <mergeCell ref="Z46:Z47"/>
    <mergeCell ref="AA46:AA47"/>
    <mergeCell ref="AB46:AB47"/>
    <mergeCell ref="AF46:AF47"/>
    <mergeCell ref="AG46:AG47"/>
    <mergeCell ref="AH46:AH47"/>
    <mergeCell ref="AI46:AI47"/>
    <mergeCell ref="AM46:AM47"/>
    <mergeCell ref="AN46:AN47"/>
    <mergeCell ref="CK40:CL40"/>
    <mergeCell ref="CR40:CS40"/>
    <mergeCell ref="CY40:CZ40"/>
    <mergeCell ref="DF40:DG40"/>
    <mergeCell ref="E41:E52"/>
    <mergeCell ref="V41:AB41"/>
    <mergeCell ref="AC41:DI41"/>
    <mergeCell ref="F42:F51"/>
    <mergeCell ref="V42:AB42"/>
    <mergeCell ref="AC42:DI42"/>
    <mergeCell ref="G43:G50"/>
    <mergeCell ref="V43:AB43"/>
    <mergeCell ref="AC43:DI43"/>
    <mergeCell ref="H44:H50"/>
    <mergeCell ref="I44:I49"/>
    <mergeCell ref="P44:P49"/>
    <mergeCell ref="V44:AB44"/>
    <mergeCell ref="AC44:DI44"/>
    <mergeCell ref="J45:J48"/>
    <mergeCell ref="Q45:Q48"/>
    <mergeCell ref="V45:AB45"/>
    <mergeCell ref="AC45:DI45"/>
    <mergeCell ref="K46:K47"/>
    <mergeCell ref="Y46:Y47"/>
    <mergeCell ref="Z40:AA40"/>
    <mergeCell ref="AG40:AH40"/>
    <mergeCell ref="AN40:AO40"/>
    <mergeCell ref="AU40:AV40"/>
    <mergeCell ref="BB40:BC40"/>
    <mergeCell ref="BI40:BJ40"/>
    <mergeCell ref="BP40:BQ40"/>
    <mergeCell ref="BW40:BX40"/>
    <mergeCell ref="CD40:CE40"/>
    <mergeCell ref="Z39:AA39"/>
    <mergeCell ref="AG39:AH39"/>
    <mergeCell ref="AN39:AO39"/>
    <mergeCell ref="AU39:AV39"/>
    <mergeCell ref="BB39:BC39"/>
    <mergeCell ref="BI39:BJ39"/>
    <mergeCell ref="BP39:BQ39"/>
    <mergeCell ref="BW39:BX39"/>
    <mergeCell ref="CD39:CE39"/>
    <mergeCell ref="DH37:DH39"/>
    <mergeCell ref="DI37:DI39"/>
    <mergeCell ref="W38:X38"/>
    <mergeCell ref="Y38:AA38"/>
    <mergeCell ref="AD38:AE38"/>
    <mergeCell ref="AF38:AH38"/>
    <mergeCell ref="AK38:AL38"/>
    <mergeCell ref="AM38:AO38"/>
    <mergeCell ref="AR38:AS38"/>
    <mergeCell ref="AT38:AV38"/>
    <mergeCell ref="AY38:AZ38"/>
    <mergeCell ref="BA38:BC38"/>
    <mergeCell ref="BF38:BG38"/>
    <mergeCell ref="BH38:BJ38"/>
    <mergeCell ref="BM38:BN38"/>
    <mergeCell ref="BO38:BQ38"/>
    <mergeCell ref="BT38:BU38"/>
    <mergeCell ref="BV38:BX38"/>
    <mergeCell ref="CA38:CB38"/>
    <mergeCell ref="CC38:CE38"/>
    <mergeCell ref="CH38:CI38"/>
    <mergeCell ref="CJ38:CL38"/>
    <mergeCell ref="CO38:CP38"/>
    <mergeCell ref="CQ38:CS38"/>
    <mergeCell ref="BZ37:CE37"/>
    <mergeCell ref="CF37:CF39"/>
    <mergeCell ref="CG37:CL37"/>
    <mergeCell ref="CM37:CM39"/>
    <mergeCell ref="CN37:CS37"/>
    <mergeCell ref="CT37:CT39"/>
    <mergeCell ref="CU37:CZ37"/>
    <mergeCell ref="DA37:DA39"/>
    <mergeCell ref="DB37:DG37"/>
    <mergeCell ref="CV38:CW38"/>
    <mergeCell ref="CX38:CZ38"/>
    <mergeCell ref="DC38:DD38"/>
    <mergeCell ref="DE38:DG38"/>
    <mergeCell ref="CK39:CL39"/>
    <mergeCell ref="CR39:CS39"/>
    <mergeCell ref="CY39:CZ39"/>
    <mergeCell ref="DF39:DG39"/>
    <mergeCell ref="CG35:CM35"/>
    <mergeCell ref="CN35:CT35"/>
    <mergeCell ref="CU35:DA35"/>
    <mergeCell ref="DB35:DH35"/>
    <mergeCell ref="S36:DI36"/>
    <mergeCell ref="DJ36:DJ39"/>
    <mergeCell ref="S37:S39"/>
    <mergeCell ref="T37:T39"/>
    <mergeCell ref="V37:AA37"/>
    <mergeCell ref="AB37:AB39"/>
    <mergeCell ref="AC37:AH37"/>
    <mergeCell ref="AI37:AI39"/>
    <mergeCell ref="AJ37:AO37"/>
    <mergeCell ref="AP37:AP39"/>
    <mergeCell ref="AQ37:AV37"/>
    <mergeCell ref="AW37:AW39"/>
    <mergeCell ref="AX37:BC37"/>
    <mergeCell ref="BD37:BD39"/>
    <mergeCell ref="BE37:BJ37"/>
    <mergeCell ref="BK37:BK39"/>
    <mergeCell ref="BL37:BQ37"/>
    <mergeCell ref="BR37:BR39"/>
    <mergeCell ref="BS37:BX37"/>
    <mergeCell ref="BY37:BY39"/>
    <mergeCell ref="V35:AB35"/>
    <mergeCell ref="AC35:AI35"/>
    <mergeCell ref="AJ35:AP35"/>
    <mergeCell ref="AQ35:AW35"/>
    <mergeCell ref="AX35:BD35"/>
    <mergeCell ref="BE35:BK35"/>
    <mergeCell ref="BL35:BR35"/>
    <mergeCell ref="BS35:BY35"/>
    <mergeCell ref="BZ35:CF35"/>
    <mergeCell ref="BZ32:CE32"/>
    <mergeCell ref="CG32:CL32"/>
    <mergeCell ref="CN32:CS32"/>
    <mergeCell ref="CU32:CZ32"/>
    <mergeCell ref="DB32:DG32"/>
    <mergeCell ref="S33:T33"/>
    <mergeCell ref="V33:AA33"/>
    <mergeCell ref="AC33:AH33"/>
    <mergeCell ref="AJ33:AO33"/>
    <mergeCell ref="AQ33:AV33"/>
    <mergeCell ref="AX33:BC33"/>
    <mergeCell ref="BE33:BJ33"/>
    <mergeCell ref="BL33:BQ33"/>
    <mergeCell ref="BS33:BX33"/>
    <mergeCell ref="BZ33:CE33"/>
    <mergeCell ref="CG33:CL33"/>
    <mergeCell ref="CN33:CS33"/>
    <mergeCell ref="CU33:CZ33"/>
    <mergeCell ref="DB33:DG33"/>
    <mergeCell ref="S32:T32"/>
    <mergeCell ref="V32:AA32"/>
    <mergeCell ref="AC32:AH32"/>
    <mergeCell ref="AJ32:AO32"/>
    <mergeCell ref="AQ32:AV32"/>
    <mergeCell ref="AX32:BC32"/>
    <mergeCell ref="BE32:BJ32"/>
    <mergeCell ref="BL32:BQ32"/>
    <mergeCell ref="BS32:BX32"/>
    <mergeCell ref="BZ29:CE29"/>
    <mergeCell ref="CG29:CL29"/>
    <mergeCell ref="CN29:CS29"/>
    <mergeCell ref="CU29:CZ29"/>
    <mergeCell ref="DB29:DG29"/>
    <mergeCell ref="S30:T30"/>
    <mergeCell ref="V30:AA30"/>
    <mergeCell ref="AC30:AH30"/>
    <mergeCell ref="AJ30:AO30"/>
    <mergeCell ref="AQ30:AV30"/>
    <mergeCell ref="AX30:BC30"/>
    <mergeCell ref="BE30:BJ30"/>
    <mergeCell ref="BL30:BQ30"/>
    <mergeCell ref="BS30:BX30"/>
    <mergeCell ref="BZ30:CE30"/>
    <mergeCell ref="CG30:CL30"/>
    <mergeCell ref="CN30:CS30"/>
    <mergeCell ref="CU30:CZ30"/>
    <mergeCell ref="DB30:DG30"/>
    <mergeCell ref="S29:T29"/>
    <mergeCell ref="V29:AA29"/>
    <mergeCell ref="AC29:AH29"/>
    <mergeCell ref="AJ29:AO29"/>
    <mergeCell ref="AQ29:AV29"/>
    <mergeCell ref="AX29:BC29"/>
    <mergeCell ref="BE29:BJ29"/>
    <mergeCell ref="BL29:BQ29"/>
    <mergeCell ref="BS29:BX29"/>
    <mergeCell ref="BZ27:CE27"/>
    <mergeCell ref="CG27:CL27"/>
    <mergeCell ref="CN27:CS27"/>
    <mergeCell ref="CU27:CZ27"/>
    <mergeCell ref="DB27:DG27"/>
    <mergeCell ref="S28:T28"/>
    <mergeCell ref="V28:AA28"/>
    <mergeCell ref="AC28:AH28"/>
    <mergeCell ref="AJ28:AO28"/>
    <mergeCell ref="AQ28:AV28"/>
    <mergeCell ref="AX28:BC28"/>
    <mergeCell ref="BE28:BJ28"/>
    <mergeCell ref="BL28:BQ28"/>
    <mergeCell ref="BS28:BX28"/>
    <mergeCell ref="BZ28:CE28"/>
    <mergeCell ref="CG28:CL28"/>
    <mergeCell ref="CN28:CS28"/>
    <mergeCell ref="CU28:CZ28"/>
    <mergeCell ref="DB28:DG28"/>
    <mergeCell ref="S27:T27"/>
    <mergeCell ref="V27:AA27"/>
    <mergeCell ref="AC27:AH27"/>
    <mergeCell ref="AJ27:AO27"/>
    <mergeCell ref="AQ27:AV27"/>
    <mergeCell ref="AX27:BC27"/>
    <mergeCell ref="BE27:BJ27"/>
    <mergeCell ref="BL27:BQ27"/>
    <mergeCell ref="BS27:BX27"/>
    <mergeCell ref="DG7:DG8"/>
    <mergeCell ref="DH7:DH8"/>
    <mergeCell ref="DJ7:DJ8"/>
    <mergeCell ref="AF15:AF16"/>
    <mergeCell ref="AG15:AG16"/>
    <mergeCell ref="AH15:AH16"/>
    <mergeCell ref="AI15:AI16"/>
    <mergeCell ref="S24:AH24"/>
    <mergeCell ref="S25:AH25"/>
    <mergeCell ref="CR7:CR8"/>
    <mergeCell ref="CS7:CS8"/>
    <mergeCell ref="CT7:CT8"/>
    <mergeCell ref="CX7:CX8"/>
    <mergeCell ref="CY7:CY8"/>
    <mergeCell ref="CZ7:CZ8"/>
    <mergeCell ref="DA7:DA8"/>
    <mergeCell ref="DE7:DE8"/>
    <mergeCell ref="DF7:DF8"/>
    <mergeCell ref="CC7:CC8"/>
    <mergeCell ref="CD7:CD8"/>
    <mergeCell ref="CE7:CE8"/>
    <mergeCell ref="CF7:CF8"/>
    <mergeCell ref="CJ7:CJ8"/>
    <mergeCell ref="CK7:CK8"/>
    <mergeCell ref="CL7:CL8"/>
    <mergeCell ref="CM7:CM8"/>
    <mergeCell ref="CQ7:CQ8"/>
    <mergeCell ref="BK7:BK8"/>
    <mergeCell ref="BO7:BO8"/>
    <mergeCell ref="BP7:BP8"/>
    <mergeCell ref="BQ7:BQ8"/>
    <mergeCell ref="BR7:BR8"/>
    <mergeCell ref="BV7:BV8"/>
    <mergeCell ref="BW7:BW8"/>
    <mergeCell ref="BX7:BX8"/>
    <mergeCell ref="BY7:BY8"/>
    <mergeCell ref="AV7:AV8"/>
    <mergeCell ref="AW7:AW8"/>
    <mergeCell ref="BA7:BA8"/>
    <mergeCell ref="BB7:BB8"/>
    <mergeCell ref="BC7:BC8"/>
    <mergeCell ref="BD7:BD8"/>
    <mergeCell ref="BH7:BH8"/>
    <mergeCell ref="BI7:BI8"/>
    <mergeCell ref="BJ7:BJ8"/>
    <mergeCell ref="AG7:AG8"/>
    <mergeCell ref="AH7:AH8"/>
    <mergeCell ref="AI7:AI8"/>
    <mergeCell ref="AM7:AM8"/>
    <mergeCell ref="AN7:AN8"/>
    <mergeCell ref="AO7:AO8"/>
    <mergeCell ref="AP7:AP8"/>
    <mergeCell ref="AT7:AT8"/>
    <mergeCell ref="AU7:AU8"/>
    <mergeCell ref="E2:E13"/>
    <mergeCell ref="V2:AB2"/>
    <mergeCell ref="AC2:DI2"/>
    <mergeCell ref="F3:F12"/>
    <mergeCell ref="V3:AB3"/>
    <mergeCell ref="AC3:DI3"/>
    <mergeCell ref="G4:G11"/>
    <mergeCell ref="V4:AB4"/>
    <mergeCell ref="AC4:DI4"/>
    <mergeCell ref="H5:H11"/>
    <mergeCell ref="I5:I10"/>
    <mergeCell ref="P5:P10"/>
    <mergeCell ref="V5:AB5"/>
    <mergeCell ref="AC5:DI5"/>
    <mergeCell ref="J6:J9"/>
    <mergeCell ref="Q6:Q9"/>
    <mergeCell ref="V6:AB6"/>
    <mergeCell ref="AC6:DI6"/>
    <mergeCell ref="K7:K8"/>
    <mergeCell ref="Y7:Y8"/>
    <mergeCell ref="Z7:Z8"/>
    <mergeCell ref="AA7:AA8"/>
    <mergeCell ref="AB7:AB8"/>
    <mergeCell ref="AF7:AF8"/>
  </mergeCells>
  <dataValidations count="4">
    <dataValidation allowBlank="1" showInputMessage="1" showErrorMessage="1" prompt="Для выбора выполните двойной щелчок левой клавиши мыши по соответствующей ячейке." sqref="Z7 AB7 AG7 AI7 AN7 AP7 AU7 AW7 BB7 BD7 BI7 BK7 BP7 BR7 BW7 BY7 CD7 CF7 CK7 CM7 CR7 CT7 CY7 DA7 DF7 DH7 AG15 AI15 Z46 AB46 AG46 AI46 AN46 AP46 AU46 AW46 BB46 BD46 BI46 BK46 BP46 BR46 BW46 BY46 CD46 CF46 CK46 CM46 CR46 CT46 CY46 DA46 DF46 DH46">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M7 AO7 AT7 AV7 BA7 BC7 BH7 BJ7 BO7 BQ7 BV7 BX7 CC7 CE7 CJ7 CL7 CQ7 CS7 CX7 CZ7 DE7 DG7 AF15 AH15 Y46 AA46 AF46 AH46 AM46 AO46 AT46 AV46 BA46 BC46 BH46 BJ46 BO46 BQ46 BV46 BX46 CC46 CE46 CJ46 CL46 CQ46 CS46 CX46 CZ46 DE46 DG46">
      <formula1>0</formula1>
      <formula2>0</formula2>
    </dataValidation>
    <dataValidation type="textLength" operator="lessThanOrEqual" allowBlank="1" showInputMessage="1" showErrorMessage="1" errorTitle="Ошибка" error="Допускается ввод не более 900 символов!" sqref="AC5:AI5 DI5 T7 AC44:AI44 DI44 T46">
      <formula1>900</formula1>
      <formula2>0</formula2>
    </dataValidation>
    <dataValidation allowBlank="1" promptTitle="checkPeriodRange" sqref="X8 AE8 AL8 AS8 AZ8 BG8 BN8 BU8 CB8 CI8 CP8 CW8 DD8 AE16 X47 AE47 AL47 AS47 AZ47 BG47 BN47 BU47 CB47 CI47 CP47 CW47 DD47">
      <formula1>0</formula1>
      <formula2>0</formula2>
    </dataValidation>
  </dataValidations>
  <pageMargins left="0.7" right="0.7" top="0.625" bottom="0.625" header="0.3" footer="0.3"/>
  <pageSetup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P57"/>
  <sheetViews>
    <sheetView showGridLines="0" topLeftCell="P23"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4.140625" style="49" hidden="1" customWidth="1"/>
    <col min="10" max="10" width="9.85546875" style="49" hidden="1" customWidth="1"/>
    <col min="11" max="11" width="14.7109375" style="49" hidden="1" customWidth="1"/>
    <col min="12" max="12" width="19.140625" style="107" hidden="1" customWidth="1"/>
    <col min="13" max="14" width="12.28515625" style="57" hidden="1" customWidth="1"/>
    <col min="15" max="15" width="23.42578125" style="57" hidden="1" customWidth="1"/>
    <col min="16" max="16" width="3.7109375" style="56" customWidth="1"/>
    <col min="17" max="18" width="3.7109375" style="389" customWidth="1"/>
    <col min="19" max="19" width="12.7109375" style="254" customWidth="1"/>
    <col min="20" max="20" width="35.7109375" style="46" customWidth="1"/>
    <col min="21" max="21" width="0.140625" style="46" customWidth="1"/>
    <col min="22" max="24" width="24.7109375" style="46" hidden="1" customWidth="1"/>
    <col min="25" max="25" width="11.7109375" style="46" hidden="1" customWidth="1"/>
    <col min="26" max="26" width="3.7109375" style="46" hidden="1" customWidth="1"/>
    <col min="27" max="27" width="11.7109375" style="46" hidden="1" customWidth="1"/>
    <col min="28" max="28" width="8.5703125" style="46" hidden="1" customWidth="1"/>
    <col min="29" max="31" width="24.7109375" style="46" customWidth="1"/>
    <col min="32" max="32" width="11.7109375" style="46" customWidth="1"/>
    <col min="33" max="33" width="3.7109375" style="46" customWidth="1"/>
    <col min="34" max="34" width="11.7109375" style="46" customWidth="1"/>
    <col min="35" max="35" width="8.5703125" style="46" hidden="1" customWidth="1"/>
    <col min="36" max="36" width="4.7109375" style="46" customWidth="1"/>
    <col min="37" max="37" width="115.7109375" style="46" customWidth="1"/>
    <col min="38" max="39" width="10.5703125" style="53"/>
    <col min="40" max="40" width="11.140625" style="53" customWidth="1"/>
    <col min="41" max="42" width="10.5703125" style="53"/>
  </cols>
  <sheetData>
    <row r="1" spans="1:42" ht="14.25" hidden="1" customHeight="1"/>
    <row r="2" spans="1:42" ht="23.25"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t="e">
        <f>INDEX(PT_DIFFERENTIATION_NTAR,MATCH(A2,PT_DIFFERENTIATION_NTAR_ID,0))</f>
        <v>#N/A</v>
      </c>
      <c r="AD2" s="1154"/>
      <c r="AE2" s="1154"/>
      <c r="AF2" s="1154"/>
      <c r="AG2" s="1154"/>
      <c r="AH2" s="1154"/>
      <c r="AI2" s="1154"/>
      <c r="AJ2" s="1154"/>
      <c r="AK2"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t="shared" ref="AN2:AN13" si="0">IF(T2="","",T2)</f>
        <v>Наименование тарифа</v>
      </c>
      <c r="AO2" s="121"/>
      <c r="AP2" s="121"/>
    </row>
    <row r="3" spans="1:42" ht="23.25"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t="e">
        <f>INDEX(PT_DIFFERENTIATION_TER,MATCH(B3,PT_DIFFERENTIATION_TER_ID,0))</f>
        <v>#N/A</v>
      </c>
      <c r="AD3" s="1154"/>
      <c r="AE3" s="1154"/>
      <c r="AF3" s="1154"/>
      <c r="AG3" s="1154"/>
      <c r="AH3" s="1154"/>
      <c r="AI3" s="1154"/>
      <c r="AJ3" s="1154"/>
      <c r="AK3" s="397" t="s">
        <v>387</v>
      </c>
      <c r="AM3" s="121"/>
      <c r="AN3" s="121" t="str">
        <f t="shared" si="0"/>
        <v>Территория действия тарифа</v>
      </c>
      <c r="AO3" s="121"/>
      <c r="AP3" s="121"/>
    </row>
    <row r="4" spans="1:42"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500</v>
      </c>
      <c r="U4" s="396"/>
      <c r="V4" s="1154"/>
      <c r="W4" s="1154"/>
      <c r="X4" s="1154"/>
      <c r="Y4" s="1154"/>
      <c r="Z4" s="1154"/>
      <c r="AA4" s="1154"/>
      <c r="AB4" s="1154"/>
      <c r="AC4" s="1154" t="e">
        <f>INDEX(PT_DIFFERENTIATION_CS,MATCH(C4,PT_DIFFERENTIATION_CS_ID,0))</f>
        <v>#N/A</v>
      </c>
      <c r="AD4" s="1154"/>
      <c r="AE4" s="1154"/>
      <c r="AF4" s="1154"/>
      <c r="AG4" s="1154"/>
      <c r="AH4" s="1154"/>
      <c r="AI4" s="1154"/>
      <c r="AJ4" s="1154"/>
      <c r="AK4" s="397" t="s">
        <v>501</v>
      </c>
      <c r="AM4" s="121"/>
      <c r="AN4" s="121" t="str">
        <f t="shared" si="0"/>
        <v>Наименование централизованной системы водоотведения</v>
      </c>
      <c r="AO4" s="121"/>
      <c r="AP4" s="121"/>
    </row>
    <row r="5" spans="1:42" ht="23.25" hidden="1" customHeight="1">
      <c r="A5" s="390"/>
      <c r="B5" s="390"/>
      <c r="C5" s="390"/>
      <c r="D5" s="390"/>
      <c r="E5" s="1153"/>
      <c r="F5" s="1153"/>
      <c r="G5" s="1153"/>
      <c r="H5" s="1189"/>
      <c r="I5" s="1155" t="e">
        <f>S4&amp;".1"</f>
        <v>#N/A</v>
      </c>
      <c r="J5" s="390"/>
      <c r="K5" s="390"/>
      <c r="L5" s="391"/>
      <c r="P5" s="1156">
        <v>1</v>
      </c>
      <c r="Q5" s="124"/>
      <c r="R5" s="405"/>
      <c r="S5" s="394" t="e">
        <f>$I5</f>
        <v>#N/A</v>
      </c>
      <c r="T5" s="406" t="s">
        <v>469</v>
      </c>
      <c r="U5" s="396"/>
      <c r="V5" s="1190"/>
      <c r="W5" s="1190"/>
      <c r="X5" s="1190"/>
      <c r="Y5" s="1190"/>
      <c r="Z5" s="1190"/>
      <c r="AA5" s="1190"/>
      <c r="AB5" s="1190"/>
      <c r="AC5" s="1123"/>
      <c r="AD5" s="1123"/>
      <c r="AE5" s="1123"/>
      <c r="AF5" s="1123"/>
      <c r="AG5" s="1123"/>
      <c r="AH5" s="1123"/>
      <c r="AI5" s="1123"/>
      <c r="AJ5" s="1123"/>
      <c r="AK5" s="397" t="s">
        <v>470</v>
      </c>
      <c r="AM5" s="121"/>
      <c r="AN5" s="121" t="str">
        <f t="shared" si="0"/>
        <v>Наименование признака дифференциации</v>
      </c>
      <c r="AO5" s="121"/>
      <c r="AP5" s="121"/>
    </row>
    <row r="6" spans="1:42" ht="23.25" hidden="1" customHeight="1">
      <c r="A6" s="390"/>
      <c r="B6" s="390"/>
      <c r="C6" s="390"/>
      <c r="D6" s="390"/>
      <c r="E6" s="1153"/>
      <c r="F6" s="1153"/>
      <c r="G6" s="1153"/>
      <c r="H6" s="1153"/>
      <c r="I6" s="1155"/>
      <c r="J6" s="1155" t="e">
        <f>I5&amp;".1"</f>
        <v>#N/A</v>
      </c>
      <c r="K6" s="390"/>
      <c r="L6" s="391" t="s">
        <v>395</v>
      </c>
      <c r="P6" s="1156"/>
      <c r="Q6" s="1156">
        <v>1</v>
      </c>
      <c r="R6" s="408"/>
      <c r="S6" s="394" t="e">
        <f>$J6</f>
        <v>#N/A</v>
      </c>
      <c r="T6" s="409" t="s">
        <v>396</v>
      </c>
      <c r="U6" s="396"/>
      <c r="V6" s="1157"/>
      <c r="W6" s="1157"/>
      <c r="X6" s="1157"/>
      <c r="Y6" s="1157"/>
      <c r="Z6" s="1157"/>
      <c r="AA6" s="1157"/>
      <c r="AB6" s="1157"/>
      <c r="AC6" s="1157"/>
      <c r="AD6" s="1157"/>
      <c r="AE6" s="1157"/>
      <c r="AF6" s="1157"/>
      <c r="AG6" s="1157"/>
      <c r="AH6" s="1157"/>
      <c r="AI6" s="1157"/>
      <c r="AJ6" s="1157"/>
      <c r="AK6" s="471" t="s">
        <v>471</v>
      </c>
      <c r="AM6" s="121"/>
      <c r="AN6" s="121" t="str">
        <f t="shared" si="0"/>
        <v>Группа потребителей</v>
      </c>
      <c r="AO6" s="121"/>
      <c r="AP6" s="121"/>
    </row>
    <row r="7" spans="1:42" ht="23.25" hidden="1" customHeight="1">
      <c r="A7" s="390"/>
      <c r="B7" s="390"/>
      <c r="C7" s="390"/>
      <c r="D7" s="390"/>
      <c r="E7" s="1153"/>
      <c r="F7" s="1153"/>
      <c r="G7" s="1153"/>
      <c r="H7" s="1153"/>
      <c r="I7" s="1155"/>
      <c r="J7" s="1155"/>
      <c r="K7" s="1155" t="e">
        <f>J6&amp;".1"</f>
        <v>#N/A</v>
      </c>
      <c r="L7" s="391"/>
      <c r="P7" s="1156"/>
      <c r="Q7" s="1156"/>
      <c r="R7" s="408">
        <v>1</v>
      </c>
      <c r="S7" s="394" t="e">
        <f>$K7</f>
        <v>#N/A</v>
      </c>
      <c r="T7" s="517"/>
      <c r="U7" s="396"/>
      <c r="V7" s="411"/>
      <c r="W7" s="411"/>
      <c r="X7" s="413"/>
      <c r="Y7" s="1158"/>
      <c r="Z7" s="1105" t="s">
        <v>63</v>
      </c>
      <c r="AA7" s="1158"/>
      <c r="AB7" s="1105" t="s">
        <v>63</v>
      </c>
      <c r="AC7" s="411"/>
      <c r="AD7" s="411"/>
      <c r="AE7" s="413"/>
      <c r="AF7" s="1158"/>
      <c r="AG7" s="1105" t="s">
        <v>63</v>
      </c>
      <c r="AH7" s="1158"/>
      <c r="AI7" s="1105" t="s">
        <v>63</v>
      </c>
      <c r="AJ7" s="518"/>
      <c r="AK7"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 t="e">
        <f ca="1">strcheckdate(V8:AJ8)</f>
        <v>#NAME?</v>
      </c>
      <c r="AM7" s="121"/>
      <c r="AN7" s="121" t="str">
        <f t="shared" si="0"/>
        <v/>
      </c>
      <c r="AO7" s="121"/>
      <c r="AP7" s="121"/>
    </row>
    <row r="8" spans="1:42" ht="14.25" hidden="1" customHeight="1">
      <c r="A8" s="390"/>
      <c r="B8" s="390"/>
      <c r="C8" s="390"/>
      <c r="D8" s="390"/>
      <c r="E8" s="1153"/>
      <c r="F8" s="1153"/>
      <c r="G8" s="1153"/>
      <c r="H8" s="1153"/>
      <c r="I8" s="1155"/>
      <c r="J8" s="1155"/>
      <c r="K8" s="1155"/>
      <c r="L8" s="391"/>
      <c r="P8" s="1156"/>
      <c r="Q8" s="1156"/>
      <c r="R8" s="408"/>
      <c r="S8" s="370"/>
      <c r="T8" s="396"/>
      <c r="U8" s="396"/>
      <c r="V8" s="412"/>
      <c r="W8" s="412"/>
      <c r="X8" s="415" t="str">
        <f>Y7&amp;"-"&amp;AA7</f>
        <v>-</v>
      </c>
      <c r="Y8" s="1158"/>
      <c r="Z8" s="1105"/>
      <c r="AA8" s="1158"/>
      <c r="AB8" s="1105"/>
      <c r="AC8" s="412"/>
      <c r="AD8" s="412"/>
      <c r="AE8" s="415" t="str">
        <f>AF7&amp;"-"&amp;AH7</f>
        <v>-</v>
      </c>
      <c r="AF8" s="1158"/>
      <c r="AG8" s="1105"/>
      <c r="AH8" s="1158"/>
      <c r="AI8" s="1105"/>
      <c r="AJ8" s="519"/>
      <c r="AK8" s="1191"/>
      <c r="AM8" s="121"/>
      <c r="AN8" s="121" t="str">
        <f t="shared" si="0"/>
        <v/>
      </c>
      <c r="AO8" s="121"/>
      <c r="AP8" s="121"/>
    </row>
    <row r="9" spans="1:42" ht="21" hidden="1" customHeight="1">
      <c r="A9" s="390"/>
      <c r="B9" s="390"/>
      <c r="C9" s="390"/>
      <c r="D9" s="390"/>
      <c r="E9" s="1153"/>
      <c r="F9" s="1153"/>
      <c r="G9" s="1153"/>
      <c r="H9" s="1153"/>
      <c r="I9" s="1155"/>
      <c r="J9" s="1155"/>
      <c r="K9" s="390"/>
      <c r="L9" s="391"/>
      <c r="P9" s="1156"/>
      <c r="Q9" s="1156"/>
      <c r="R9" s="405"/>
      <c r="S9" s="416"/>
      <c r="T9" s="419" t="s">
        <v>472</v>
      </c>
      <c r="U9" s="186"/>
      <c r="V9" s="186"/>
      <c r="W9" s="186"/>
      <c r="X9" s="186"/>
      <c r="Y9" s="186"/>
      <c r="Z9" s="186"/>
      <c r="AA9" s="186"/>
      <c r="AB9" s="186"/>
      <c r="AC9" s="186"/>
      <c r="AD9" s="186"/>
      <c r="AE9" s="186"/>
      <c r="AF9" s="186"/>
      <c r="AG9" s="186"/>
      <c r="AH9" s="186"/>
      <c r="AI9" s="186"/>
      <c r="AJ9" s="186"/>
      <c r="AK9" s="397" t="s">
        <v>473</v>
      </c>
      <c r="AM9" s="121"/>
      <c r="AN9" s="121" t="str">
        <f t="shared" si="0"/>
        <v>Добавить значение признака дифференциации</v>
      </c>
      <c r="AO9" s="121"/>
      <c r="AP9" s="121"/>
    </row>
    <row r="10" spans="1:42" ht="21" hidden="1" customHeight="1">
      <c r="A10" s="390"/>
      <c r="B10" s="390"/>
      <c r="C10" s="390"/>
      <c r="D10" s="390"/>
      <c r="E10" s="1153"/>
      <c r="F10" s="1153"/>
      <c r="G10" s="1153"/>
      <c r="H10" s="1153"/>
      <c r="I10" s="1155"/>
      <c r="J10" s="390"/>
      <c r="K10" s="390"/>
      <c r="L10" s="391"/>
      <c r="P10" s="1156"/>
      <c r="Q10" s="124"/>
      <c r="R10" s="405"/>
      <c r="S10" s="416"/>
      <c r="T10" s="423" t="s">
        <v>401</v>
      </c>
      <c r="U10" s="186"/>
      <c r="V10" s="186"/>
      <c r="W10" s="186"/>
      <c r="X10" s="186"/>
      <c r="Y10" s="186"/>
      <c r="Z10" s="186"/>
      <c r="AA10" s="186"/>
      <c r="AB10" s="420"/>
      <c r="AC10" s="186"/>
      <c r="AD10" s="186"/>
      <c r="AE10" s="186"/>
      <c r="AF10" s="186"/>
      <c r="AG10" s="186"/>
      <c r="AH10" s="186"/>
      <c r="AI10" s="420"/>
      <c r="AJ10" s="186"/>
      <c r="AK10" s="520"/>
      <c r="AM10" s="121"/>
      <c r="AN10" s="121" t="str">
        <f t="shared" si="0"/>
        <v>Добавить группу потребителей</v>
      </c>
      <c r="AO10" s="121"/>
      <c r="AP10" s="121"/>
    </row>
    <row r="11" spans="1:42" ht="21" hidden="1" customHeight="1">
      <c r="A11" s="390"/>
      <c r="B11" s="390"/>
      <c r="C11" s="390"/>
      <c r="D11" s="390"/>
      <c r="E11" s="1153"/>
      <c r="F11" s="1153"/>
      <c r="G11" s="1153"/>
      <c r="H11" s="1189"/>
      <c r="I11" s="390"/>
      <c r="J11" s="390"/>
      <c r="K11" s="390"/>
      <c r="L11" s="391"/>
      <c r="M11" s="392"/>
      <c r="N11" s="392"/>
      <c r="O11" s="49"/>
      <c r="P11" s="134"/>
      <c r="Q11" s="422"/>
      <c r="R11" s="393"/>
      <c r="S11" s="416"/>
      <c r="T11" s="521" t="s">
        <v>474</v>
      </c>
      <c r="U11" s="186"/>
      <c r="V11" s="186"/>
      <c r="W11" s="186"/>
      <c r="X11" s="186"/>
      <c r="Y11" s="186"/>
      <c r="Z11" s="186"/>
      <c r="AA11" s="186"/>
      <c r="AB11" s="420"/>
      <c r="AC11" s="186"/>
      <c r="AD11" s="186"/>
      <c r="AE11" s="186"/>
      <c r="AF11" s="186"/>
      <c r="AG11" s="186"/>
      <c r="AH11" s="186"/>
      <c r="AI11" s="420"/>
      <c r="AJ11" s="186"/>
      <c r="AK11" s="421"/>
      <c r="AM11" s="121"/>
      <c r="AN11" s="121" t="str">
        <f t="shared" si="0"/>
        <v>Добавить наименование признака дифференциации</v>
      </c>
      <c r="AO11" s="121"/>
      <c r="AP11" s="121"/>
    </row>
    <row r="12" spans="1:42" s="53" customFormat="1" ht="14.25" hidden="1" customHeight="1">
      <c r="A12" s="125"/>
      <c r="B12" s="125"/>
      <c r="C12" s="125"/>
      <c r="D12" s="125"/>
      <c r="E12" s="1153"/>
      <c r="F12" s="1153"/>
      <c r="G12" s="125"/>
      <c r="H12" s="125"/>
      <c r="I12" s="125"/>
      <c r="J12" s="125"/>
      <c r="K12" s="125"/>
      <c r="L12" s="184"/>
      <c r="M12" s="428"/>
      <c r="N12" s="428"/>
      <c r="P12" s="158"/>
      <c r="Q12" s="424"/>
      <c r="R12" s="158"/>
      <c r="S12" s="429"/>
      <c r="T12" s="432" t="s">
        <v>253</v>
      </c>
      <c r="U12" s="431"/>
      <c r="V12" s="431"/>
      <c r="W12" s="431"/>
      <c r="X12" s="431"/>
      <c r="Y12" s="431"/>
      <c r="Z12" s="431"/>
      <c r="AA12" s="431"/>
      <c r="AB12" s="431"/>
      <c r="AC12" s="431"/>
      <c r="AD12" s="431"/>
      <c r="AE12" s="431"/>
      <c r="AF12" s="431"/>
      <c r="AG12" s="431"/>
      <c r="AH12" s="431"/>
      <c r="AI12" s="431"/>
      <c r="AJ12" s="431"/>
      <c r="AK12" s="431"/>
      <c r="AM12" s="121"/>
      <c r="AN12" s="121" t="str">
        <f t="shared" si="0"/>
        <v>Добавить централизованную систему для дифференциации</v>
      </c>
      <c r="AO12" s="121"/>
      <c r="AP12" s="121"/>
    </row>
    <row r="13" spans="1:42" s="53" customFormat="1" ht="14.25" hidden="1" customHeight="1">
      <c r="A13" s="125"/>
      <c r="B13" s="125"/>
      <c r="C13" s="125"/>
      <c r="D13" s="125"/>
      <c r="E13" s="1153"/>
      <c r="F13" s="125"/>
      <c r="G13" s="125"/>
      <c r="H13" s="125"/>
      <c r="I13" s="125"/>
      <c r="J13" s="125"/>
      <c r="K13" s="125"/>
      <c r="L13" s="184"/>
      <c r="M13" s="428"/>
      <c r="N13" s="428"/>
      <c r="P13" s="158"/>
      <c r="Q13" s="424"/>
      <c r="R13" s="158"/>
      <c r="S13" s="429"/>
      <c r="T13" s="432" t="s">
        <v>254</v>
      </c>
      <c r="U13" s="431"/>
      <c r="V13" s="431"/>
      <c r="W13" s="431"/>
      <c r="X13" s="431"/>
      <c r="Y13" s="431"/>
      <c r="Z13" s="431"/>
      <c r="AA13" s="431"/>
      <c r="AB13" s="431"/>
      <c r="AC13" s="431"/>
      <c r="AD13" s="431"/>
      <c r="AE13" s="431"/>
      <c r="AF13" s="431"/>
      <c r="AG13" s="431"/>
      <c r="AH13" s="431"/>
      <c r="AI13" s="431"/>
      <c r="AJ13" s="431"/>
      <c r="AK13" s="431"/>
      <c r="AM13" s="121"/>
      <c r="AN13" s="121" t="str">
        <f t="shared" si="0"/>
        <v>Добавить территорию для дифференциации</v>
      </c>
      <c r="AO13" s="121"/>
      <c r="AP13" s="121"/>
    </row>
    <row r="14" spans="1:42" ht="14.25" hidden="1" customHeight="1"/>
    <row r="15" spans="1:42" ht="14.25" hidden="1" customHeight="1">
      <c r="AC15" s="433"/>
      <c r="AD15" s="433"/>
      <c r="AE15" s="434"/>
      <c r="AF15" s="1160"/>
      <c r="AG15" s="1161" t="s">
        <v>63</v>
      </c>
      <c r="AH15" s="1160"/>
      <c r="AI15" s="1161" t="s">
        <v>63</v>
      </c>
    </row>
    <row r="16" spans="1:42" ht="14.25" hidden="1" customHeight="1">
      <c r="AC16" s="433"/>
      <c r="AD16" s="433"/>
      <c r="AE16" s="415" t="str">
        <f>AF15&amp;"-"&amp;AH15</f>
        <v>-</v>
      </c>
      <c r="AF16" s="1160"/>
      <c r="AG16" s="1160"/>
      <c r="AH16" s="1160"/>
      <c r="AI16" s="1160"/>
    </row>
    <row r="17" spans="1:42" ht="14.25" hidden="1" customHeight="1"/>
    <row r="18" spans="1:42" s="49" customFormat="1" ht="22.5" hidden="1" customHeight="1">
      <c r="L18" s="107"/>
      <c r="M18" s="57"/>
      <c r="N18" s="57"/>
      <c r="O18" s="435" t="s">
        <v>404</v>
      </c>
      <c r="P18" s="57"/>
      <c r="Q18" s="436"/>
      <c r="R18" s="436"/>
      <c r="S18" s="392"/>
      <c r="Y18" s="435"/>
      <c r="AA18" s="435"/>
      <c r="AF18" s="435"/>
      <c r="AH18" s="435"/>
      <c r="AL18" s="53"/>
      <c r="AM18" s="53"/>
      <c r="AN18" s="53"/>
      <c r="AO18" s="53"/>
      <c r="AP18" s="53"/>
    </row>
    <row r="19" spans="1:42" s="49" customFormat="1" ht="14.25" hidden="1" customHeight="1">
      <c r="L19" s="107"/>
      <c r="M19" s="57"/>
      <c r="N19" s="57"/>
      <c r="O19" s="57"/>
      <c r="P19" s="57"/>
      <c r="Q19" s="436"/>
      <c r="R19" s="436"/>
      <c r="S19" s="392"/>
      <c r="AL19" s="53"/>
      <c r="AM19" s="53"/>
      <c r="AN19" s="53"/>
      <c r="AO19" s="53"/>
      <c r="AP19" s="53"/>
    </row>
    <row r="20" spans="1:42" s="49" customFormat="1" ht="12" hidden="1" customHeight="1">
      <c r="L20" s="107"/>
      <c r="M20" s="57"/>
      <c r="N20" s="57"/>
      <c r="O20" s="391" t="s">
        <v>405</v>
      </c>
      <c r="P20" s="57"/>
      <c r="Q20" s="522"/>
      <c r="R20" s="522"/>
      <c r="S20" s="392"/>
      <c r="T20" s="49" t="s">
        <v>406</v>
      </c>
      <c r="Z20" s="142" t="s">
        <v>407</v>
      </c>
      <c r="AB20" s="142" t="s">
        <v>408</v>
      </c>
      <c r="AC20" s="49" t="s">
        <v>406</v>
      </c>
      <c r="AG20" s="142" t="s">
        <v>409</v>
      </c>
      <c r="AI20" s="142" t="s">
        <v>408</v>
      </c>
    </row>
    <row r="21" spans="1:42" ht="14.25" hidden="1" customHeight="1">
      <c r="O21" s="391"/>
    </row>
    <row r="22" spans="1:42" ht="14.25" hidden="1" customHeight="1">
      <c r="O22" s="391"/>
    </row>
    <row r="23" spans="1:42" ht="14.25" customHeight="1">
      <c r="Q23" s="437"/>
      <c r="R23" s="437"/>
      <c r="S23" s="438"/>
      <c r="T23" s="83"/>
      <c r="U23" s="83"/>
    </row>
    <row r="24" spans="1:42" ht="14.25" customHeight="1">
      <c r="Q24" s="437"/>
      <c r="R24" s="437"/>
      <c r="S24" s="110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106"/>
      <c r="U24" s="1106"/>
      <c r="V24" s="1106"/>
      <c r="W24" s="1106"/>
      <c r="X24" s="1106"/>
      <c r="Y24" s="1106"/>
      <c r="Z24" s="1106"/>
      <c r="AA24" s="1106"/>
      <c r="AB24" s="1106"/>
      <c r="AC24" s="1106"/>
      <c r="AD24" s="1106"/>
      <c r="AE24" s="1106"/>
      <c r="AF24" s="1106"/>
      <c r="AG24" s="1106"/>
      <c r="AH24" s="1106"/>
      <c r="AI24" s="201"/>
    </row>
    <row r="25" spans="1:42" ht="14.25" customHeight="1">
      <c r="Q25" s="437"/>
      <c r="R25" s="437"/>
      <c r="S25" s="1127" t="str">
        <f>IF(org=0,"Не определено",org)</f>
        <v>Филиал ПАО "ОГК-2" - Серовская ГРЭС, г. Серов</v>
      </c>
      <c r="T25" s="1127"/>
      <c r="U25" s="1127"/>
      <c r="V25" s="1127"/>
      <c r="W25" s="1127"/>
      <c r="X25" s="1127"/>
      <c r="Y25" s="1127"/>
      <c r="Z25" s="1127"/>
      <c r="AA25" s="1127"/>
      <c r="AB25" s="1127"/>
      <c r="AC25" s="1127"/>
      <c r="AD25" s="1127"/>
      <c r="AE25" s="1127"/>
      <c r="AF25" s="1127"/>
      <c r="AG25" s="1127"/>
      <c r="AH25" s="1127"/>
      <c r="AI25" s="201"/>
    </row>
    <row r="26" spans="1:42" ht="14.25" customHeight="1">
      <c r="Q26" s="437"/>
      <c r="R26" s="437"/>
      <c r="S26" s="438"/>
      <c r="T26" s="83"/>
      <c r="U26" s="83"/>
      <c r="V26" s="439"/>
      <c r="W26" s="439"/>
      <c r="X26" s="439"/>
      <c r="Y26" s="439"/>
      <c r="Z26" s="439"/>
      <c r="AA26" s="439"/>
      <c r="AB26" s="439"/>
      <c r="AC26" s="439"/>
      <c r="AD26" s="439"/>
      <c r="AE26" s="439"/>
      <c r="AF26" s="439"/>
      <c r="AG26" s="439"/>
      <c r="AH26" s="439"/>
      <c r="AI26" s="439"/>
    </row>
    <row r="27" spans="1:42" s="174" customFormat="1" ht="25.5" customHeight="1">
      <c r="A27" s="142"/>
      <c r="B27" s="142"/>
      <c r="C27" s="142"/>
      <c r="D27" s="142"/>
      <c r="E27" s="142"/>
      <c r="F27" s="142"/>
      <c r="G27" s="142"/>
      <c r="H27" s="142"/>
      <c r="I27" s="142"/>
      <c r="J27" s="142"/>
      <c r="K27" s="142"/>
      <c r="L27" s="391"/>
      <c r="M27" s="142"/>
      <c r="N27" s="142"/>
      <c r="O27" s="142"/>
      <c r="S27" s="1162" t="s">
        <v>37</v>
      </c>
      <c r="T27" s="1162"/>
      <c r="U27" s="441"/>
      <c r="V27" s="1163" t="str">
        <f>IF(TITLE_NAME_OR_PR_CHANGE="",IF(TITLE_NAME_OR_PR="","",TITLE_NAME_OR_PR),TITLE_NAME_OR_PR_CHANGE)</f>
        <v>Региональная энергетическая комиссия Свердловской области</v>
      </c>
      <c r="W27" s="1163"/>
      <c r="X27" s="1163"/>
      <c r="Y27" s="1163"/>
      <c r="Z27" s="1163"/>
      <c r="AA27" s="1163"/>
      <c r="AB27" s="46"/>
      <c r="AC27" s="1163" t="str">
        <f>IF(TITLE_NAME_OR_PR_CHANGE="",IF(TITLE_NAME_OR_PR="","",TITLE_NAME_OR_PR),TITLE_NAME_OR_PR_CHANGE)</f>
        <v>Региональная энергетическая комиссия Свердловской области</v>
      </c>
      <c r="AD27" s="1163"/>
      <c r="AE27" s="1163"/>
      <c r="AF27" s="1163"/>
      <c r="AG27" s="1163"/>
      <c r="AH27" s="1163"/>
      <c r="AI27" s="46"/>
      <c r="AJ27" s="46"/>
      <c r="AK27" s="442"/>
      <c r="AL27" s="121"/>
      <c r="AM27" s="121"/>
      <c r="AN27" s="121"/>
      <c r="AO27" s="121"/>
      <c r="AP27" s="121"/>
    </row>
    <row r="28" spans="1:42" s="174" customFormat="1" ht="18.75" customHeight="1">
      <c r="A28" s="142"/>
      <c r="B28" s="142"/>
      <c r="C28" s="142"/>
      <c r="D28" s="142"/>
      <c r="E28" s="142"/>
      <c r="F28" s="142"/>
      <c r="G28" s="142"/>
      <c r="H28" s="142"/>
      <c r="I28" s="142"/>
      <c r="J28" s="142"/>
      <c r="K28" s="142"/>
      <c r="L28" s="391"/>
      <c r="M28" s="142"/>
      <c r="N28" s="142"/>
      <c r="O28" s="142"/>
      <c r="S28" s="1162" t="s">
        <v>410</v>
      </c>
      <c r="T28" s="1162"/>
      <c r="U28" s="441"/>
      <c r="V28" s="1164">
        <f>IF(TITLE_DATE_PR_CHANGE="",IF(TITLE_DATE_PR="","",TITLE_DATE_PR),TITLE_DATE_PR_CHANGE)</f>
        <v>45266.462974536997</v>
      </c>
      <c r="W28" s="1164"/>
      <c r="X28" s="1164"/>
      <c r="Y28" s="1164"/>
      <c r="Z28" s="1164"/>
      <c r="AA28" s="1164"/>
      <c r="AB28" s="46"/>
      <c r="AC28" s="1164">
        <f>IF(TITLE_DATE_PR_CHANGE="",IF(TITLE_DATE_PR="","",TITLE_DATE_PR),TITLE_DATE_PR_CHANGE)</f>
        <v>45266.462974536997</v>
      </c>
      <c r="AD28" s="1164"/>
      <c r="AE28" s="1164"/>
      <c r="AF28" s="1164"/>
      <c r="AG28" s="1164"/>
      <c r="AH28" s="1164"/>
      <c r="AI28" s="46"/>
      <c r="AJ28" s="46"/>
      <c r="AK28" s="442"/>
      <c r="AL28" s="121"/>
      <c r="AM28" s="121"/>
      <c r="AN28" s="121"/>
      <c r="AO28" s="121"/>
      <c r="AP28" s="121"/>
    </row>
    <row r="29" spans="1:42" s="174" customFormat="1" ht="18.75" customHeight="1">
      <c r="A29" s="142"/>
      <c r="B29" s="142"/>
      <c r="C29" s="142"/>
      <c r="D29" s="142"/>
      <c r="E29" s="142"/>
      <c r="F29" s="142"/>
      <c r="G29" s="142"/>
      <c r="H29" s="142"/>
      <c r="I29" s="142"/>
      <c r="J29" s="142"/>
      <c r="K29" s="142"/>
      <c r="L29" s="391"/>
      <c r="M29" s="142"/>
      <c r="N29" s="142"/>
      <c r="O29" s="142"/>
      <c r="S29" s="1162" t="s">
        <v>411</v>
      </c>
      <c r="T29" s="1162"/>
      <c r="U29" s="441"/>
      <c r="V29" s="1163" t="str">
        <f>IF(TITLE_NUMBER_PR_CHANGE="",IF(TITLE_NUMBER_PR="","",TITLE_NUMBER_PR),TITLE_NUMBER_PR_CHANGE)</f>
        <v>216-ПК</v>
      </c>
      <c r="W29" s="1163"/>
      <c r="X29" s="1163"/>
      <c r="Y29" s="1163"/>
      <c r="Z29" s="1163"/>
      <c r="AA29" s="1163"/>
      <c r="AB29" s="46"/>
      <c r="AC29" s="1163" t="str">
        <f>IF(TITLE_NUMBER_PR_CHANGE="",IF(TITLE_NUMBER_PR="","",TITLE_NUMBER_PR),TITLE_NUMBER_PR_CHANGE)</f>
        <v>216-ПК</v>
      </c>
      <c r="AD29" s="1163"/>
      <c r="AE29" s="1163"/>
      <c r="AF29" s="1163"/>
      <c r="AG29" s="1163"/>
      <c r="AH29" s="1163"/>
      <c r="AI29" s="46"/>
      <c r="AJ29" s="46"/>
      <c r="AK29" s="442"/>
      <c r="AL29" s="121"/>
      <c r="AM29" s="121"/>
      <c r="AN29" s="121"/>
      <c r="AO29" s="121"/>
      <c r="AP29" s="121"/>
    </row>
    <row r="30" spans="1:42" s="174" customFormat="1" ht="18.75" customHeight="1">
      <c r="A30" s="142"/>
      <c r="B30" s="142"/>
      <c r="C30" s="142"/>
      <c r="D30" s="142"/>
      <c r="E30" s="142"/>
      <c r="F30" s="142"/>
      <c r="G30" s="142"/>
      <c r="H30" s="142"/>
      <c r="I30" s="142"/>
      <c r="J30" s="142"/>
      <c r="K30" s="142"/>
      <c r="L30" s="391"/>
      <c r="M30" s="142"/>
      <c r="N30" s="142"/>
      <c r="O30" s="142"/>
      <c r="S30" s="1162" t="s">
        <v>39</v>
      </c>
      <c r="T30" s="1162"/>
      <c r="U30" s="441"/>
      <c r="V30" s="1163" t="str">
        <f>IF(TITLE_IST_PUB_CHANGE="",IF(TITLE_IST_PUB="","",TITLE_IST_PUB),TITLE_IST_PUB_CHANGE)</f>
        <v>Региональная энергетическая комиссия Свердловской области</v>
      </c>
      <c r="W30" s="1163"/>
      <c r="X30" s="1163"/>
      <c r="Y30" s="1163"/>
      <c r="Z30" s="1163"/>
      <c r="AA30" s="1163"/>
      <c r="AB30" s="46"/>
      <c r="AC30" s="1163" t="str">
        <f>IF(TITLE_IST_PUB_CHANGE="",IF(TITLE_IST_PUB="","",TITLE_IST_PUB),TITLE_IST_PUB_CHANGE)</f>
        <v>Региональная энергетическая комиссия Свердловской области</v>
      </c>
      <c r="AD30" s="1163"/>
      <c r="AE30" s="1163"/>
      <c r="AF30" s="1163"/>
      <c r="AG30" s="1163"/>
      <c r="AH30" s="1163"/>
      <c r="AI30" s="46"/>
      <c r="AJ30" s="46"/>
      <c r="AK30" s="442"/>
      <c r="AL30" s="121"/>
      <c r="AM30" s="121"/>
      <c r="AN30" s="121"/>
      <c r="AO30" s="121"/>
      <c r="AP30" s="121"/>
    </row>
    <row r="31" spans="1:42" ht="14.25" hidden="1" customHeight="1">
      <c r="Q31" s="437"/>
      <c r="R31" s="437"/>
      <c r="S31" s="438"/>
      <c r="T31" s="83"/>
      <c r="U31" s="83"/>
      <c r="V31" s="439"/>
      <c r="W31" s="439"/>
      <c r="X31" s="439"/>
      <c r="Y31" s="439"/>
      <c r="Z31" s="439"/>
      <c r="AA31" s="439"/>
      <c r="AB31" s="439"/>
      <c r="AC31" s="439"/>
      <c r="AD31" s="439"/>
      <c r="AE31" s="439"/>
      <c r="AF31" s="439"/>
      <c r="AG31" s="439"/>
      <c r="AH31" s="439"/>
      <c r="AI31" s="439"/>
    </row>
    <row r="32" spans="1:42" s="174" customFormat="1" ht="18.75" hidden="1" customHeight="1">
      <c r="A32" s="142"/>
      <c r="B32" s="142"/>
      <c r="C32" s="142"/>
      <c r="D32" s="142"/>
      <c r="E32" s="142"/>
      <c r="F32" s="142"/>
      <c r="G32" s="142"/>
      <c r="H32" s="142"/>
      <c r="I32" s="142"/>
      <c r="J32" s="142"/>
      <c r="K32" s="142"/>
      <c r="L32" s="391"/>
      <c r="M32" s="142"/>
      <c r="N32" s="142"/>
      <c r="O32" s="142"/>
      <c r="S32" s="1162" t="s">
        <v>412</v>
      </c>
      <c r="T32" s="1162"/>
      <c r="U32" s="441"/>
      <c r="V32" s="1164">
        <f>IF(TITLE_DATE_PR_CHANGE="",IF(TITLE_DATE_PR="","",TITLE_DATE_PR),TITLE_DATE_PR_CHANGE)</f>
        <v>45266.462974536997</v>
      </c>
      <c r="W32" s="1164"/>
      <c r="X32" s="1164"/>
      <c r="Y32" s="1164"/>
      <c r="Z32" s="1164"/>
      <c r="AA32" s="1164"/>
      <c r="AB32" s="46"/>
      <c r="AC32" s="1164">
        <f>IF(TITLE_DATE_PR_CHANGE="",IF(TITLE_DATE_PR="","",TITLE_DATE_PR),TITLE_DATE_PR_CHANGE)</f>
        <v>45266.462974536997</v>
      </c>
      <c r="AD32" s="1164"/>
      <c r="AE32" s="1164"/>
      <c r="AF32" s="1164"/>
      <c r="AG32" s="1164"/>
      <c r="AH32" s="1164"/>
      <c r="AI32" s="46"/>
      <c r="AJ32" s="46"/>
      <c r="AK32" s="442"/>
      <c r="AL32" s="121"/>
      <c r="AM32" s="121"/>
      <c r="AN32" s="121"/>
      <c r="AO32" s="121"/>
      <c r="AP32" s="121"/>
    </row>
    <row r="33" spans="1:42" s="174" customFormat="1" ht="18.75" hidden="1" customHeight="1">
      <c r="A33" s="142"/>
      <c r="B33" s="142"/>
      <c r="C33" s="142"/>
      <c r="D33" s="142"/>
      <c r="E33" s="142"/>
      <c r="F33" s="142"/>
      <c r="G33" s="142"/>
      <c r="H33" s="142"/>
      <c r="I33" s="142"/>
      <c r="J33" s="142"/>
      <c r="K33" s="142"/>
      <c r="L33" s="391"/>
      <c r="M33" s="142"/>
      <c r="N33" s="142"/>
      <c r="O33" s="142"/>
      <c r="S33" s="1162" t="s">
        <v>413</v>
      </c>
      <c r="T33" s="1162"/>
      <c r="U33" s="441"/>
      <c r="V33" s="1163" t="str">
        <f>IF(TITLE_NUMBER_PR_CHANGE="",IF(TITLE_NUMBER_PR="","",TITLE_NUMBER_PR),TITLE_NUMBER_PR_CHANGE)</f>
        <v>216-ПК</v>
      </c>
      <c r="W33" s="1163"/>
      <c r="X33" s="1163"/>
      <c r="Y33" s="1163"/>
      <c r="Z33" s="1163"/>
      <c r="AA33" s="1163"/>
      <c r="AB33" s="46"/>
      <c r="AC33" s="1163" t="str">
        <f>IF(TITLE_NUMBER_PR_CHANGE="",IF(TITLE_NUMBER_PR="","",TITLE_NUMBER_PR),TITLE_NUMBER_PR_CHANGE)</f>
        <v>216-ПК</v>
      </c>
      <c r="AD33" s="1163"/>
      <c r="AE33" s="1163"/>
      <c r="AF33" s="1163"/>
      <c r="AG33" s="1163"/>
      <c r="AH33" s="1163"/>
      <c r="AI33" s="46"/>
      <c r="AJ33" s="46"/>
      <c r="AK33" s="442"/>
      <c r="AL33" s="121"/>
      <c r="AM33" s="121"/>
      <c r="AN33" s="121"/>
      <c r="AO33" s="121"/>
      <c r="AP33" s="121"/>
    </row>
    <row r="34" spans="1:42" s="174" customFormat="1" ht="0.75" customHeight="1">
      <c r="A34" s="142"/>
      <c r="B34" s="142"/>
      <c r="C34" s="142"/>
      <c r="D34" s="142"/>
      <c r="E34" s="142"/>
      <c r="F34" s="142"/>
      <c r="G34" s="142"/>
      <c r="H34" s="142"/>
      <c r="I34" s="142"/>
      <c r="J34" s="142"/>
      <c r="K34" s="142"/>
      <c r="L34" s="391"/>
      <c r="M34" s="142"/>
      <c r="N34" s="142"/>
      <c r="O34" s="142"/>
      <c r="S34" s="46"/>
      <c r="T34" s="46"/>
      <c r="U34" s="131"/>
      <c r="V34" s="46"/>
      <c r="W34" s="46"/>
      <c r="X34" s="46"/>
      <c r="Y34" s="46"/>
      <c r="Z34" s="46"/>
      <c r="AA34" s="46"/>
      <c r="AB34" s="53" t="s">
        <v>414</v>
      </c>
      <c r="AC34" s="46"/>
      <c r="AD34" s="46"/>
      <c r="AE34" s="46"/>
      <c r="AF34" s="46"/>
      <c r="AG34" s="46"/>
      <c r="AH34" s="46"/>
      <c r="AI34" s="53" t="s">
        <v>414</v>
      </c>
      <c r="AL34" s="121"/>
      <c r="AM34" s="121"/>
      <c r="AN34" s="121"/>
      <c r="AO34" s="121"/>
      <c r="AP34" s="121"/>
    </row>
    <row r="35" spans="1:42" ht="14.25" customHeight="1">
      <c r="Q35" s="437"/>
      <c r="R35" s="437"/>
      <c r="S35" s="438"/>
      <c r="T35" s="83"/>
      <c r="U35" s="443"/>
      <c r="V35" s="1165"/>
      <c r="W35" s="1165"/>
      <c r="X35" s="1165"/>
      <c r="Y35" s="1165"/>
      <c r="Z35" s="1165"/>
      <c r="AA35" s="1165"/>
      <c r="AB35" s="1165"/>
      <c r="AC35" s="1165"/>
      <c r="AD35" s="1165"/>
      <c r="AE35" s="1165"/>
      <c r="AF35" s="1165"/>
      <c r="AG35" s="1165"/>
      <c r="AH35" s="1165"/>
      <c r="AI35" s="1165"/>
    </row>
    <row r="36" spans="1:42" ht="14.25" customHeight="1">
      <c r="Q36" s="437"/>
      <c r="R36" s="437"/>
      <c r="S36" s="1087" t="s">
        <v>287</v>
      </c>
      <c r="T36" s="1087"/>
      <c r="U36" s="1087"/>
      <c r="V36" s="1087"/>
      <c r="W36" s="1087"/>
      <c r="X36" s="1087"/>
      <c r="Y36" s="1087"/>
      <c r="Z36" s="1087"/>
      <c r="AA36" s="1087"/>
      <c r="AB36" s="1087"/>
      <c r="AC36" s="1087"/>
      <c r="AD36" s="1087"/>
      <c r="AE36" s="1087"/>
      <c r="AF36" s="1087"/>
      <c r="AG36" s="1087"/>
      <c r="AH36" s="1087"/>
      <c r="AI36" s="1087"/>
      <c r="AJ36" s="1087"/>
      <c r="AK36" s="1087" t="s">
        <v>288</v>
      </c>
    </row>
    <row r="37" spans="1:42" ht="14.25" customHeight="1">
      <c r="Q37" s="437"/>
      <c r="R37" s="437"/>
      <c r="S37" s="1166" t="s">
        <v>84</v>
      </c>
      <c r="T37" s="1167" t="s">
        <v>415</v>
      </c>
      <c r="U37" s="444"/>
      <c r="V37" s="1140" t="s">
        <v>416</v>
      </c>
      <c r="W37" s="1140"/>
      <c r="X37" s="1140"/>
      <c r="Y37" s="1140"/>
      <c r="Z37" s="1140"/>
      <c r="AA37" s="1140"/>
      <c r="AB37" s="1167" t="s">
        <v>417</v>
      </c>
      <c r="AC37" s="1140" t="s">
        <v>416</v>
      </c>
      <c r="AD37" s="1140"/>
      <c r="AE37" s="1140"/>
      <c r="AF37" s="1140"/>
      <c r="AG37" s="1140"/>
      <c r="AH37" s="1140"/>
      <c r="AI37" s="1167" t="s">
        <v>418</v>
      </c>
      <c r="AJ37" s="1168" t="s">
        <v>419</v>
      </c>
      <c r="AK37" s="1087"/>
    </row>
    <row r="38" spans="1:42" ht="33.75" customHeight="1">
      <c r="Q38" s="437"/>
      <c r="R38" s="437"/>
      <c r="S38" s="1166"/>
      <c r="T38" s="1167"/>
      <c r="U38" s="445"/>
      <c r="V38" s="242" t="s">
        <v>475</v>
      </c>
      <c r="W38" s="1087" t="s">
        <v>422</v>
      </c>
      <c r="X38" s="1087"/>
      <c r="Y38" s="1087" t="s">
        <v>423</v>
      </c>
      <c r="Z38" s="1087"/>
      <c r="AA38" s="1087"/>
      <c r="AB38" s="1167"/>
      <c r="AC38" s="242" t="s">
        <v>475</v>
      </c>
      <c r="AD38" s="1087" t="s">
        <v>422</v>
      </c>
      <c r="AE38" s="1087"/>
      <c r="AF38" s="1087" t="s">
        <v>423</v>
      </c>
      <c r="AG38" s="1087"/>
      <c r="AH38" s="1087"/>
      <c r="AI38" s="1167"/>
      <c r="AJ38" s="1168"/>
      <c r="AK38" s="1087"/>
    </row>
    <row r="39" spans="1:42" ht="86.25" customHeight="1">
      <c r="A39" s="142"/>
      <c r="B39" s="142" t="s">
        <v>131</v>
      </c>
      <c r="C39" s="142" t="s">
        <v>132</v>
      </c>
      <c r="D39" s="142" t="s">
        <v>133</v>
      </c>
      <c r="E39" s="391" t="s">
        <v>424</v>
      </c>
      <c r="F39" s="391" t="s">
        <v>425</v>
      </c>
      <c r="G39" s="391" t="s">
        <v>426</v>
      </c>
      <c r="H39" s="391"/>
      <c r="I39" s="391" t="s">
        <v>476</v>
      </c>
      <c r="J39" s="391" t="s">
        <v>429</v>
      </c>
      <c r="K39" s="391" t="s">
        <v>477</v>
      </c>
      <c r="L39" s="391" t="s">
        <v>405</v>
      </c>
      <c r="Q39" s="437"/>
      <c r="R39" s="437"/>
      <c r="S39" s="1166"/>
      <c r="T39" s="1167"/>
      <c r="U39" s="446"/>
      <c r="V39" s="523" t="s">
        <v>503</v>
      </c>
      <c r="W39" s="203" t="s">
        <v>504</v>
      </c>
      <c r="X39" s="203" t="s">
        <v>480</v>
      </c>
      <c r="Y39" s="203" t="s">
        <v>433</v>
      </c>
      <c r="Z39" s="1108" t="s">
        <v>434</v>
      </c>
      <c r="AA39" s="1108"/>
      <c r="AB39" s="1167"/>
      <c r="AC39" s="523" t="s">
        <v>503</v>
      </c>
      <c r="AD39" s="203" t="s">
        <v>504</v>
      </c>
      <c r="AE39" s="203" t="s">
        <v>480</v>
      </c>
      <c r="AF39" s="203" t="s">
        <v>433</v>
      </c>
      <c r="AG39" s="1108" t="s">
        <v>434</v>
      </c>
      <c r="AH39" s="1108"/>
      <c r="AI39" s="1167"/>
      <c r="AJ39" s="1168"/>
      <c r="AK39" s="1087"/>
    </row>
    <row r="40" spans="1:42" s="123" customFormat="1" ht="11.25">
      <c r="A40" s="142"/>
      <c r="B40" s="142"/>
      <c r="C40" s="142"/>
      <c r="D40" s="142"/>
      <c r="E40" s="142"/>
      <c r="F40" s="142"/>
      <c r="G40" s="142"/>
      <c r="H40" s="142"/>
      <c r="I40" s="142"/>
      <c r="J40" s="142"/>
      <c r="K40" s="142"/>
      <c r="L40" s="391"/>
      <c r="M40" s="57"/>
      <c r="N40" s="57"/>
      <c r="O40" s="57"/>
      <c r="P40" s="447"/>
      <c r="Q40" s="448"/>
      <c r="R40" s="449">
        <v>1</v>
      </c>
      <c r="S40" s="450" t="s">
        <v>105</v>
      </c>
      <c r="T40" s="451" t="s">
        <v>106</v>
      </c>
      <c r="U40" s="452" t="str">
        <f ca="1">OFFSET(U40,0,-1)</f>
        <v>2</v>
      </c>
      <c r="V40" s="453">
        <f ca="1">OFFSET(V40,0,-1)+1</f>
        <v>3</v>
      </c>
      <c r="W40" s="453">
        <f ca="1">OFFSET(W40,0,-1)+1</f>
        <v>4</v>
      </c>
      <c r="X40" s="453">
        <f ca="1">OFFSET(X40,0,-1)+1</f>
        <v>5</v>
      </c>
      <c r="Y40" s="453">
        <f ca="1">OFFSET(Y40,0,-1)+1</f>
        <v>6</v>
      </c>
      <c r="Z40" s="1170">
        <f ca="1">OFFSET(Z40,0,-1)+1</f>
        <v>7</v>
      </c>
      <c r="AA40" s="1170"/>
      <c r="AB40" s="453">
        <f ca="1">OFFSET(AB40,0,-2)+1</f>
        <v>8</v>
      </c>
      <c r="AC40" s="453">
        <f ca="1">OFFSET(AC40,0,-1)+1</f>
        <v>9</v>
      </c>
      <c r="AD40" s="453">
        <f ca="1">OFFSET(AD40,0,-1)+1</f>
        <v>10</v>
      </c>
      <c r="AE40" s="453">
        <f ca="1">OFFSET(AE40,0,-1)+1</f>
        <v>11</v>
      </c>
      <c r="AF40" s="453">
        <f ca="1">OFFSET(AF40,0,-1)+1</f>
        <v>12</v>
      </c>
      <c r="AG40" s="1170">
        <f ca="1">OFFSET(AG40,0,-1)+1</f>
        <v>13</v>
      </c>
      <c r="AH40" s="1170"/>
      <c r="AI40" s="453">
        <f ca="1">OFFSET(AI40,0,-2)+1</f>
        <v>14</v>
      </c>
      <c r="AJ40" s="452">
        <f ca="1">OFFSET(AJ40,0,-1)</f>
        <v>14</v>
      </c>
      <c r="AK40" s="453">
        <f ca="1">OFFSET(AK40,0,-1)+1</f>
        <v>15</v>
      </c>
      <c r="AL40" s="53"/>
      <c r="AM40" s="53"/>
      <c r="AN40" s="53"/>
      <c r="AO40" s="53"/>
      <c r="AP40" s="53"/>
    </row>
    <row r="41" spans="1:42" ht="23.25" customHeight="1">
      <c r="A41" s="390" t="s">
        <v>258</v>
      </c>
      <c r="B41" s="390"/>
      <c r="C41" s="390"/>
      <c r="D41" s="390"/>
      <c r="E41" s="1153">
        <v>1</v>
      </c>
      <c r="F41" s="390"/>
      <c r="G41" s="390"/>
      <c r="H41" s="390"/>
      <c r="I41" s="390"/>
      <c r="J41" s="390"/>
      <c r="K41" s="390"/>
      <c r="L41" s="391"/>
      <c r="M41" s="392"/>
      <c r="N41" s="392"/>
      <c r="O41" s="392"/>
      <c r="Q41" s="134"/>
      <c r="R41" s="393"/>
      <c r="S41" s="394">
        <f>INDEX(PT_DIFFERENTIATION_NUM_NTAR,MATCH(A41,PT_DIFFERENTIATION_NTAR_ID,0))</f>
        <v>0</v>
      </c>
      <c r="T41" s="395" t="s">
        <v>119</v>
      </c>
      <c r="U41" s="396"/>
      <c r="V41" s="1154"/>
      <c r="W41" s="1154"/>
      <c r="X41" s="1154"/>
      <c r="Y41" s="1154"/>
      <c r="Z41" s="1154"/>
      <c r="AA41" s="1154"/>
      <c r="AB41" s="1154"/>
      <c r="AC41" s="1154" t="str">
        <f>INDEX(PT_DIFFERENTIATION_NTAR,MATCH(A41,PT_DIFFERENTIATION_NTAR_ID,0))</f>
        <v/>
      </c>
      <c r="AD41" s="1154"/>
      <c r="AE41" s="1154"/>
      <c r="AF41" s="1154"/>
      <c r="AG41" s="1154"/>
      <c r="AH41" s="1154"/>
      <c r="AI41" s="1154"/>
      <c r="AJ41" s="1154"/>
      <c r="AK41"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t="shared" ref="AN41:AN53" si="1">IF(T41="","",T41)</f>
        <v>Наименование тарифа</v>
      </c>
      <c r="AO41" s="121"/>
      <c r="AP41" s="121"/>
    </row>
    <row r="42" spans="1:42" ht="23.25" customHeight="1">
      <c r="A42" s="390" t="s">
        <v>258</v>
      </c>
      <c r="B42" s="390" t="s">
        <v>259</v>
      </c>
      <c r="C42" s="390"/>
      <c r="D42" s="390"/>
      <c r="E42" s="1153"/>
      <c r="F42" s="1153">
        <v>1</v>
      </c>
      <c r="G42" s="390"/>
      <c r="H42" s="390"/>
      <c r="I42" s="390"/>
      <c r="J42" s="390"/>
      <c r="K42" s="390"/>
      <c r="L42" s="391"/>
      <c r="M42" s="392"/>
      <c r="N42" s="392"/>
      <c r="O42" s="392"/>
      <c r="P42" s="47"/>
      <c r="Q42" s="398"/>
      <c r="R42" s="399"/>
      <c r="S42" s="394" t="str">
        <f>INDEX(PT_DIFFERENTIATION_NUM_TER,MATCH(B42,PT_DIFFERENTIATION_TER_ID,0))</f>
        <v>.</v>
      </c>
      <c r="T42" s="400" t="s">
        <v>386</v>
      </c>
      <c r="U42" s="396"/>
      <c r="V42" s="1154"/>
      <c r="W42" s="1154"/>
      <c r="X42" s="1154"/>
      <c r="Y42" s="1154"/>
      <c r="Z42" s="1154"/>
      <c r="AA42" s="1154"/>
      <c r="AB42" s="1154"/>
      <c r="AC42" s="1154" t="str">
        <f>INDEX(PT_DIFFERENTIATION_TER,MATCH(B42,PT_DIFFERENTIATION_TER_ID,0))</f>
        <v/>
      </c>
      <c r="AD42" s="1154"/>
      <c r="AE42" s="1154"/>
      <c r="AF42" s="1154"/>
      <c r="AG42" s="1154"/>
      <c r="AH42" s="1154"/>
      <c r="AI42" s="1154"/>
      <c r="AJ42" s="1154"/>
      <c r="AK42" s="397" t="s">
        <v>387</v>
      </c>
      <c r="AM42" s="121"/>
      <c r="AN42" s="121" t="str">
        <f t="shared" si="1"/>
        <v>Территория действия тарифа</v>
      </c>
      <c r="AO42" s="121"/>
      <c r="AP42" s="121"/>
    </row>
    <row r="43" spans="1:42" ht="23.25" customHeight="1">
      <c r="A43" s="390" t="s">
        <v>258</v>
      </c>
      <c r="B43" s="390" t="s">
        <v>259</v>
      </c>
      <c r="C43" s="390" t="s">
        <v>260</v>
      </c>
      <c r="D43" s="390"/>
      <c r="E43" s="1153"/>
      <c r="F43" s="1153"/>
      <c r="G43" s="1153">
        <v>1</v>
      </c>
      <c r="H43" s="390"/>
      <c r="I43" s="390"/>
      <c r="J43" s="390"/>
      <c r="K43" s="390"/>
      <c r="L43" s="391"/>
      <c r="M43" s="392"/>
      <c r="N43" s="392"/>
      <c r="O43" s="392"/>
      <c r="P43" s="401"/>
      <c r="Q43" s="398"/>
      <c r="R43" s="399"/>
      <c r="S43" s="394" t="str">
        <f>INDEX(PT_DIFFERENTIATION_NUM_CS,MATCH(C43,PT_DIFFERENTIATION_CS_ID,0))</f>
        <v>..</v>
      </c>
      <c r="T43" s="402" t="s">
        <v>500</v>
      </c>
      <c r="U43" s="396"/>
      <c r="V43" s="1154"/>
      <c r="W43" s="1154"/>
      <c r="X43" s="1154"/>
      <c r="Y43" s="1154"/>
      <c r="Z43" s="1154"/>
      <c r="AA43" s="1154"/>
      <c r="AB43" s="1154"/>
      <c r="AC43" s="1154" t="str">
        <f>INDEX(PT_DIFFERENTIATION_CS,MATCH(C43,PT_DIFFERENTIATION_CS_ID,0))</f>
        <v/>
      </c>
      <c r="AD43" s="1154"/>
      <c r="AE43" s="1154"/>
      <c r="AF43" s="1154"/>
      <c r="AG43" s="1154"/>
      <c r="AH43" s="1154"/>
      <c r="AI43" s="1154"/>
      <c r="AJ43" s="1154"/>
      <c r="AK43" s="397" t="s">
        <v>501</v>
      </c>
      <c r="AM43" s="121"/>
      <c r="AN43" s="121" t="str">
        <f t="shared" si="1"/>
        <v>Наименование централизованной системы водоотведения</v>
      </c>
      <c r="AO43" s="121"/>
      <c r="AP43" s="121"/>
    </row>
    <row r="44" spans="1:42" ht="23.25" customHeight="1">
      <c r="A44" s="390" t="s">
        <v>258</v>
      </c>
      <c r="B44" s="390" t="s">
        <v>259</v>
      </c>
      <c r="C44" s="390" t="s">
        <v>260</v>
      </c>
      <c r="D44" s="390" t="s">
        <v>507</v>
      </c>
      <c r="E44" s="1153"/>
      <c r="F44" s="1153"/>
      <c r="G44" s="1153"/>
      <c r="H44" s="1189"/>
      <c r="I44" s="1155" t="str">
        <f>S43&amp;".1"</f>
        <v>...1</v>
      </c>
      <c r="J44" s="390"/>
      <c r="K44" s="390"/>
      <c r="L44" s="391"/>
      <c r="P44" s="1156">
        <v>1</v>
      </c>
      <c r="Q44" s="124"/>
      <c r="R44" s="405"/>
      <c r="S44" s="394" t="str">
        <f>$I44</f>
        <v>...1</v>
      </c>
      <c r="T44" s="406" t="s">
        <v>469</v>
      </c>
      <c r="U44" s="396"/>
      <c r="V44" s="1190"/>
      <c r="W44" s="1190"/>
      <c r="X44" s="1190"/>
      <c r="Y44" s="1190"/>
      <c r="Z44" s="1190"/>
      <c r="AA44" s="1190"/>
      <c r="AB44" s="1190"/>
      <c r="AC44" s="1123"/>
      <c r="AD44" s="1123"/>
      <c r="AE44" s="1123"/>
      <c r="AF44" s="1123"/>
      <c r="AG44" s="1123"/>
      <c r="AH44" s="1123"/>
      <c r="AI44" s="1123"/>
      <c r="AJ44" s="1123"/>
      <c r="AK44" s="397" t="s">
        <v>470</v>
      </c>
      <c r="AM44" s="121"/>
      <c r="AN44" s="121" t="str">
        <f t="shared" si="1"/>
        <v>Наименование признака дифференциации</v>
      </c>
      <c r="AO44" s="121"/>
      <c r="AP44" s="121"/>
    </row>
    <row r="45" spans="1:42" ht="23.25" customHeight="1">
      <c r="A45" s="390" t="s">
        <v>258</v>
      </c>
      <c r="B45" s="390" t="s">
        <v>259</v>
      </c>
      <c r="C45" s="390" t="s">
        <v>260</v>
      </c>
      <c r="D45" s="390" t="s">
        <v>507</v>
      </c>
      <c r="E45" s="1153"/>
      <c r="F45" s="1153"/>
      <c r="G45" s="1153"/>
      <c r="H45" s="1153"/>
      <c r="I45" s="1155"/>
      <c r="J45" s="1155" t="str">
        <f>I44&amp;".1"</f>
        <v>...1.1</v>
      </c>
      <c r="K45" s="390"/>
      <c r="L45" s="391" t="s">
        <v>395</v>
      </c>
      <c r="P45" s="1156"/>
      <c r="Q45" s="1156">
        <v>1</v>
      </c>
      <c r="R45" s="408"/>
      <c r="S45" s="394" t="str">
        <f>$J45</f>
        <v>...1.1</v>
      </c>
      <c r="T45" s="409" t="s">
        <v>396</v>
      </c>
      <c r="U45" s="396"/>
      <c r="V45" s="1157"/>
      <c r="W45" s="1157"/>
      <c r="X45" s="1157"/>
      <c r="Y45" s="1157"/>
      <c r="Z45" s="1157"/>
      <c r="AA45" s="1157"/>
      <c r="AB45" s="1157"/>
      <c r="AC45" s="1157"/>
      <c r="AD45" s="1157"/>
      <c r="AE45" s="1157"/>
      <c r="AF45" s="1157"/>
      <c r="AG45" s="1157"/>
      <c r="AH45" s="1157"/>
      <c r="AI45" s="1157"/>
      <c r="AJ45" s="1157"/>
      <c r="AK45" s="471" t="s">
        <v>471</v>
      </c>
      <c r="AM45" s="121"/>
      <c r="AN45" s="121" t="str">
        <f t="shared" si="1"/>
        <v>Группа потребителей</v>
      </c>
      <c r="AO45" s="121"/>
      <c r="AP45" s="121"/>
    </row>
    <row r="46" spans="1:42" ht="23.25" customHeight="1">
      <c r="A46" s="390" t="s">
        <v>258</v>
      </c>
      <c r="B46" s="390" t="s">
        <v>259</v>
      </c>
      <c r="C46" s="390" t="s">
        <v>260</v>
      </c>
      <c r="D46" s="390" t="s">
        <v>507</v>
      </c>
      <c r="E46" s="1153"/>
      <c r="F46" s="1153"/>
      <c r="G46" s="1153"/>
      <c r="H46" s="1153"/>
      <c r="I46" s="1155"/>
      <c r="J46" s="1155"/>
      <c r="K46" s="1155" t="str">
        <f>J45&amp;".1"</f>
        <v>...1.1.1</v>
      </c>
      <c r="L46" s="391"/>
      <c r="P46" s="1156"/>
      <c r="Q46" s="1156"/>
      <c r="R46" s="408">
        <v>1</v>
      </c>
      <c r="S46" s="394" t="str">
        <f>$K46</f>
        <v>...1.1.1</v>
      </c>
      <c r="T46" s="517"/>
      <c r="U46" s="396"/>
      <c r="V46" s="433"/>
      <c r="W46" s="433"/>
      <c r="X46" s="434"/>
      <c r="Y46" s="1160"/>
      <c r="Z46" s="1161" t="s">
        <v>63</v>
      </c>
      <c r="AA46" s="1160"/>
      <c r="AB46" s="1161" t="s">
        <v>63</v>
      </c>
      <c r="AC46" s="411"/>
      <c r="AD46" s="411"/>
      <c r="AE46" s="413"/>
      <c r="AF46" s="1158"/>
      <c r="AG46" s="1105" t="s">
        <v>63</v>
      </c>
      <c r="AH46" s="1158"/>
      <c r="AI46" s="1105" t="s">
        <v>53</v>
      </c>
      <c r="AJ46" s="518"/>
      <c r="AK46"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 t="e">
        <f ca="1">strcheckdate(V47:AJ47)</f>
        <v>#NAME?</v>
      </c>
      <c r="AM46" s="121"/>
      <c r="AN46" s="121" t="str">
        <f t="shared" si="1"/>
        <v/>
      </c>
      <c r="AO46" s="121"/>
      <c r="AP46" s="121"/>
    </row>
    <row r="47" spans="1:42" ht="11.25">
      <c r="A47" s="390" t="s">
        <v>258</v>
      </c>
      <c r="B47" s="390" t="s">
        <v>259</v>
      </c>
      <c r="C47" s="390" t="s">
        <v>260</v>
      </c>
      <c r="D47" s="390" t="s">
        <v>507</v>
      </c>
      <c r="E47" s="1153"/>
      <c r="F47" s="1153"/>
      <c r="G47" s="1153"/>
      <c r="H47" s="1153"/>
      <c r="I47" s="1155"/>
      <c r="J47" s="1155"/>
      <c r="K47" s="1155"/>
      <c r="L47" s="391"/>
      <c r="P47" s="1156"/>
      <c r="Q47" s="1156"/>
      <c r="R47" s="408"/>
      <c r="S47" s="370"/>
      <c r="T47" s="396"/>
      <c r="U47" s="396"/>
      <c r="V47" s="433"/>
      <c r="W47" s="433"/>
      <c r="X47" s="415" t="str">
        <f>Y46&amp;"-"&amp;AA46</f>
        <v>-</v>
      </c>
      <c r="Y47" s="1160"/>
      <c r="Z47" s="1160"/>
      <c r="AA47" s="1160"/>
      <c r="AB47" s="1160"/>
      <c r="AC47" s="412"/>
      <c r="AD47" s="412"/>
      <c r="AE47" s="415" t="str">
        <f>AF46&amp;"-"&amp;AH46</f>
        <v>-</v>
      </c>
      <c r="AF47" s="1158"/>
      <c r="AG47" s="1105"/>
      <c r="AH47" s="1158"/>
      <c r="AI47" s="1105"/>
      <c r="AJ47" s="519"/>
      <c r="AK47" s="1191"/>
      <c r="AM47" s="121"/>
      <c r="AN47" s="121" t="str">
        <f t="shared" si="1"/>
        <v/>
      </c>
      <c r="AO47" s="121"/>
      <c r="AP47" s="121"/>
    </row>
    <row r="48" spans="1:42" ht="21" customHeight="1">
      <c r="A48" s="390" t="s">
        <v>258</v>
      </c>
      <c r="B48" s="390" t="s">
        <v>259</v>
      </c>
      <c r="C48" s="390" t="s">
        <v>260</v>
      </c>
      <c r="D48" s="390" t="s">
        <v>507</v>
      </c>
      <c r="E48" s="1153"/>
      <c r="F48" s="1153"/>
      <c r="G48" s="1153"/>
      <c r="H48" s="1153"/>
      <c r="I48" s="1155"/>
      <c r="J48" s="1155"/>
      <c r="K48" s="390"/>
      <c r="L48" s="391"/>
      <c r="P48" s="1156"/>
      <c r="Q48" s="1156"/>
      <c r="R48" s="405"/>
      <c r="S48" s="416"/>
      <c r="T48" s="419" t="s">
        <v>472</v>
      </c>
      <c r="U48" s="186"/>
      <c r="V48" s="186"/>
      <c r="W48" s="186"/>
      <c r="X48" s="186"/>
      <c r="Y48" s="186"/>
      <c r="Z48" s="186"/>
      <c r="AA48" s="186"/>
      <c r="AB48" s="186"/>
      <c r="AC48" s="186"/>
      <c r="AD48" s="186"/>
      <c r="AE48" s="186"/>
      <c r="AF48" s="186"/>
      <c r="AG48" s="186"/>
      <c r="AH48" s="186"/>
      <c r="AI48" s="186"/>
      <c r="AJ48" s="186"/>
      <c r="AK48" s="397" t="s">
        <v>473</v>
      </c>
      <c r="AM48" s="121"/>
      <c r="AN48" s="121" t="str">
        <f t="shared" si="1"/>
        <v>Добавить значение признака дифференциации</v>
      </c>
      <c r="AO48" s="121"/>
      <c r="AP48" s="121"/>
    </row>
    <row r="49" spans="1:42" ht="21" customHeight="1">
      <c r="A49" s="390" t="s">
        <v>258</v>
      </c>
      <c r="B49" s="390" t="s">
        <v>259</v>
      </c>
      <c r="C49" s="390" t="s">
        <v>260</v>
      </c>
      <c r="D49" s="390" t="s">
        <v>507</v>
      </c>
      <c r="E49" s="1153"/>
      <c r="F49" s="1153"/>
      <c r="G49" s="1153"/>
      <c r="H49" s="1153"/>
      <c r="I49" s="1155"/>
      <c r="J49" s="390"/>
      <c r="K49" s="390"/>
      <c r="L49" s="391"/>
      <c r="P49" s="1156"/>
      <c r="Q49" s="124"/>
      <c r="R49" s="405"/>
      <c r="S49" s="416"/>
      <c r="T49" s="423" t="s">
        <v>401</v>
      </c>
      <c r="U49" s="186"/>
      <c r="V49" s="186"/>
      <c r="W49" s="186"/>
      <c r="X49" s="186"/>
      <c r="Y49" s="186"/>
      <c r="Z49" s="186"/>
      <c r="AA49" s="186"/>
      <c r="AB49" s="420"/>
      <c r="AC49" s="186"/>
      <c r="AD49" s="186"/>
      <c r="AE49" s="186"/>
      <c r="AF49" s="186"/>
      <c r="AG49" s="186"/>
      <c r="AH49" s="186"/>
      <c r="AI49" s="420"/>
      <c r="AJ49" s="186"/>
      <c r="AK49" s="520"/>
      <c r="AM49" s="121"/>
      <c r="AN49" s="121" t="str">
        <f t="shared" si="1"/>
        <v>Добавить группу потребителей</v>
      </c>
      <c r="AO49" s="121"/>
      <c r="AP49" s="121"/>
    </row>
    <row r="50" spans="1:42" ht="21" customHeight="1">
      <c r="A50" s="390" t="s">
        <v>258</v>
      </c>
      <c r="B50" s="390" t="s">
        <v>259</v>
      </c>
      <c r="C50" s="390" t="s">
        <v>260</v>
      </c>
      <c r="D50" s="390" t="s">
        <v>507</v>
      </c>
      <c r="E50" s="1153"/>
      <c r="F50" s="1153"/>
      <c r="G50" s="1153"/>
      <c r="H50" s="1189"/>
      <c r="I50" s="390"/>
      <c r="J50" s="390"/>
      <c r="K50" s="390"/>
      <c r="L50" s="391"/>
      <c r="M50" s="392"/>
      <c r="N50" s="392"/>
      <c r="O50" s="49"/>
      <c r="P50" s="134"/>
      <c r="Q50" s="422"/>
      <c r="R50" s="393"/>
      <c r="S50" s="416"/>
      <c r="T50" s="521" t="s">
        <v>474</v>
      </c>
      <c r="U50" s="186"/>
      <c r="V50" s="186"/>
      <c r="W50" s="186"/>
      <c r="X50" s="186"/>
      <c r="Y50" s="186"/>
      <c r="Z50" s="186"/>
      <c r="AA50" s="186"/>
      <c r="AB50" s="420"/>
      <c r="AC50" s="186"/>
      <c r="AD50" s="186"/>
      <c r="AE50" s="186"/>
      <c r="AF50" s="186"/>
      <c r="AG50" s="186"/>
      <c r="AH50" s="186"/>
      <c r="AI50" s="420"/>
      <c r="AJ50" s="186"/>
      <c r="AK50" s="421"/>
      <c r="AM50" s="121"/>
      <c r="AN50" s="121" t="str">
        <f t="shared" si="1"/>
        <v>Добавить наименование признака дифференциации</v>
      </c>
      <c r="AO50" s="121"/>
      <c r="AP50" s="121"/>
    </row>
    <row r="51" spans="1:42" s="53" customFormat="1" ht="5.25">
      <c r="A51" s="125" t="s">
        <v>258</v>
      </c>
      <c r="B51" s="125" t="s">
        <v>259</v>
      </c>
      <c r="C51" s="125"/>
      <c r="D51" s="125"/>
      <c r="E51" s="1153"/>
      <c r="F51" s="1153"/>
      <c r="G51" s="125"/>
      <c r="H51" s="125"/>
      <c r="I51" s="125"/>
      <c r="J51" s="125"/>
      <c r="K51" s="125"/>
      <c r="L51" s="184"/>
      <c r="M51" s="428"/>
      <c r="N51" s="428"/>
      <c r="P51" s="158"/>
      <c r="Q51" s="424"/>
      <c r="R51" s="158"/>
      <c r="S51" s="429"/>
      <c r="T51" s="432" t="s">
        <v>253</v>
      </c>
      <c r="U51" s="431"/>
      <c r="V51" s="431"/>
      <c r="W51" s="431"/>
      <c r="X51" s="431"/>
      <c r="Y51" s="431"/>
      <c r="Z51" s="431"/>
      <c r="AA51" s="431"/>
      <c r="AB51" s="431"/>
      <c r="AC51" s="431"/>
      <c r="AD51" s="431"/>
      <c r="AE51" s="431"/>
      <c r="AF51" s="431"/>
      <c r="AG51" s="431"/>
      <c r="AH51" s="431"/>
      <c r="AI51" s="431"/>
      <c r="AJ51" s="431"/>
      <c r="AK51" s="431"/>
      <c r="AM51" s="121"/>
      <c r="AN51" s="121" t="str">
        <f t="shared" si="1"/>
        <v>Добавить централизованную систему для дифференциации</v>
      </c>
      <c r="AO51" s="121"/>
      <c r="AP51" s="121"/>
    </row>
    <row r="52" spans="1:42" s="53" customFormat="1" ht="5.25">
      <c r="A52" s="125" t="s">
        <v>258</v>
      </c>
      <c r="B52" s="125"/>
      <c r="C52" s="125"/>
      <c r="D52" s="125"/>
      <c r="E52" s="1153"/>
      <c r="F52" s="125"/>
      <c r="G52" s="125"/>
      <c r="H52" s="125"/>
      <c r="I52" s="125"/>
      <c r="J52" s="125"/>
      <c r="K52" s="125"/>
      <c r="L52" s="184"/>
      <c r="M52" s="428"/>
      <c r="N52" s="428"/>
      <c r="P52" s="158"/>
      <c r="Q52" s="424"/>
      <c r="R52" s="158"/>
      <c r="S52" s="429"/>
      <c r="T52" s="432" t="s">
        <v>254</v>
      </c>
      <c r="U52" s="431"/>
      <c r="V52" s="431"/>
      <c r="W52" s="431"/>
      <c r="X52" s="431"/>
      <c r="Y52" s="431"/>
      <c r="Z52" s="431"/>
      <c r="AA52" s="431"/>
      <c r="AB52" s="431"/>
      <c r="AC52" s="431"/>
      <c r="AD52" s="431"/>
      <c r="AE52" s="431"/>
      <c r="AF52" s="431"/>
      <c r="AG52" s="431"/>
      <c r="AH52" s="431"/>
      <c r="AI52" s="431"/>
      <c r="AJ52" s="431"/>
      <c r="AK52" s="431"/>
      <c r="AM52" s="121"/>
      <c r="AN52" s="121" t="str">
        <f t="shared" si="1"/>
        <v>Добавить территорию для дифференциации</v>
      </c>
      <c r="AO52" s="121"/>
      <c r="AP52" s="121"/>
    </row>
    <row r="53" spans="1:42" s="53" customFormat="1" ht="5.25">
      <c r="A53" s="125"/>
      <c r="B53" s="125"/>
      <c r="C53" s="125"/>
      <c r="D53" s="125"/>
      <c r="E53" s="125"/>
      <c r="F53" s="125"/>
      <c r="G53" s="125"/>
      <c r="H53" s="125"/>
      <c r="I53" s="125"/>
      <c r="J53" s="125"/>
      <c r="K53" s="125"/>
      <c r="L53" s="184"/>
      <c r="M53" s="428"/>
      <c r="N53" s="428"/>
      <c r="P53" s="158"/>
      <c r="Q53" s="424"/>
      <c r="R53" s="158"/>
      <c r="S53" s="429"/>
      <c r="T53" s="432" t="s">
        <v>255</v>
      </c>
      <c r="U53" s="431"/>
      <c r="V53" s="431"/>
      <c r="W53" s="431"/>
      <c r="X53" s="431"/>
      <c r="Y53" s="431"/>
      <c r="Z53" s="431"/>
      <c r="AA53" s="431"/>
      <c r="AB53" s="431"/>
      <c r="AC53" s="431"/>
      <c r="AD53" s="431"/>
      <c r="AE53" s="431"/>
      <c r="AF53" s="431"/>
      <c r="AG53" s="431"/>
      <c r="AH53" s="431"/>
      <c r="AI53" s="431"/>
      <c r="AJ53" s="431"/>
      <c r="AK53" s="431"/>
      <c r="AM53" s="121"/>
      <c r="AN53" s="121" t="str">
        <f t="shared" si="1"/>
        <v>Добавить наименование тарифа</v>
      </c>
      <c r="AO53" s="121"/>
      <c r="AP53" s="121"/>
    </row>
    <row r="54" spans="1:42" ht="11.25" customHeight="1">
      <c r="M54" s="49"/>
      <c r="N54" s="49"/>
      <c r="O54" s="49"/>
      <c r="P54" s="46"/>
      <c r="Q54" s="46"/>
      <c r="R54" s="46"/>
      <c r="S54" s="46"/>
      <c r="AL54" s="46"/>
      <c r="AM54" s="46"/>
      <c r="AN54" s="46"/>
      <c r="AO54" s="46"/>
      <c r="AP54" s="46"/>
    </row>
    <row r="55" spans="1:42" ht="14.25" customHeight="1">
      <c r="O55" s="49"/>
      <c r="S55" s="387"/>
      <c r="T55" s="1171"/>
      <c r="U55" s="1171"/>
      <c r="V55" s="1171"/>
      <c r="W55" s="1171"/>
      <c r="X55" s="1171"/>
      <c r="Y55" s="1171"/>
      <c r="Z55" s="1171"/>
      <c r="AA55" s="1171"/>
      <c r="AB55" s="1171"/>
      <c r="AC55" s="1171"/>
      <c r="AD55" s="1171"/>
      <c r="AE55" s="1171"/>
      <c r="AF55" s="1171"/>
      <c r="AG55" s="1171"/>
      <c r="AH55" s="1171"/>
      <c r="AI55" s="1171"/>
      <c r="AJ55" s="1171"/>
      <c r="AK55" s="1171"/>
    </row>
    <row r="56" spans="1:42" ht="14.25" customHeight="1">
      <c r="O56" s="49"/>
    </row>
    <row r="57" spans="1:42" ht="14.25" customHeight="1">
      <c r="O57" s="49"/>
      <c r="S57" s="387"/>
      <c r="T57" s="1171"/>
      <c r="U57" s="1171"/>
      <c r="V57" s="1171"/>
      <c r="W57" s="1171"/>
      <c r="X57" s="1171"/>
      <c r="Y57" s="1171"/>
      <c r="Z57" s="1171"/>
      <c r="AA57" s="1171"/>
      <c r="AB57" s="1171"/>
      <c r="AC57" s="1171"/>
      <c r="AD57" s="1171"/>
      <c r="AE57" s="1171"/>
      <c r="AF57" s="1171"/>
      <c r="AG57" s="1171"/>
      <c r="AH57" s="1171"/>
      <c r="AI57" s="1171"/>
      <c r="AJ57" s="1171"/>
      <c r="AK57" s="1171"/>
    </row>
  </sheetData>
  <mergeCells count="101">
    <mergeCell ref="AB46:AB47"/>
    <mergeCell ref="AF46:AF47"/>
    <mergeCell ref="AG46:AG47"/>
    <mergeCell ref="AH46:AH47"/>
    <mergeCell ref="AI46:AI47"/>
    <mergeCell ref="AK46:AK47"/>
    <mergeCell ref="T55:AK55"/>
    <mergeCell ref="T57:AK5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S30:T30"/>
    <mergeCell ref="V30:AA30"/>
    <mergeCell ref="AC30:AH30"/>
    <mergeCell ref="S32:T32"/>
    <mergeCell ref="V32:AA32"/>
    <mergeCell ref="AC32:AH32"/>
    <mergeCell ref="S33:T33"/>
    <mergeCell ref="V33:AA33"/>
    <mergeCell ref="AC33:AH33"/>
    <mergeCell ref="S25:AH25"/>
    <mergeCell ref="S27:T27"/>
    <mergeCell ref="V27:AA27"/>
    <mergeCell ref="AC27:AH27"/>
    <mergeCell ref="S28:T28"/>
    <mergeCell ref="V28:AA28"/>
    <mergeCell ref="AC28:AH28"/>
    <mergeCell ref="S29:T29"/>
    <mergeCell ref="V29:AA29"/>
    <mergeCell ref="AC29:AH29"/>
    <mergeCell ref="AG7:AG8"/>
    <mergeCell ref="AH7:AH8"/>
    <mergeCell ref="AI7:AI8"/>
    <mergeCell ref="AK7:AK8"/>
    <mergeCell ref="AF15:AF16"/>
    <mergeCell ref="AG15:AG16"/>
    <mergeCell ref="AH15:AH16"/>
    <mergeCell ref="AI15:AI16"/>
    <mergeCell ref="S24:AH24"/>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s>
  <dataValidations count="4">
    <dataValidation allowBlank="1" showInputMessage="1" showErrorMessage="1" prompt="Для выбора выполните двойной щелчок левой клавиши мыши по соответствующей ячейке." sqref="Z7 AB7 AG7 AI7 AG15 AI15 Z46 AB46 AG46 AI46">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formula1>0</formula1>
      <formula2>0</formula2>
    </dataValidation>
    <dataValidation type="textLength" operator="lessThanOrEqual" allowBlank="1" showInputMessage="1" showErrorMessage="1" errorTitle="Ошибка" error="Допускается ввод не более 900 символов!" sqref="AC5:AJ5 T7 AC44:AJ44 T46">
      <formula1>900</formula1>
      <formula2>0</formula2>
    </dataValidation>
    <dataValidation allowBlank="1" promptTitle="checkPeriodRange" sqref="X8 AE8 AE16 X47 AE47">
      <formula1>0</formula1>
      <formula2>0</formula2>
    </dataValidation>
  </dataValidations>
  <pageMargins left="0.7" right="0.7" top="0.625" bottom="0.625" header="0.3" footer="0.3"/>
  <pageSetup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BH68"/>
  <sheetViews>
    <sheetView showGridLines="0" topLeftCell="R27" zoomScale="90" zoomScaleNormal="90" workbookViewId="0"/>
  </sheetViews>
  <sheetFormatPr defaultColWidth="10.5703125" defaultRowHeight="14.25"/>
  <cols>
    <col min="1" max="1" width="11.5703125" style="49" hidden="1" customWidth="1"/>
    <col min="2" max="2" width="11" style="49" hidden="1" customWidth="1"/>
    <col min="3" max="3" width="10.5703125" style="49" hidden="1"/>
    <col min="4" max="4" width="12.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2" style="49" hidden="1" customWidth="1"/>
    <col min="10" max="10" width="9.85546875" style="49" hidden="1" customWidth="1"/>
    <col min="11" max="11" width="11.42578125" style="49" hidden="1" customWidth="1"/>
    <col min="12" max="12" width="19.140625" style="107" hidden="1" customWidth="1"/>
    <col min="13" max="14" width="12.28515625" style="57" hidden="1" customWidth="1"/>
    <col min="15" max="15" width="23.42578125" style="57" hidden="1" customWidth="1"/>
    <col min="16" max="16" width="3.7109375" style="57" hidden="1" customWidth="1"/>
    <col min="17" max="17" width="3.7109375" style="436" hidden="1" customWidth="1"/>
    <col min="18" max="18" width="3.7109375" style="389" customWidth="1"/>
    <col min="19" max="19" width="12.7109375" style="254" customWidth="1"/>
    <col min="20" max="20" width="32" style="46" customWidth="1"/>
    <col min="21" max="21" width="0.140625" style="46" customWidth="1"/>
    <col min="22" max="25" width="21.7109375" style="46" hidden="1" customWidth="1"/>
    <col min="26" max="26" width="11.7109375" style="46" hidden="1" customWidth="1"/>
    <col min="27" max="27" width="3.7109375" style="46" hidden="1" customWidth="1"/>
    <col min="28" max="28" width="11.7109375" style="46" hidden="1" customWidth="1"/>
    <col min="29" max="29" width="8.5703125" style="46" hidden="1" customWidth="1"/>
    <col min="30" max="32" width="3.7109375" style="46" customWidth="1"/>
    <col min="33" max="33" width="24.7109375" style="46" customWidth="1"/>
    <col min="34" max="36" width="3.7109375" style="46" customWidth="1"/>
    <col min="37" max="37" width="24.7109375" style="46" customWidth="1"/>
    <col min="38" max="40" width="3.7109375" style="46" customWidth="1"/>
    <col min="41" max="41" width="18.85546875" style="46" customWidth="1"/>
    <col min="42" max="44" width="3.7109375" style="46" customWidth="1"/>
    <col min="45" max="45" width="18.85546875" style="46" customWidth="1"/>
    <col min="46" max="49" width="21.7109375" style="46" customWidth="1"/>
    <col min="50" max="50" width="11.7109375" style="46" customWidth="1"/>
    <col min="51" max="51" width="3.7109375" style="46" customWidth="1"/>
    <col min="52" max="52" width="11.7109375" style="46" customWidth="1"/>
    <col min="53" max="53" width="8.5703125" style="46" hidden="1" customWidth="1"/>
    <col min="54" max="54" width="4.7109375" style="46" customWidth="1"/>
    <col min="55" max="55" width="115.7109375" style="46" customWidth="1"/>
    <col min="56" max="57" width="10.5703125" style="53"/>
    <col min="58" max="58" width="11.140625" style="53" customWidth="1"/>
    <col min="59" max="60" width="10.5703125" style="53"/>
  </cols>
  <sheetData>
    <row r="1" spans="1:60" ht="14.25" hidden="1" customHeight="1"/>
    <row r="2" spans="1:60" ht="21" hidden="1" customHeight="1">
      <c r="A2" s="390"/>
      <c r="B2" s="390"/>
      <c r="C2" s="390"/>
      <c r="D2" s="390"/>
      <c r="E2" s="1153">
        <v>1</v>
      </c>
      <c r="F2" s="390"/>
      <c r="G2" s="390"/>
      <c r="H2" s="390"/>
      <c r="I2" s="390"/>
      <c r="J2" s="390"/>
      <c r="K2" s="390"/>
      <c r="L2" s="391"/>
      <c r="M2" s="392"/>
      <c r="N2" s="392"/>
      <c r="O2" s="392"/>
      <c r="Q2" s="60"/>
      <c r="R2" s="393"/>
      <c r="S2" s="394" t="e">
        <f>INDEX(PT_DIFFERENTIATION_NUM_NTAR,MATCH(A2,PT_DIFFERENTIATION_NTAR_ID,0))</f>
        <v>#N/A</v>
      </c>
      <c r="T2" s="395" t="s">
        <v>119</v>
      </c>
      <c r="U2" s="396"/>
      <c r="V2" s="1177"/>
      <c r="W2" s="1177"/>
      <c r="X2" s="1177"/>
      <c r="Y2" s="1177"/>
      <c r="Z2" s="1177"/>
      <c r="AA2" s="1177"/>
      <c r="AB2" s="1177"/>
      <c r="AC2" s="1177"/>
      <c r="AD2" s="1154" t="e">
        <f>INDEX(PT_DIFFERENTIATION_NTAR,MATCH(A2,PT_DIFFERENTIATION_NTAR_ID,0))</f>
        <v>#N/A</v>
      </c>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1"/>
      <c r="BF2" s="121" t="str">
        <f t="shared" ref="BF2:BF8" si="0">IF(T2="","",T2)</f>
        <v>Наименование тарифа</v>
      </c>
      <c r="BG2" s="121"/>
      <c r="BH2" s="121"/>
    </row>
    <row r="3" spans="1:60" ht="21" hidden="1" customHeight="1">
      <c r="A3" s="390"/>
      <c r="B3" s="390"/>
      <c r="C3" s="390"/>
      <c r="D3" s="390"/>
      <c r="E3" s="1153"/>
      <c r="F3" s="1153">
        <v>1</v>
      </c>
      <c r="G3" s="390"/>
      <c r="H3" s="390"/>
      <c r="I3" s="390"/>
      <c r="J3" s="390"/>
      <c r="K3" s="390"/>
      <c r="L3" s="391"/>
      <c r="M3" s="392"/>
      <c r="N3" s="392"/>
      <c r="O3" s="392"/>
      <c r="P3" s="107"/>
      <c r="Q3" s="485"/>
      <c r="R3" s="399"/>
      <c r="S3" s="394" t="e">
        <f>INDEX(PT_DIFFERENTIATION_NUM_TER,MATCH(B3,PT_DIFFERENTIATION_TER_ID,0))</f>
        <v>#N/A</v>
      </c>
      <c r="T3" s="400" t="s">
        <v>386</v>
      </c>
      <c r="U3" s="396"/>
      <c r="V3" s="1177"/>
      <c r="W3" s="1177"/>
      <c r="X3" s="1177"/>
      <c r="Y3" s="1177"/>
      <c r="Z3" s="1177"/>
      <c r="AA3" s="1177"/>
      <c r="AB3" s="1177"/>
      <c r="AC3" s="1177"/>
      <c r="AD3" s="1154" t="e">
        <f>INDEX(PT_DIFFERENTIATION_TER,MATCH(B3,PT_DIFFERENTIATION_TER_ID,0))</f>
        <v>#N/A</v>
      </c>
      <c r="AE3" s="1154"/>
      <c r="AF3" s="1154"/>
      <c r="AG3" s="1154"/>
      <c r="AH3" s="1154"/>
      <c r="AI3" s="1154"/>
      <c r="AJ3" s="1154"/>
      <c r="AK3" s="1154"/>
      <c r="AL3" s="1154"/>
      <c r="AM3" s="1154"/>
      <c r="AN3" s="1154"/>
      <c r="AO3" s="1154"/>
      <c r="AP3" s="1154"/>
      <c r="AQ3" s="1154"/>
      <c r="AR3" s="1154"/>
      <c r="AS3" s="1154"/>
      <c r="AT3" s="1154"/>
      <c r="AU3" s="1154"/>
      <c r="AV3" s="1154"/>
      <c r="AW3" s="1154"/>
      <c r="AX3" s="1154"/>
      <c r="AY3" s="1154"/>
      <c r="AZ3" s="1154"/>
      <c r="BA3" s="1154"/>
      <c r="BB3" s="1154"/>
      <c r="BC3" s="397" t="s">
        <v>387</v>
      </c>
      <c r="BE3" s="121"/>
      <c r="BF3" s="121" t="str">
        <f t="shared" si="0"/>
        <v>Территория действия тарифа</v>
      </c>
      <c r="BG3" s="121"/>
      <c r="BH3" s="121"/>
    </row>
    <row r="4" spans="1:60" ht="33.75" hidden="1" customHeight="1">
      <c r="A4" s="390"/>
      <c r="B4" s="390"/>
      <c r="C4" s="390"/>
      <c r="D4" s="390"/>
      <c r="E4" s="1153"/>
      <c r="F4" s="1153"/>
      <c r="G4" s="1153">
        <v>1</v>
      </c>
      <c r="H4" s="390"/>
      <c r="I4" s="390"/>
      <c r="J4" s="390"/>
      <c r="K4" s="390"/>
      <c r="L4" s="391"/>
      <c r="M4" s="392"/>
      <c r="N4" s="392"/>
      <c r="O4" s="392"/>
      <c r="P4" s="130"/>
      <c r="Q4" s="485"/>
      <c r="R4" s="399"/>
      <c r="S4" s="394" t="e">
        <f>INDEX(PT_DIFFERENTIATION_NUM_CS,MATCH(C4,PT_DIFFERENTIATION_CS_ID,0))</f>
        <v>#N/A</v>
      </c>
      <c r="T4" s="402" t="s">
        <v>500</v>
      </c>
      <c r="U4" s="396"/>
      <c r="V4" s="1177"/>
      <c r="W4" s="1177"/>
      <c r="X4" s="1177"/>
      <c r="Y4" s="1177"/>
      <c r="Z4" s="1177"/>
      <c r="AA4" s="1177"/>
      <c r="AB4" s="1177"/>
      <c r="AC4" s="1177"/>
      <c r="AD4" s="1154" t="e">
        <f>INDEX(PT_DIFFERENTIATION_CS,MATCH(C4,PT_DIFFERENTIATION_CS_ID,0))</f>
        <v>#N/A</v>
      </c>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1154"/>
      <c r="BA4" s="1154"/>
      <c r="BB4" s="1154"/>
      <c r="BC4" s="397" t="s">
        <v>501</v>
      </c>
      <c r="BE4" s="121"/>
      <c r="BF4" s="121" t="str">
        <f t="shared" si="0"/>
        <v>Наименование централизованной системы водоотведения</v>
      </c>
      <c r="BG4" s="121"/>
      <c r="BH4" s="121"/>
    </row>
    <row r="5" spans="1:60" s="53" customFormat="1" ht="14.25" hidden="1" customHeight="1">
      <c r="A5" s="125"/>
      <c r="B5" s="125"/>
      <c r="C5" s="125"/>
      <c r="D5" s="125"/>
      <c r="E5" s="1153"/>
      <c r="F5" s="1153"/>
      <c r="G5" s="1153"/>
      <c r="H5" s="1153">
        <v>1</v>
      </c>
      <c r="I5" s="125"/>
      <c r="J5" s="125"/>
      <c r="K5" s="125"/>
      <c r="L5" s="184"/>
      <c r="M5" s="375"/>
      <c r="N5" s="375"/>
      <c r="O5" s="375"/>
      <c r="P5" s="524"/>
      <c r="Q5" s="525"/>
      <c r="R5" s="408"/>
      <c r="S5" s="280"/>
      <c r="T5" s="526"/>
      <c r="U5" s="460"/>
      <c r="V5" s="1178"/>
      <c r="W5" s="1178"/>
      <c r="X5" s="1178"/>
      <c r="Y5" s="1178"/>
      <c r="Z5" s="1178"/>
      <c r="AA5" s="1178"/>
      <c r="AB5" s="1178"/>
      <c r="AC5" s="1178"/>
      <c r="AD5" s="1175"/>
      <c r="AE5" s="1175"/>
      <c r="AF5" s="1175"/>
      <c r="AG5" s="1175"/>
      <c r="AH5" s="1175"/>
      <c r="AI5" s="1175"/>
      <c r="AJ5" s="1175"/>
      <c r="AK5" s="1175"/>
      <c r="AL5" s="1175"/>
      <c r="AM5" s="1175"/>
      <c r="AN5" s="1175"/>
      <c r="AO5" s="1175"/>
      <c r="AP5" s="1175"/>
      <c r="AQ5" s="1175"/>
      <c r="AR5" s="1175"/>
      <c r="AS5" s="1175"/>
      <c r="AT5" s="1175"/>
      <c r="AU5" s="1175"/>
      <c r="AV5" s="1175"/>
      <c r="AW5" s="1175"/>
      <c r="AX5" s="1175"/>
      <c r="AY5" s="1175"/>
      <c r="AZ5" s="1175"/>
      <c r="BA5" s="1175"/>
      <c r="BB5" s="1175"/>
      <c r="BC5" s="461" t="s">
        <v>391</v>
      </c>
      <c r="BE5" s="121"/>
      <c r="BF5" s="121" t="str">
        <f t="shared" si="0"/>
        <v/>
      </c>
      <c r="BG5" s="121"/>
      <c r="BH5" s="121"/>
    </row>
    <row r="6" spans="1:60" s="53" customFormat="1" ht="14.25" hidden="1" customHeight="1">
      <c r="A6" s="125"/>
      <c r="B6" s="125"/>
      <c r="C6" s="125"/>
      <c r="D6" s="125"/>
      <c r="E6" s="1153"/>
      <c r="F6" s="1153"/>
      <c r="G6" s="1153"/>
      <c r="H6" s="1153"/>
      <c r="I6" s="1155" t="str">
        <f>S5&amp;".1"</f>
        <v>.1</v>
      </c>
      <c r="J6" s="125"/>
      <c r="K6" s="125"/>
      <c r="L6" s="184" t="s">
        <v>392</v>
      </c>
      <c r="M6" s="466"/>
      <c r="N6" s="466"/>
      <c r="O6" s="466"/>
      <c r="P6" s="1156">
        <v>1</v>
      </c>
      <c r="Q6" s="124"/>
      <c r="R6" s="405"/>
      <c r="S6" s="280"/>
      <c r="T6" s="459"/>
      <c r="U6" s="460"/>
      <c r="V6" s="1178"/>
      <c r="W6" s="1178"/>
      <c r="X6" s="1178"/>
      <c r="Y6" s="1178"/>
      <c r="Z6" s="1178"/>
      <c r="AA6" s="1178"/>
      <c r="AB6" s="1178"/>
      <c r="AC6" s="1178"/>
      <c r="AD6" s="1175"/>
      <c r="AE6" s="1175"/>
      <c r="AF6" s="1175"/>
      <c r="AG6" s="1175"/>
      <c r="AH6" s="1175"/>
      <c r="AI6" s="1175"/>
      <c r="AJ6" s="1175"/>
      <c r="AK6" s="1175"/>
      <c r="AL6" s="1175"/>
      <c r="AM6" s="1175"/>
      <c r="AN6" s="1175"/>
      <c r="AO6" s="1175"/>
      <c r="AP6" s="1175"/>
      <c r="AQ6" s="1175"/>
      <c r="AR6" s="1175"/>
      <c r="AS6" s="1175"/>
      <c r="AT6" s="1175"/>
      <c r="AU6" s="1175"/>
      <c r="AV6" s="1175"/>
      <c r="AW6" s="1175"/>
      <c r="AX6" s="1175"/>
      <c r="AY6" s="1175"/>
      <c r="AZ6" s="1175"/>
      <c r="BA6" s="1175"/>
      <c r="BB6" s="1175"/>
      <c r="BC6" s="461"/>
      <c r="BE6" s="121"/>
      <c r="BF6" s="121" t="str">
        <f t="shared" si="0"/>
        <v/>
      </c>
      <c r="BG6" s="121"/>
      <c r="BH6" s="121"/>
    </row>
    <row r="7" spans="1:60" s="53" customFormat="1" ht="14.25" hidden="1" customHeight="1">
      <c r="A7" s="125"/>
      <c r="B7" s="125"/>
      <c r="C7" s="125"/>
      <c r="D7" s="125"/>
      <c r="E7" s="1153"/>
      <c r="F7" s="1153"/>
      <c r="G7" s="1153"/>
      <c r="H7" s="1153"/>
      <c r="I7" s="1155"/>
      <c r="J7" s="1155" t="str">
        <f>S5&amp;".1"</f>
        <v>.1</v>
      </c>
      <c r="K7" s="125"/>
      <c r="L7" s="184"/>
      <c r="M7" s="466"/>
      <c r="N7" s="466"/>
      <c r="O7" s="466"/>
      <c r="P7" s="1156"/>
      <c r="Q7" s="1156">
        <v>1</v>
      </c>
      <c r="R7" s="408"/>
      <c r="S7" s="280"/>
      <c r="T7" s="486"/>
      <c r="U7" s="460"/>
      <c r="V7" s="1178"/>
      <c r="W7" s="1178"/>
      <c r="X7" s="1178"/>
      <c r="Y7" s="1178"/>
      <c r="Z7" s="1178"/>
      <c r="AA7" s="1178"/>
      <c r="AB7" s="1178"/>
      <c r="AC7" s="1178"/>
      <c r="AD7" s="1175"/>
      <c r="AE7" s="1175"/>
      <c r="AF7" s="1175"/>
      <c r="AG7" s="1175"/>
      <c r="AH7" s="1175"/>
      <c r="AI7" s="1175"/>
      <c r="AJ7" s="1175"/>
      <c r="AK7" s="1175"/>
      <c r="AL7" s="1175"/>
      <c r="AM7" s="1175"/>
      <c r="AN7" s="1175"/>
      <c r="AO7" s="1175"/>
      <c r="AP7" s="1175"/>
      <c r="AQ7" s="1175"/>
      <c r="AR7" s="1175"/>
      <c r="AS7" s="1175"/>
      <c r="AT7" s="1175"/>
      <c r="AU7" s="1175"/>
      <c r="AV7" s="1175"/>
      <c r="AW7" s="1175"/>
      <c r="AX7" s="1175"/>
      <c r="AY7" s="1175"/>
      <c r="AZ7" s="1175"/>
      <c r="BA7" s="1175"/>
      <c r="BB7" s="1175"/>
      <c r="BC7" s="461"/>
      <c r="BE7" s="121"/>
      <c r="BF7" s="121" t="str">
        <f t="shared" si="0"/>
        <v/>
      </c>
      <c r="BG7" s="121"/>
      <c r="BH7" s="121"/>
    </row>
    <row r="8" spans="1:60" ht="11.25" hidden="1" customHeight="1">
      <c r="A8" s="390"/>
      <c r="B8" s="390"/>
      <c r="C8" s="390"/>
      <c r="D8" s="390"/>
      <c r="E8" s="1153"/>
      <c r="F8" s="1153"/>
      <c r="G8" s="1153"/>
      <c r="H8" s="1153"/>
      <c r="I8" s="1155"/>
      <c r="J8" s="1155"/>
      <c r="K8" s="1155" t="e">
        <f>S4&amp;".1"</f>
        <v>#N/A</v>
      </c>
      <c r="L8" s="391"/>
      <c r="P8" s="1156"/>
      <c r="Q8" s="1156"/>
      <c r="R8" s="1179">
        <v>1</v>
      </c>
      <c r="S8" s="1166" t="e">
        <f>$K8</f>
        <v>#N/A</v>
      </c>
      <c r="T8" s="1192"/>
      <c r="U8" s="396"/>
      <c r="V8" s="411"/>
      <c r="W8" s="413"/>
      <c r="X8" s="411"/>
      <c r="Y8" s="413"/>
      <c r="Z8" s="414"/>
      <c r="AA8" s="191" t="s">
        <v>63</v>
      </c>
      <c r="AB8" s="414"/>
      <c r="AC8" s="191" t="s">
        <v>63</v>
      </c>
      <c r="AD8" s="1105" t="s">
        <v>63</v>
      </c>
      <c r="AE8" s="1181"/>
      <c r="AF8" s="1182">
        <v>1</v>
      </c>
      <c r="AG8" s="1193"/>
      <c r="AH8" s="1105" t="s">
        <v>63</v>
      </c>
      <c r="AI8" s="1181"/>
      <c r="AJ8" s="1182">
        <v>1</v>
      </c>
      <c r="AK8" s="1194"/>
      <c r="AL8" s="1105" t="s">
        <v>63</v>
      </c>
      <c r="AM8" s="1173"/>
      <c r="AN8" s="1182">
        <v>1</v>
      </c>
      <c r="AO8" s="1195"/>
      <c r="AP8" s="1196" t="s">
        <v>63</v>
      </c>
      <c r="AQ8" s="487"/>
      <c r="AR8" s="276">
        <v>1</v>
      </c>
      <c r="AS8" s="87"/>
      <c r="AT8" s="411"/>
      <c r="AU8" s="413"/>
      <c r="AV8" s="411"/>
      <c r="AW8" s="413"/>
      <c r="AX8" s="414"/>
      <c r="AY8" s="191" t="s">
        <v>63</v>
      </c>
      <c r="AZ8" s="414"/>
      <c r="BA8" s="191" t="s">
        <v>63</v>
      </c>
      <c r="BB8" s="454"/>
      <c r="BC8" s="1159" t="s">
        <v>485</v>
      </c>
      <c r="BE8" s="121"/>
      <c r="BF8" s="121" t="str">
        <f t="shared" si="0"/>
        <v/>
      </c>
      <c r="BG8" s="121"/>
      <c r="BH8" s="121"/>
    </row>
    <row r="9" spans="1:60" ht="11.25" hidden="1" customHeight="1">
      <c r="A9" s="390"/>
      <c r="B9" s="390"/>
      <c r="C9" s="390"/>
      <c r="D9" s="390"/>
      <c r="E9" s="1153"/>
      <c r="F9" s="1153"/>
      <c r="G9" s="1153"/>
      <c r="H9" s="1153"/>
      <c r="I9" s="1155"/>
      <c r="J9" s="1155"/>
      <c r="K9" s="1155"/>
      <c r="L9" s="391"/>
      <c r="P9" s="1156"/>
      <c r="Q9" s="1156"/>
      <c r="R9" s="1179"/>
      <c r="S9" s="1166"/>
      <c r="T9" s="1192"/>
      <c r="U9" s="396"/>
      <c r="V9" s="476"/>
      <c r="W9" s="490"/>
      <c r="X9" s="476"/>
      <c r="Y9" s="490"/>
      <c r="Z9" s="476"/>
      <c r="AA9" s="476"/>
      <c r="AB9" s="476"/>
      <c r="AC9" s="476"/>
      <c r="AD9" s="1105"/>
      <c r="AE9" s="1181"/>
      <c r="AF9" s="1182"/>
      <c r="AG9" s="1193"/>
      <c r="AH9" s="1105"/>
      <c r="AI9" s="1181"/>
      <c r="AJ9" s="1182"/>
      <c r="AK9" s="1194"/>
      <c r="AL9" s="1105"/>
      <c r="AM9" s="1173"/>
      <c r="AN9" s="1182"/>
      <c r="AO9" s="1195"/>
      <c r="AP9" s="1196"/>
      <c r="AQ9" s="489"/>
      <c r="AR9" s="168"/>
      <c r="AS9" s="168" t="s">
        <v>486</v>
      </c>
      <c r="AT9" s="476"/>
      <c r="AU9" s="490"/>
      <c r="AV9" s="476"/>
      <c r="AW9" s="490"/>
      <c r="AX9" s="476"/>
      <c r="AY9" s="476"/>
      <c r="AZ9" s="476"/>
      <c r="BA9" s="476"/>
      <c r="BB9" s="488"/>
      <c r="BC9" s="1159"/>
      <c r="BE9" s="121"/>
      <c r="BF9" s="121"/>
      <c r="BG9" s="121"/>
      <c r="BH9" s="121"/>
    </row>
    <row r="10" spans="1:60" ht="11.25" hidden="1" customHeight="1">
      <c r="A10" s="390"/>
      <c r="B10" s="390"/>
      <c r="C10" s="390"/>
      <c r="D10" s="390"/>
      <c r="E10" s="1153"/>
      <c r="F10" s="1153"/>
      <c r="G10" s="1153"/>
      <c r="H10" s="1153"/>
      <c r="I10" s="1155"/>
      <c r="J10" s="1155"/>
      <c r="K10" s="1155"/>
      <c r="L10" s="391"/>
      <c r="P10" s="1156"/>
      <c r="Q10" s="1156"/>
      <c r="R10" s="1179"/>
      <c r="S10" s="1166"/>
      <c r="T10" s="1192"/>
      <c r="U10" s="396"/>
      <c r="V10" s="476"/>
      <c r="W10" s="490"/>
      <c r="X10" s="476"/>
      <c r="Y10" s="490"/>
      <c r="Z10" s="476"/>
      <c r="AA10" s="476"/>
      <c r="AB10" s="476"/>
      <c r="AC10" s="476"/>
      <c r="AD10" s="1105"/>
      <c r="AE10" s="1181"/>
      <c r="AF10" s="1182"/>
      <c r="AG10" s="1193"/>
      <c r="AH10" s="1105"/>
      <c r="AI10" s="1181"/>
      <c r="AJ10" s="1182"/>
      <c r="AK10" s="1194"/>
      <c r="AL10" s="1105"/>
      <c r="AM10" s="489"/>
      <c r="AN10" s="527"/>
      <c r="AO10" s="527" t="s">
        <v>508</v>
      </c>
      <c r="AP10" s="168"/>
      <c r="AQ10" s="168"/>
      <c r="AR10" s="168"/>
      <c r="AS10" s="476"/>
      <c r="AT10" s="476"/>
      <c r="AU10" s="490"/>
      <c r="AV10" s="476"/>
      <c r="AW10" s="490"/>
      <c r="AX10" s="476"/>
      <c r="AY10" s="476"/>
      <c r="AZ10" s="476"/>
      <c r="BA10" s="476"/>
      <c r="BB10" s="488"/>
      <c r="BC10" s="1159"/>
      <c r="BE10" s="121"/>
      <c r="BF10" s="121"/>
      <c r="BG10" s="121"/>
      <c r="BH10" s="121"/>
    </row>
    <row r="11" spans="1:60" ht="11.25" hidden="1" customHeight="1">
      <c r="A11" s="390"/>
      <c r="B11" s="390"/>
      <c r="C11" s="390"/>
      <c r="D11" s="390"/>
      <c r="E11" s="1153"/>
      <c r="F11" s="1153"/>
      <c r="G11" s="1153"/>
      <c r="H11" s="1153"/>
      <c r="I11" s="1155"/>
      <c r="J11" s="1155"/>
      <c r="K11" s="1155"/>
      <c r="L11" s="391"/>
      <c r="P11" s="1156"/>
      <c r="Q11" s="1156"/>
      <c r="R11" s="1179"/>
      <c r="S11" s="1166"/>
      <c r="T11" s="1192"/>
      <c r="U11" s="396"/>
      <c r="V11" s="476"/>
      <c r="W11" s="490"/>
      <c r="X11" s="476"/>
      <c r="Y11" s="490"/>
      <c r="Z11" s="476"/>
      <c r="AA11" s="476"/>
      <c r="AB11" s="476"/>
      <c r="AC11" s="476"/>
      <c r="AD11" s="1105"/>
      <c r="AE11" s="1181"/>
      <c r="AF11" s="1182"/>
      <c r="AG11" s="1193"/>
      <c r="AH11" s="1105"/>
      <c r="AI11" s="492"/>
      <c r="AJ11" s="163"/>
      <c r="AK11" s="357" t="s">
        <v>509</v>
      </c>
      <c r="AL11" s="476"/>
      <c r="AM11" s="476"/>
      <c r="AN11" s="476"/>
      <c r="AO11" s="476"/>
      <c r="AP11" s="476"/>
      <c r="AQ11" s="476"/>
      <c r="AR11" s="476"/>
      <c r="AS11" s="476"/>
      <c r="AT11" s="476"/>
      <c r="AU11" s="490"/>
      <c r="AV11" s="476"/>
      <c r="AW11" s="490"/>
      <c r="AX11" s="476"/>
      <c r="AY11" s="476"/>
      <c r="AZ11" s="476"/>
      <c r="BA11" s="476"/>
      <c r="BB11" s="488"/>
      <c r="BC11" s="1159"/>
      <c r="BE11" s="121"/>
      <c r="BF11" s="121"/>
      <c r="BG11" s="121"/>
      <c r="BH11" s="121"/>
    </row>
    <row r="12" spans="1:60" ht="11.25" hidden="1" customHeight="1">
      <c r="A12" s="390"/>
      <c r="B12" s="390"/>
      <c r="C12" s="390"/>
      <c r="D12" s="390"/>
      <c r="E12" s="1153"/>
      <c r="F12" s="1153"/>
      <c r="G12" s="1153"/>
      <c r="H12" s="1153"/>
      <c r="I12" s="1155"/>
      <c r="J12" s="1155"/>
      <c r="K12" s="1155"/>
      <c r="L12" s="391"/>
      <c r="P12" s="1156"/>
      <c r="Q12" s="1156"/>
      <c r="R12" s="1179"/>
      <c r="S12" s="1166"/>
      <c r="T12" s="1192"/>
      <c r="U12" s="396"/>
      <c r="V12" s="476"/>
      <c r="W12" s="477" t="str">
        <f>Z8&amp;"-"&amp;AB8</f>
        <v>-</v>
      </c>
      <c r="X12" s="476"/>
      <c r="Y12" s="477" t="str">
        <f>AB8&amp;"-"&amp;AD8</f>
        <v>-да</v>
      </c>
      <c r="Z12" s="476"/>
      <c r="AA12" s="476"/>
      <c r="AB12" s="476"/>
      <c r="AC12" s="476"/>
      <c r="AD12" s="1105"/>
      <c r="AE12" s="494"/>
      <c r="AF12" s="495"/>
      <c r="AG12" s="168" t="s">
        <v>489</v>
      </c>
      <c r="AH12" s="476"/>
      <c r="AI12" s="476"/>
      <c r="AJ12" s="476"/>
      <c r="AK12" s="476"/>
      <c r="AL12" s="476"/>
      <c r="AM12" s="476"/>
      <c r="AN12" s="476"/>
      <c r="AO12" s="476"/>
      <c r="AP12" s="476"/>
      <c r="AQ12" s="476"/>
      <c r="AR12" s="476"/>
      <c r="AS12" s="476"/>
      <c r="AT12" s="476"/>
      <c r="AU12" s="477" t="str">
        <f>AX8&amp;"-"&amp;AZ8</f>
        <v>-</v>
      </c>
      <c r="AV12" s="476"/>
      <c r="AW12" s="477" t="str">
        <f>AZ8&amp;"-"&amp;BB8</f>
        <v>-</v>
      </c>
      <c r="AX12" s="476"/>
      <c r="AY12" s="476"/>
      <c r="AZ12" s="476"/>
      <c r="BA12" s="476"/>
      <c r="BB12" s="493" t="str">
        <f>BE8&amp;"-"&amp;BG8</f>
        <v>-</v>
      </c>
      <c r="BC12" s="1159"/>
      <c r="BE12" s="121"/>
      <c r="BF12" s="121" t="str">
        <f t="shared" ref="BF12:BF18" si="1">IF(T12="","",T12)</f>
        <v/>
      </c>
      <c r="BG12" s="121"/>
      <c r="BH12" s="121"/>
    </row>
    <row r="13" spans="1:60" ht="11.25" hidden="1" customHeight="1">
      <c r="A13" s="390"/>
      <c r="B13" s="390"/>
      <c r="C13" s="390"/>
      <c r="D13" s="390"/>
      <c r="E13" s="1153"/>
      <c r="F13" s="1153"/>
      <c r="G13" s="1153"/>
      <c r="H13" s="1153"/>
      <c r="I13" s="1155"/>
      <c r="J13" s="1155"/>
      <c r="K13" s="390"/>
      <c r="L13" s="391"/>
      <c r="P13" s="1156"/>
      <c r="Q13" s="1156"/>
      <c r="R13" s="405"/>
      <c r="S13" s="416"/>
      <c r="T13" s="419" t="s">
        <v>453</v>
      </c>
      <c r="U13" s="186"/>
      <c r="V13" s="186"/>
      <c r="W13" s="186"/>
      <c r="X13" s="186"/>
      <c r="Y13" s="186"/>
      <c r="Z13" s="186"/>
      <c r="AA13" s="186"/>
      <c r="AB13" s="186"/>
      <c r="AC13" s="186"/>
      <c r="AD13" s="514"/>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418"/>
      <c r="BC13" s="1159"/>
      <c r="BE13" s="121"/>
      <c r="BF13" s="121" t="str">
        <f t="shared" si="1"/>
        <v>Добавить строку</v>
      </c>
      <c r="BG13" s="121"/>
      <c r="BH13" s="121"/>
    </row>
    <row r="14" spans="1:60" s="53" customFormat="1" ht="14.25" hidden="1" customHeight="1">
      <c r="A14" s="125"/>
      <c r="B14" s="125"/>
      <c r="C14" s="125"/>
      <c r="D14" s="125"/>
      <c r="E14" s="1153"/>
      <c r="F14" s="1153"/>
      <c r="G14" s="1153"/>
      <c r="H14" s="1153"/>
      <c r="I14" s="1155"/>
      <c r="J14" s="125"/>
      <c r="K14" s="125"/>
      <c r="L14" s="184"/>
      <c r="M14" s="466"/>
      <c r="N14" s="466"/>
      <c r="O14" s="466"/>
      <c r="P14" s="1156"/>
      <c r="Q14" s="124"/>
      <c r="R14" s="405"/>
      <c r="S14" s="462"/>
      <c r="T14" s="463"/>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5"/>
      <c r="BE14" s="121"/>
      <c r="BF14" s="121" t="str">
        <f t="shared" si="1"/>
        <v/>
      </c>
      <c r="BG14" s="121"/>
      <c r="BH14" s="121"/>
    </row>
    <row r="15" spans="1:60" s="53" customFormat="1" ht="14.25" hidden="1" customHeight="1">
      <c r="A15" s="125"/>
      <c r="B15" s="125"/>
      <c r="C15" s="125"/>
      <c r="D15" s="125"/>
      <c r="E15" s="1153"/>
      <c r="F15" s="1153"/>
      <c r="G15" s="1153"/>
      <c r="H15" s="1153"/>
      <c r="I15" s="125"/>
      <c r="J15" s="125"/>
      <c r="K15" s="125"/>
      <c r="L15" s="184"/>
      <c r="M15" s="375"/>
      <c r="N15" s="375"/>
      <c r="P15" s="158"/>
      <c r="Q15" s="424"/>
      <c r="R15" s="496"/>
      <c r="S15" s="462"/>
      <c r="T15" s="463"/>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5"/>
      <c r="BE15" s="121"/>
      <c r="BF15" s="121" t="str">
        <f t="shared" si="1"/>
        <v/>
      </c>
      <c r="BG15" s="121"/>
      <c r="BH15" s="121"/>
    </row>
    <row r="16" spans="1:60" s="53" customFormat="1" ht="14.25" hidden="1" customHeight="1">
      <c r="A16" s="125"/>
      <c r="B16" s="125"/>
      <c r="C16" s="125"/>
      <c r="D16" s="125"/>
      <c r="E16" s="1153"/>
      <c r="F16" s="1153"/>
      <c r="G16" s="1153"/>
      <c r="H16" s="125"/>
      <c r="I16" s="125"/>
      <c r="J16" s="125"/>
      <c r="K16" s="125"/>
      <c r="L16" s="184"/>
      <c r="M16" s="375"/>
      <c r="N16" s="375"/>
      <c r="P16" s="158"/>
      <c r="Q16" s="424"/>
      <c r="R16" s="158"/>
      <c r="S16" s="429"/>
      <c r="T16" s="432"/>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E16" s="121"/>
      <c r="BF16" s="121" t="str">
        <f t="shared" si="1"/>
        <v/>
      </c>
      <c r="BG16" s="121"/>
      <c r="BH16" s="121"/>
    </row>
    <row r="17" spans="1:60" s="53" customFormat="1" ht="14.25" hidden="1" customHeight="1">
      <c r="A17" s="125"/>
      <c r="B17" s="125"/>
      <c r="C17" s="125"/>
      <c r="D17" s="125"/>
      <c r="E17" s="1153"/>
      <c r="F17" s="1153"/>
      <c r="G17" s="125"/>
      <c r="H17" s="125"/>
      <c r="I17" s="125"/>
      <c r="J17" s="125"/>
      <c r="K17" s="125"/>
      <c r="L17" s="184"/>
      <c r="M17" s="428"/>
      <c r="N17" s="428"/>
      <c r="P17" s="158"/>
      <c r="Q17" s="424"/>
      <c r="R17" s="158"/>
      <c r="S17" s="429"/>
      <c r="T17" s="432" t="s">
        <v>253</v>
      </c>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E17" s="121"/>
      <c r="BF17" s="121" t="str">
        <f t="shared" si="1"/>
        <v>Добавить централизованную систему для дифференциации</v>
      </c>
      <c r="BG17" s="121"/>
      <c r="BH17" s="121"/>
    </row>
    <row r="18" spans="1:60" s="53" customFormat="1" ht="14.25" hidden="1" customHeight="1">
      <c r="A18" s="125"/>
      <c r="B18" s="125"/>
      <c r="C18" s="125"/>
      <c r="D18" s="125"/>
      <c r="E18" s="1153"/>
      <c r="F18" s="125"/>
      <c r="G18" s="125"/>
      <c r="H18" s="125"/>
      <c r="I18" s="125"/>
      <c r="J18" s="125"/>
      <c r="K18" s="125"/>
      <c r="L18" s="184"/>
      <c r="M18" s="428"/>
      <c r="N18" s="428"/>
      <c r="P18" s="158"/>
      <c r="Q18" s="424"/>
      <c r="R18" s="158"/>
      <c r="S18" s="429"/>
      <c r="T18" s="432" t="s">
        <v>254</v>
      </c>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E18" s="121"/>
      <c r="BF18" s="121" t="str">
        <f t="shared" si="1"/>
        <v>Добавить территорию для дифференциации</v>
      </c>
      <c r="BG18" s="121"/>
      <c r="BH18" s="121"/>
    </row>
    <row r="19" spans="1:60" ht="14.25" hidden="1" customHeight="1"/>
    <row r="20" spans="1:60" ht="14.25" hidden="1" customHeight="1">
      <c r="AD20" s="431" t="s">
        <v>53</v>
      </c>
      <c r="AE20" s="497"/>
      <c r="AF20" s="431">
        <v>1</v>
      </c>
      <c r="AG20" s="498"/>
      <c r="AH20" s="431" t="s">
        <v>53</v>
      </c>
      <c r="AI20" s="497"/>
      <c r="AJ20" s="431">
        <v>1</v>
      </c>
      <c r="AK20" s="498"/>
      <c r="AL20" s="431" t="s">
        <v>53</v>
      </c>
      <c r="AM20" s="499"/>
      <c r="AN20" s="431">
        <v>1</v>
      </c>
      <c r="AO20" s="126"/>
      <c r="AP20" s="431" t="s">
        <v>53</v>
      </c>
      <c r="AQ20" s="499"/>
      <c r="AR20" s="431">
        <v>1</v>
      </c>
      <c r="AS20" s="126"/>
      <c r="AT20" s="412"/>
      <c r="AU20" s="457"/>
      <c r="AV20" s="412"/>
      <c r="AW20" s="457"/>
      <c r="AX20" s="503"/>
      <c r="AY20" s="225" t="s">
        <v>63</v>
      </c>
      <c r="AZ20" s="503"/>
      <c r="BA20" s="225" t="s">
        <v>63</v>
      </c>
    </row>
    <row r="21" spans="1:60" ht="14.25" hidden="1" customHeight="1">
      <c r="BD21" s="123"/>
      <c r="BE21" s="123"/>
      <c r="BF21" s="123"/>
      <c r="BG21" s="123"/>
      <c r="BH21" s="123"/>
    </row>
    <row r="22" spans="1:60" ht="14.25" hidden="1" customHeight="1">
      <c r="O22" s="435" t="s">
        <v>404</v>
      </c>
      <c r="Z22" s="484"/>
      <c r="AB22" s="484"/>
      <c r="AX22" s="484"/>
      <c r="AZ22" s="484"/>
      <c r="BD22" s="123"/>
      <c r="BE22" s="123"/>
      <c r="BF22" s="123"/>
      <c r="BG22" s="123"/>
      <c r="BH22" s="123"/>
    </row>
    <row r="23" spans="1:60" ht="14.25" hidden="1" customHeight="1">
      <c r="BD23" s="123"/>
      <c r="BE23" s="123"/>
      <c r="BF23" s="123"/>
      <c r="BG23" s="123"/>
      <c r="BH23" s="123"/>
    </row>
    <row r="24" spans="1:60" s="504" customFormat="1" ht="14.25" hidden="1" customHeight="1">
      <c r="M24" s="505"/>
      <c r="N24" s="505"/>
      <c r="O24" s="504" t="s">
        <v>405</v>
      </c>
      <c r="P24" s="505"/>
      <c r="Q24" s="506"/>
      <c r="R24" s="506"/>
      <c r="AA24" s="504" t="s">
        <v>407</v>
      </c>
      <c r="AC24" s="504" t="s">
        <v>408</v>
      </c>
      <c r="AD24" s="504" t="s">
        <v>454</v>
      </c>
      <c r="AH24" s="504" t="s">
        <v>454</v>
      </c>
      <c r="AK24" s="504" t="s">
        <v>490</v>
      </c>
      <c r="AL24" s="504" t="s">
        <v>454</v>
      </c>
      <c r="AP24" s="504" t="s">
        <v>454</v>
      </c>
      <c r="AY24" s="504" t="s">
        <v>407</v>
      </c>
      <c r="BA24" s="504" t="s">
        <v>408</v>
      </c>
      <c r="BD24" s="507"/>
      <c r="BE24" s="507"/>
      <c r="BF24" s="507"/>
      <c r="BG24" s="507"/>
      <c r="BH24" s="507"/>
    </row>
    <row r="25" spans="1:60" ht="14.25" hidden="1" customHeight="1">
      <c r="O25" s="391"/>
      <c r="BD25" s="123"/>
      <c r="BE25" s="123"/>
      <c r="BF25" s="123"/>
      <c r="BG25" s="123"/>
      <c r="BH25" s="123"/>
    </row>
    <row r="26" spans="1:60" ht="14.25" hidden="1" customHeight="1">
      <c r="O26" s="391"/>
      <c r="BD26" s="123"/>
      <c r="BE26" s="123"/>
      <c r="BF26" s="123"/>
      <c r="BG26" s="123"/>
      <c r="BH26" s="123"/>
    </row>
    <row r="27" spans="1:60" ht="14.25" customHeight="1">
      <c r="Q27" s="508"/>
      <c r="R27" s="437"/>
      <c r="S27" s="438"/>
      <c r="T27" s="83"/>
      <c r="U27" s="83"/>
    </row>
    <row r="28" spans="1:60" ht="14.25" customHeight="1">
      <c r="Q28" s="508"/>
      <c r="R28" s="437"/>
      <c r="S28" s="110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106"/>
      <c r="U28" s="1106"/>
      <c r="V28" s="1106"/>
      <c r="W28" s="1106"/>
      <c r="X28" s="1106"/>
      <c r="Y28" s="1106"/>
      <c r="Z28" s="1106"/>
      <c r="AA28" s="1106"/>
      <c r="AB28" s="1106"/>
      <c r="AC28" s="1106"/>
      <c r="AD28" s="1106"/>
      <c r="AE28" s="1106"/>
      <c r="AF28" s="1106"/>
      <c r="AG28" s="1106"/>
      <c r="AH28" s="1106"/>
      <c r="AI28" s="1106"/>
      <c r="AJ28" s="1106"/>
      <c r="AK28" s="1106"/>
      <c r="AL28" s="1106"/>
      <c r="AM28" s="1106"/>
      <c r="AN28" s="1106"/>
      <c r="AO28" s="1106"/>
      <c r="AP28" s="1106"/>
      <c r="AQ28" s="1106"/>
      <c r="AR28" s="1106"/>
      <c r="AS28" s="1106"/>
      <c r="AT28" s="1106"/>
      <c r="AU28" s="1106"/>
      <c r="AV28" s="1106"/>
      <c r="AW28" s="1106"/>
      <c r="AX28" s="1106"/>
      <c r="AY28" s="1106"/>
      <c r="AZ28" s="1106"/>
      <c r="BA28" s="201"/>
    </row>
    <row r="29" spans="1:60" ht="14.25" customHeight="1">
      <c r="Q29" s="508"/>
      <c r="R29" s="437"/>
      <c r="S29" s="1127" t="str">
        <f>IF(org=0,"Не определено",org)</f>
        <v>Филиал ПАО "ОГК-2" - Серовская ГРЭС, г. Серов</v>
      </c>
      <c r="T29" s="1127"/>
      <c r="U29" s="1127"/>
      <c r="V29" s="1127"/>
      <c r="W29" s="1127"/>
      <c r="X29" s="1127"/>
      <c r="Y29" s="1127"/>
      <c r="Z29" s="1127"/>
      <c r="AA29" s="1127"/>
      <c r="AB29" s="1127"/>
      <c r="AC29" s="1127"/>
      <c r="AD29" s="1127"/>
      <c r="AE29" s="1127"/>
      <c r="AF29" s="1127"/>
      <c r="AG29" s="1127"/>
      <c r="AH29" s="1127"/>
      <c r="AI29" s="1127"/>
      <c r="AJ29" s="1127"/>
      <c r="AK29" s="1127"/>
      <c r="AL29" s="1127"/>
      <c r="AM29" s="1127"/>
      <c r="AN29" s="1127"/>
      <c r="AO29" s="1127"/>
      <c r="AP29" s="1127"/>
      <c r="AQ29" s="1127"/>
      <c r="AR29" s="1127"/>
      <c r="AS29" s="1127"/>
      <c r="AT29" s="1127"/>
      <c r="AU29" s="1127"/>
      <c r="AV29" s="1127"/>
      <c r="AW29" s="1127"/>
      <c r="AX29" s="1127"/>
      <c r="AY29" s="1127"/>
      <c r="AZ29" s="1127"/>
      <c r="BA29" s="201"/>
    </row>
    <row r="30" spans="1:60" ht="14.25" customHeight="1">
      <c r="Q30" s="508"/>
      <c r="R30" s="437"/>
      <c r="S30" s="438"/>
      <c r="T30" s="83"/>
      <c r="U30" s="83"/>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row>
    <row r="31" spans="1:60" s="174" customFormat="1" ht="25.5" customHeight="1">
      <c r="A31" s="142"/>
      <c r="B31" s="142"/>
      <c r="C31" s="142"/>
      <c r="D31" s="142"/>
      <c r="E31" s="142"/>
      <c r="F31" s="142"/>
      <c r="G31" s="142"/>
      <c r="H31" s="142"/>
      <c r="I31" s="142"/>
      <c r="J31" s="142"/>
      <c r="K31" s="142"/>
      <c r="L31" s="391"/>
      <c r="M31" s="142"/>
      <c r="N31" s="142"/>
      <c r="O31" s="142"/>
      <c r="P31" s="142"/>
      <c r="Q31" s="142"/>
      <c r="S31" s="1162" t="s">
        <v>37</v>
      </c>
      <c r="T31" s="1162"/>
      <c r="U31" s="441"/>
      <c r="V31" s="1163" t="str">
        <f>IF(TITLE_NAME_OR_PR_CHANGE="",IF(TITLE_NAME_OR_PR="","",TITLE_NAME_OR_PR),TITLE_NAME_OR_PR_CHANGE)</f>
        <v>Региональная энергетическая комиссия Свердловской области</v>
      </c>
      <c r="W31" s="1163"/>
      <c r="X31" s="1163"/>
      <c r="Y31" s="1163"/>
      <c r="Z31" s="1163"/>
      <c r="AA31" s="1163"/>
      <c r="AB31" s="1163"/>
      <c r="AC31" s="46"/>
      <c r="AD31" s="1163" t="str">
        <f>IF(TITLE_NAME_OR_PR_CHANGE="",IF(TITLE_NAME_OR_PR="","",TITLE_NAME_OR_PR),TITLE_NAME_OR_PR_CHANGE)</f>
        <v>Региональная энергетическая комиссия Свердловской области</v>
      </c>
      <c r="AE31" s="1163"/>
      <c r="AF31" s="1163"/>
      <c r="AG31" s="1163"/>
      <c r="AH31" s="1163"/>
      <c r="AI31" s="1163"/>
      <c r="AJ31" s="1163"/>
      <c r="AK31" s="1163"/>
      <c r="AL31" s="1163"/>
      <c r="AM31" s="1163"/>
      <c r="AN31" s="1163"/>
      <c r="AO31" s="1163"/>
      <c r="AP31" s="1163"/>
      <c r="AQ31" s="1163"/>
      <c r="AR31" s="1163"/>
      <c r="AS31" s="1163"/>
      <c r="AT31" s="1163"/>
      <c r="AU31" s="1163"/>
      <c r="AV31" s="1163"/>
      <c r="AW31" s="1163"/>
      <c r="AX31" s="1163"/>
      <c r="AY31" s="1163"/>
      <c r="AZ31" s="1163"/>
      <c r="BA31" s="46"/>
      <c r="BB31" s="46"/>
      <c r="BC31" s="442"/>
      <c r="BD31" s="121"/>
      <c r="BE31" s="121"/>
      <c r="BF31" s="121"/>
      <c r="BG31" s="121"/>
      <c r="BH31" s="121"/>
    </row>
    <row r="32" spans="1:60" s="174" customFormat="1" ht="18.75" customHeight="1">
      <c r="A32" s="142"/>
      <c r="B32" s="142"/>
      <c r="C32" s="142"/>
      <c r="D32" s="142"/>
      <c r="E32" s="142"/>
      <c r="F32" s="142"/>
      <c r="G32" s="142"/>
      <c r="H32" s="142"/>
      <c r="I32" s="142"/>
      <c r="J32" s="142"/>
      <c r="K32" s="142"/>
      <c r="L32" s="391"/>
      <c r="M32" s="142"/>
      <c r="N32" s="142"/>
      <c r="O32" s="142"/>
      <c r="P32" s="142"/>
      <c r="Q32" s="142"/>
      <c r="S32" s="1162" t="s">
        <v>410</v>
      </c>
      <c r="T32" s="1162"/>
      <c r="U32" s="441"/>
      <c r="V32" s="1164">
        <f>IF(TITLE_DATE_PR_CHANGE="",IF(TITLE_DATE_PR="","",TITLE_DATE_PR),TITLE_DATE_PR_CHANGE)</f>
        <v>45266.462974536997</v>
      </c>
      <c r="W32" s="1164"/>
      <c r="X32" s="1164"/>
      <c r="Y32" s="1164"/>
      <c r="Z32" s="1164"/>
      <c r="AA32" s="1164"/>
      <c r="AB32" s="1164"/>
      <c r="AC32" s="46"/>
      <c r="AD32" s="1164">
        <f>IF(TITLE_DATE_PR_CHANGE="",IF(TITLE_DATE_PR="","",TITLE_DATE_PR),TITLE_DATE_PR_CHANGE)</f>
        <v>45266.462974536997</v>
      </c>
      <c r="AE32" s="1164"/>
      <c r="AF32" s="1164"/>
      <c r="AG32" s="1164"/>
      <c r="AH32" s="1164"/>
      <c r="AI32" s="1164"/>
      <c r="AJ32" s="1164"/>
      <c r="AK32" s="1164"/>
      <c r="AL32" s="1164"/>
      <c r="AM32" s="1164"/>
      <c r="AN32" s="1164"/>
      <c r="AO32" s="1164"/>
      <c r="AP32" s="1164"/>
      <c r="AQ32" s="1164"/>
      <c r="AR32" s="1164"/>
      <c r="AS32" s="1164"/>
      <c r="AT32" s="1164"/>
      <c r="AU32" s="1164"/>
      <c r="AV32" s="1164"/>
      <c r="AW32" s="1164"/>
      <c r="AX32" s="1164"/>
      <c r="AY32" s="1164"/>
      <c r="AZ32" s="1164"/>
      <c r="BA32" s="46"/>
      <c r="BB32" s="46"/>
      <c r="BC32" s="442"/>
      <c r="BD32" s="121"/>
      <c r="BE32" s="121"/>
      <c r="BF32" s="121"/>
      <c r="BG32" s="121"/>
      <c r="BH32" s="121"/>
    </row>
    <row r="33" spans="1:60" s="174" customFormat="1" ht="18.75" customHeight="1">
      <c r="A33" s="142"/>
      <c r="B33" s="142"/>
      <c r="C33" s="142"/>
      <c r="D33" s="142"/>
      <c r="E33" s="142"/>
      <c r="F33" s="142"/>
      <c r="G33" s="142"/>
      <c r="H33" s="142"/>
      <c r="I33" s="142"/>
      <c r="J33" s="142"/>
      <c r="K33" s="142"/>
      <c r="L33" s="391"/>
      <c r="M33" s="142"/>
      <c r="N33" s="142"/>
      <c r="O33" s="142"/>
      <c r="P33" s="142"/>
      <c r="Q33" s="142"/>
      <c r="S33" s="1162" t="s">
        <v>411</v>
      </c>
      <c r="T33" s="1162"/>
      <c r="U33" s="441"/>
      <c r="V33" s="1163" t="str">
        <f>IF(TITLE_NUMBER_PR_CHANGE="",IF(TITLE_NUMBER_PR="","",TITLE_NUMBER_PR),TITLE_NUMBER_PR_CHANGE)</f>
        <v>216-ПК</v>
      </c>
      <c r="W33" s="1163"/>
      <c r="X33" s="1163"/>
      <c r="Y33" s="1163"/>
      <c r="Z33" s="1163"/>
      <c r="AA33" s="1163"/>
      <c r="AB33" s="1163"/>
      <c r="AC33" s="46"/>
      <c r="AD33" s="1163" t="str">
        <f>IF(TITLE_NUMBER_PR_CHANGE="",IF(TITLE_NUMBER_PR="","",TITLE_NUMBER_PR),TITLE_NUMBER_PR_CHANGE)</f>
        <v>216-ПК</v>
      </c>
      <c r="AE33" s="1163"/>
      <c r="AF33" s="1163"/>
      <c r="AG33" s="1163"/>
      <c r="AH33" s="1163"/>
      <c r="AI33" s="1163"/>
      <c r="AJ33" s="1163"/>
      <c r="AK33" s="1163"/>
      <c r="AL33" s="1163"/>
      <c r="AM33" s="1163"/>
      <c r="AN33" s="1163"/>
      <c r="AO33" s="1163"/>
      <c r="AP33" s="1163"/>
      <c r="AQ33" s="1163"/>
      <c r="AR33" s="1163"/>
      <c r="AS33" s="1163"/>
      <c r="AT33" s="1163"/>
      <c r="AU33" s="1163"/>
      <c r="AV33" s="1163"/>
      <c r="AW33" s="1163"/>
      <c r="AX33" s="1163"/>
      <c r="AY33" s="1163"/>
      <c r="AZ33" s="1163"/>
      <c r="BA33" s="46"/>
      <c r="BB33" s="46"/>
      <c r="BC33" s="442"/>
      <c r="BD33" s="121"/>
      <c r="BE33" s="121"/>
      <c r="BF33" s="121"/>
      <c r="BG33" s="121"/>
      <c r="BH33" s="121"/>
    </row>
    <row r="34" spans="1:60" s="174" customFormat="1" ht="18.75" customHeight="1">
      <c r="A34" s="142"/>
      <c r="B34" s="142"/>
      <c r="C34" s="142"/>
      <c r="D34" s="142"/>
      <c r="E34" s="142"/>
      <c r="F34" s="142"/>
      <c r="G34" s="142"/>
      <c r="H34" s="142"/>
      <c r="I34" s="142"/>
      <c r="J34" s="142"/>
      <c r="K34" s="142"/>
      <c r="L34" s="391"/>
      <c r="M34" s="142"/>
      <c r="N34" s="142"/>
      <c r="O34" s="142"/>
      <c r="P34" s="142"/>
      <c r="Q34" s="142"/>
      <c r="S34" s="1162" t="s">
        <v>39</v>
      </c>
      <c r="T34" s="1162"/>
      <c r="U34" s="441"/>
      <c r="V34" s="1163" t="str">
        <f>IF(TITLE_IST_PUB_CHANGE="",IF(TITLE_IST_PUB="","",TITLE_IST_PUB),TITLE_IST_PUB_CHANGE)</f>
        <v>Региональная энергетическая комиссия Свердловской области</v>
      </c>
      <c r="W34" s="1163"/>
      <c r="X34" s="1163"/>
      <c r="Y34" s="1163"/>
      <c r="Z34" s="1163"/>
      <c r="AA34" s="1163"/>
      <c r="AB34" s="1163"/>
      <c r="AC34" s="46"/>
      <c r="AD34" s="1163" t="str">
        <f>IF(TITLE_IST_PUB_CHANGE="",IF(TITLE_IST_PUB="","",TITLE_IST_PUB),TITLE_IST_PUB_CHANGE)</f>
        <v>Региональная энергетическая комиссия Свердловской области</v>
      </c>
      <c r="AE34" s="1163"/>
      <c r="AF34" s="1163"/>
      <c r="AG34" s="1163"/>
      <c r="AH34" s="1163"/>
      <c r="AI34" s="1163"/>
      <c r="AJ34" s="1163"/>
      <c r="AK34" s="1163"/>
      <c r="AL34" s="1163"/>
      <c r="AM34" s="1163"/>
      <c r="AN34" s="1163"/>
      <c r="AO34" s="1163"/>
      <c r="AP34" s="1163"/>
      <c r="AQ34" s="1163"/>
      <c r="AR34" s="1163"/>
      <c r="AS34" s="1163"/>
      <c r="AT34" s="1163"/>
      <c r="AU34" s="1163"/>
      <c r="AV34" s="1163"/>
      <c r="AW34" s="1163"/>
      <c r="AX34" s="1163"/>
      <c r="AY34" s="1163"/>
      <c r="AZ34" s="1163"/>
      <c r="BA34" s="46"/>
      <c r="BB34" s="46"/>
      <c r="BC34" s="442"/>
      <c r="BD34" s="121"/>
      <c r="BE34" s="121"/>
      <c r="BF34" s="121"/>
      <c r="BG34" s="121"/>
      <c r="BH34" s="121"/>
    </row>
    <row r="35" spans="1:60" ht="14.25" hidden="1" customHeight="1">
      <c r="Q35" s="508"/>
      <c r="R35" s="437"/>
      <c r="S35" s="438"/>
      <c r="T35" s="83"/>
      <c r="U35" s="83"/>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39"/>
    </row>
    <row r="36" spans="1:60" s="174" customFormat="1" ht="18.75" hidden="1" customHeight="1">
      <c r="A36" s="142"/>
      <c r="B36" s="142"/>
      <c r="C36" s="142"/>
      <c r="D36" s="142"/>
      <c r="E36" s="142"/>
      <c r="F36" s="142"/>
      <c r="G36" s="142"/>
      <c r="H36" s="142"/>
      <c r="I36" s="142"/>
      <c r="J36" s="142"/>
      <c r="K36" s="142"/>
      <c r="L36" s="391"/>
      <c r="M36" s="142"/>
      <c r="N36" s="142"/>
      <c r="O36" s="142"/>
      <c r="P36" s="142"/>
      <c r="Q36" s="142"/>
      <c r="S36" s="1162" t="s">
        <v>410</v>
      </c>
      <c r="T36" s="1162"/>
      <c r="U36" s="441"/>
      <c r="V36" s="1164">
        <f>IF(TITLE_DATE_PR_CHANGE="",IF(TITLE_DATE_PR="","",TITLE_DATE_PR),TITLE_DATE_PR_CHANGE)</f>
        <v>45266.462974536997</v>
      </c>
      <c r="W36" s="1164"/>
      <c r="X36" s="1164"/>
      <c r="Y36" s="1164"/>
      <c r="Z36" s="1164"/>
      <c r="AA36" s="1164"/>
      <c r="AB36" s="1164"/>
      <c r="AC36" s="46"/>
      <c r="AD36" s="1164">
        <f>IF(TITLE_DATE_PR_CHANGE="",IF(TITLE_DATE_PR="","",TITLE_DATE_PR),TITLE_DATE_PR_CHANGE)</f>
        <v>45266.462974536997</v>
      </c>
      <c r="AE36" s="1164"/>
      <c r="AF36" s="1164"/>
      <c r="AG36" s="1164"/>
      <c r="AH36" s="1164"/>
      <c r="AI36" s="1164"/>
      <c r="AJ36" s="1164"/>
      <c r="AK36" s="1164"/>
      <c r="AL36" s="1164"/>
      <c r="AM36" s="1164"/>
      <c r="AN36" s="1164"/>
      <c r="AO36" s="1164"/>
      <c r="AP36" s="1164"/>
      <c r="AQ36" s="1164"/>
      <c r="AR36" s="1164"/>
      <c r="AS36" s="1164"/>
      <c r="AT36" s="1164"/>
      <c r="AU36" s="1164"/>
      <c r="AV36" s="1164"/>
      <c r="AW36" s="1164"/>
      <c r="AX36" s="1164"/>
      <c r="AY36" s="1164"/>
      <c r="AZ36" s="1164"/>
      <c r="BA36" s="46"/>
      <c r="BB36" s="46"/>
      <c r="BC36" s="442"/>
      <c r="BD36" s="121"/>
      <c r="BE36" s="121"/>
      <c r="BF36" s="121"/>
      <c r="BG36" s="121"/>
      <c r="BH36" s="121"/>
    </row>
    <row r="37" spans="1:60" s="174" customFormat="1" ht="18.75" hidden="1" customHeight="1">
      <c r="A37" s="142"/>
      <c r="B37" s="142"/>
      <c r="C37" s="142"/>
      <c r="D37" s="142"/>
      <c r="E37" s="142"/>
      <c r="F37" s="142"/>
      <c r="G37" s="142"/>
      <c r="H37" s="142"/>
      <c r="I37" s="142"/>
      <c r="J37" s="142"/>
      <c r="K37" s="142"/>
      <c r="L37" s="391"/>
      <c r="M37" s="142"/>
      <c r="N37" s="142"/>
      <c r="O37" s="142"/>
      <c r="P37" s="142"/>
      <c r="Q37" s="142"/>
      <c r="S37" s="1162" t="s">
        <v>411</v>
      </c>
      <c r="T37" s="1162"/>
      <c r="U37" s="441"/>
      <c r="V37" s="1163" t="str">
        <f>IF(TITLE_NUMBER_PR_CHANGE="",IF(TITLE_NUMBER_PR="","",TITLE_NUMBER_PR),TITLE_NUMBER_PR_CHANGE)</f>
        <v>216-ПК</v>
      </c>
      <c r="W37" s="1163"/>
      <c r="X37" s="1163"/>
      <c r="Y37" s="1163"/>
      <c r="Z37" s="1163"/>
      <c r="AA37" s="1163"/>
      <c r="AB37" s="1163"/>
      <c r="AC37" s="46"/>
      <c r="AD37" s="1163" t="str">
        <f>IF(TITLE_NUMBER_PR_CHANGE="",IF(TITLE_NUMBER_PR="","",TITLE_NUMBER_PR),TITLE_NUMBER_PR_CHANGE)</f>
        <v>216-ПК</v>
      </c>
      <c r="AE37" s="1163"/>
      <c r="AF37" s="1163"/>
      <c r="AG37" s="1163"/>
      <c r="AH37" s="1163"/>
      <c r="AI37" s="1163"/>
      <c r="AJ37" s="1163"/>
      <c r="AK37" s="1163"/>
      <c r="AL37" s="1163"/>
      <c r="AM37" s="1163"/>
      <c r="AN37" s="1163"/>
      <c r="AO37" s="1163"/>
      <c r="AP37" s="1163"/>
      <c r="AQ37" s="1163"/>
      <c r="AR37" s="1163"/>
      <c r="AS37" s="1163"/>
      <c r="AT37" s="1163"/>
      <c r="AU37" s="1163"/>
      <c r="AV37" s="1163"/>
      <c r="AW37" s="1163"/>
      <c r="AX37" s="1163"/>
      <c r="AY37" s="1163"/>
      <c r="AZ37" s="1163"/>
      <c r="BA37" s="46"/>
      <c r="BB37" s="46"/>
      <c r="BC37" s="442"/>
      <c r="BD37" s="121"/>
      <c r="BE37" s="121"/>
      <c r="BF37" s="121"/>
      <c r="BG37" s="121"/>
      <c r="BH37" s="121"/>
    </row>
    <row r="38" spans="1:60" s="174" customFormat="1" ht="11.25">
      <c r="A38" s="142"/>
      <c r="B38" s="142"/>
      <c r="C38" s="142"/>
      <c r="D38" s="142"/>
      <c r="E38" s="142"/>
      <c r="F38" s="142"/>
      <c r="G38" s="142"/>
      <c r="H38" s="142"/>
      <c r="I38" s="142"/>
      <c r="J38" s="142"/>
      <c r="K38" s="142"/>
      <c r="L38" s="391"/>
      <c r="M38" s="142"/>
      <c r="N38" s="142"/>
      <c r="O38" s="142"/>
      <c r="P38" s="142"/>
      <c r="Q38" s="142"/>
      <c r="S38" s="46"/>
      <c r="T38" s="46"/>
      <c r="U38" s="131"/>
      <c r="V38" s="46"/>
      <c r="W38" s="46"/>
      <c r="X38" s="46"/>
      <c r="Y38" s="46"/>
      <c r="Z38" s="46"/>
      <c r="AA38" s="46"/>
      <c r="AB38" s="46"/>
      <c r="AC38" s="53" t="s">
        <v>414</v>
      </c>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53" t="s">
        <v>414</v>
      </c>
      <c r="BD38" s="121"/>
      <c r="BE38" s="121"/>
      <c r="BF38" s="121"/>
      <c r="BG38" s="121"/>
      <c r="BH38" s="121"/>
    </row>
    <row r="39" spans="1:60" ht="14.25" customHeight="1">
      <c r="Q39" s="508"/>
      <c r="R39" s="437"/>
      <c r="S39" s="438"/>
      <c r="T39" s="83"/>
      <c r="U39" s="443"/>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row>
    <row r="40" spans="1:60" ht="14.25" customHeight="1">
      <c r="Q40" s="508"/>
      <c r="R40" s="437"/>
      <c r="S40" s="1087" t="s">
        <v>287</v>
      </c>
      <c r="T40" s="1087"/>
      <c r="U40" s="1087"/>
      <c r="V40" s="1087"/>
      <c r="W40" s="1087"/>
      <c r="X40" s="1087"/>
      <c r="Y40" s="1087"/>
      <c r="Z40" s="1087"/>
      <c r="AA40" s="1087"/>
      <c r="AB40" s="1087"/>
      <c r="AC40" s="1087"/>
      <c r="AD40" s="1087"/>
      <c r="AE40" s="1087"/>
      <c r="AF40" s="1087"/>
      <c r="AG40" s="1087"/>
      <c r="AH40" s="1087"/>
      <c r="AI40" s="1087"/>
      <c r="AJ40" s="1087"/>
      <c r="AK40" s="1087"/>
      <c r="AL40" s="1087"/>
      <c r="AM40" s="1087"/>
      <c r="AN40" s="1087"/>
      <c r="AO40" s="1087"/>
      <c r="AP40" s="1087"/>
      <c r="AQ40" s="1087"/>
      <c r="AR40" s="1087"/>
      <c r="AS40" s="1087"/>
      <c r="AT40" s="1087"/>
      <c r="AU40" s="1087"/>
      <c r="AV40" s="1087"/>
      <c r="AW40" s="1087"/>
      <c r="AX40" s="1087"/>
      <c r="AY40" s="1087"/>
      <c r="AZ40" s="1087"/>
      <c r="BA40" s="1087"/>
      <c r="BB40" s="1087"/>
      <c r="BC40" s="1087" t="s">
        <v>288</v>
      </c>
    </row>
    <row r="41" spans="1:60" ht="14.25" customHeight="1">
      <c r="Q41" s="508"/>
      <c r="R41" s="437"/>
      <c r="S41" s="1166" t="s">
        <v>84</v>
      </c>
      <c r="T41" s="1167" t="s">
        <v>491</v>
      </c>
      <c r="U41" s="444"/>
      <c r="V41" s="1140" t="s">
        <v>416</v>
      </c>
      <c r="W41" s="1140"/>
      <c r="X41" s="1140"/>
      <c r="Y41" s="1140"/>
      <c r="Z41" s="1140"/>
      <c r="AA41" s="1140"/>
      <c r="AB41" s="1140"/>
      <c r="AC41" s="1167" t="s">
        <v>417</v>
      </c>
      <c r="AD41" s="1140" t="s">
        <v>510</v>
      </c>
      <c r="AE41" s="1140"/>
      <c r="AF41" s="1140"/>
      <c r="AG41" s="1140"/>
      <c r="AH41" s="1140" t="s">
        <v>511</v>
      </c>
      <c r="AI41" s="1140"/>
      <c r="AJ41" s="1140"/>
      <c r="AK41" s="1140"/>
      <c r="AL41" s="1140" t="s">
        <v>512</v>
      </c>
      <c r="AM41" s="1140"/>
      <c r="AN41" s="1140"/>
      <c r="AO41" s="1140"/>
      <c r="AP41" s="1140" t="s">
        <v>495</v>
      </c>
      <c r="AQ41" s="1140"/>
      <c r="AR41" s="1140"/>
      <c r="AS41" s="1140"/>
      <c r="AT41" s="1140" t="s">
        <v>416</v>
      </c>
      <c r="AU41" s="1140"/>
      <c r="AV41" s="1140"/>
      <c r="AW41" s="1140"/>
      <c r="AX41" s="1140"/>
      <c r="AY41" s="1140"/>
      <c r="AZ41" s="1140"/>
      <c r="BA41" s="1167" t="s">
        <v>417</v>
      </c>
      <c r="BB41" s="1168" t="s">
        <v>419</v>
      </c>
      <c r="BC41" s="1087"/>
    </row>
    <row r="42" spans="1:60" ht="33.75" customHeight="1">
      <c r="Q42" s="508"/>
      <c r="R42" s="437"/>
      <c r="S42" s="1166"/>
      <c r="T42" s="1167"/>
      <c r="U42" s="445"/>
      <c r="V42" s="1169" t="s">
        <v>496</v>
      </c>
      <c r="W42" s="1169"/>
      <c r="X42" s="1169" t="s">
        <v>497</v>
      </c>
      <c r="Y42" s="1169"/>
      <c r="Z42" s="1087" t="s">
        <v>498</v>
      </c>
      <c r="AA42" s="1087"/>
      <c r="AB42" s="1087"/>
      <c r="AC42" s="1167"/>
      <c r="AD42" s="1140"/>
      <c r="AE42" s="1140"/>
      <c r="AF42" s="1140"/>
      <c r="AG42" s="1140"/>
      <c r="AH42" s="1140"/>
      <c r="AI42" s="1140"/>
      <c r="AJ42" s="1140"/>
      <c r="AK42" s="1140"/>
      <c r="AL42" s="1140"/>
      <c r="AM42" s="1140"/>
      <c r="AN42" s="1140"/>
      <c r="AO42" s="1140"/>
      <c r="AP42" s="1140"/>
      <c r="AQ42" s="1140"/>
      <c r="AR42" s="1140"/>
      <c r="AS42" s="1140"/>
      <c r="AT42" s="1169" t="s">
        <v>513</v>
      </c>
      <c r="AU42" s="1169"/>
      <c r="AV42" s="1169" t="s">
        <v>514</v>
      </c>
      <c r="AW42" s="1169"/>
      <c r="AX42" s="1087" t="s">
        <v>498</v>
      </c>
      <c r="AY42" s="1087"/>
      <c r="AZ42" s="1087"/>
      <c r="BA42" s="1167"/>
      <c r="BB42" s="1168"/>
      <c r="BC42" s="1087"/>
    </row>
    <row r="43" spans="1:60" ht="14.25" customHeight="1">
      <c r="Q43" s="508"/>
      <c r="R43" s="437"/>
      <c r="S43" s="1166"/>
      <c r="T43" s="1167"/>
      <c r="U43" s="445"/>
      <c r="V43" s="1169"/>
      <c r="W43" s="1169"/>
      <c r="X43" s="1169"/>
      <c r="Y43" s="1169"/>
      <c r="Z43" s="1087"/>
      <c r="AA43" s="1087"/>
      <c r="AB43" s="1087"/>
      <c r="AC43" s="1167"/>
      <c r="AD43" s="1140"/>
      <c r="AE43" s="1140"/>
      <c r="AF43" s="1140"/>
      <c r="AG43" s="1140"/>
      <c r="AH43" s="1140"/>
      <c r="AI43" s="1140"/>
      <c r="AJ43" s="1140"/>
      <c r="AK43" s="1140"/>
      <c r="AL43" s="1140"/>
      <c r="AM43" s="1140"/>
      <c r="AN43" s="1140"/>
      <c r="AO43" s="1140"/>
      <c r="AP43" s="1140"/>
      <c r="AQ43" s="1140"/>
      <c r="AR43" s="1140"/>
      <c r="AS43" s="1140"/>
      <c r="AT43" s="1169"/>
      <c r="AU43" s="1169"/>
      <c r="AV43" s="1169"/>
      <c r="AW43" s="1169"/>
      <c r="AX43" s="1087"/>
      <c r="AY43" s="1087"/>
      <c r="AZ43" s="1087"/>
      <c r="BA43" s="1167"/>
      <c r="BB43" s="1168"/>
      <c r="BC43" s="1087"/>
    </row>
    <row r="44" spans="1:60" ht="14.25" customHeight="1">
      <c r="A44" s="142"/>
      <c r="B44" s="142" t="s">
        <v>131</v>
      </c>
      <c r="C44" s="142" t="s">
        <v>132</v>
      </c>
      <c r="D44" s="142" t="s">
        <v>133</v>
      </c>
      <c r="E44" s="391" t="s">
        <v>424</v>
      </c>
      <c r="F44" s="391" t="s">
        <v>425</v>
      </c>
      <c r="G44" s="391" t="s">
        <v>426</v>
      </c>
      <c r="H44" s="391" t="s">
        <v>427</v>
      </c>
      <c r="I44" s="391" t="s">
        <v>428</v>
      </c>
      <c r="J44" s="391" t="s">
        <v>429</v>
      </c>
      <c r="K44" s="391" t="s">
        <v>430</v>
      </c>
      <c r="L44" s="391" t="s">
        <v>405</v>
      </c>
      <c r="Q44" s="508"/>
      <c r="R44" s="437"/>
      <c r="S44" s="1166"/>
      <c r="T44" s="1167"/>
      <c r="U44" s="446"/>
      <c r="V44" s="368" t="s">
        <v>464</v>
      </c>
      <c r="W44" s="368" t="s">
        <v>465</v>
      </c>
      <c r="X44" s="368" t="s">
        <v>464</v>
      </c>
      <c r="Y44" s="368" t="s">
        <v>465</v>
      </c>
      <c r="Z44" s="203" t="s">
        <v>433</v>
      </c>
      <c r="AA44" s="1108" t="s">
        <v>434</v>
      </c>
      <c r="AB44" s="1108"/>
      <c r="AC44" s="1167"/>
      <c r="AD44" s="1140"/>
      <c r="AE44" s="1140"/>
      <c r="AF44" s="1140"/>
      <c r="AG44" s="1140"/>
      <c r="AH44" s="1140"/>
      <c r="AI44" s="1140"/>
      <c r="AJ44" s="1140"/>
      <c r="AK44" s="1140"/>
      <c r="AL44" s="1140"/>
      <c r="AM44" s="1140"/>
      <c r="AN44" s="1140"/>
      <c r="AO44" s="1140"/>
      <c r="AP44" s="1140"/>
      <c r="AQ44" s="1140"/>
      <c r="AR44" s="1140"/>
      <c r="AS44" s="1140"/>
      <c r="AT44" s="368" t="s">
        <v>464</v>
      </c>
      <c r="AU44" s="368" t="s">
        <v>465</v>
      </c>
      <c r="AV44" s="368" t="s">
        <v>464</v>
      </c>
      <c r="AW44" s="368" t="s">
        <v>465</v>
      </c>
      <c r="AX44" s="203" t="s">
        <v>433</v>
      </c>
      <c r="AY44" s="1108" t="s">
        <v>434</v>
      </c>
      <c r="AZ44" s="1108"/>
      <c r="BA44" s="1167"/>
      <c r="BB44" s="1168"/>
      <c r="BC44" s="1087"/>
    </row>
    <row r="45" spans="1:60" s="123" customFormat="1" ht="11.25" hidden="1" customHeight="1">
      <c r="A45" s="142"/>
      <c r="B45" s="142"/>
      <c r="C45" s="142"/>
      <c r="D45" s="142"/>
      <c r="E45" s="142"/>
      <c r="F45" s="142"/>
      <c r="G45" s="142"/>
      <c r="H45" s="142"/>
      <c r="I45" s="142"/>
      <c r="J45" s="142"/>
      <c r="K45" s="142"/>
      <c r="L45" s="391"/>
      <c r="M45" s="57"/>
      <c r="N45" s="57"/>
      <c r="O45" s="57"/>
      <c r="P45" s="466"/>
      <c r="Q45" s="449"/>
      <c r="R45" s="449">
        <v>1</v>
      </c>
      <c r="S45" s="450" t="s">
        <v>105</v>
      </c>
      <c r="T45" s="451" t="s">
        <v>106</v>
      </c>
      <c r="U45" s="452" t="str">
        <f ca="1">OFFSET(U45,0,-1)</f>
        <v>2</v>
      </c>
      <c r="V45" s="453">
        <f t="shared" ref="V45:AA45" ca="1" si="2">OFFSET(V45,0,-1)+1</f>
        <v>3</v>
      </c>
      <c r="W45" s="453">
        <f t="shared" ca="1" si="2"/>
        <v>4</v>
      </c>
      <c r="X45" s="453">
        <f t="shared" ca="1" si="2"/>
        <v>5</v>
      </c>
      <c r="Y45" s="453">
        <f t="shared" ca="1" si="2"/>
        <v>6</v>
      </c>
      <c r="Z45" s="453">
        <f t="shared" ca="1" si="2"/>
        <v>7</v>
      </c>
      <c r="AA45" s="1170">
        <f t="shared" ca="1" si="2"/>
        <v>8</v>
      </c>
      <c r="AB45" s="1170"/>
      <c r="AC45" s="453">
        <f ca="1">OFFSET(AC45,0,-2)+1</f>
        <v>9</v>
      </c>
      <c r="AD45" s="453">
        <f ca="1">OFFSET(AD45,0,-1)+1</f>
        <v>10</v>
      </c>
      <c r="AE45" s="453"/>
      <c r="AF45" s="453"/>
      <c r="AG45" s="453"/>
      <c r="AH45" s="453"/>
      <c r="AI45" s="453"/>
      <c r="AJ45" s="453"/>
      <c r="AK45" s="453"/>
      <c r="AL45" s="453"/>
      <c r="AM45" s="453"/>
      <c r="AN45" s="453"/>
      <c r="AO45" s="453"/>
      <c r="AP45" s="453"/>
      <c r="AQ45" s="453"/>
      <c r="AR45" s="453"/>
      <c r="AS45" s="453"/>
      <c r="AT45" s="453"/>
      <c r="AU45" s="453"/>
      <c r="AV45" s="453"/>
      <c r="AW45" s="453">
        <f ca="1">OFFSET(AW45,0,-1)+1</f>
        <v>1</v>
      </c>
      <c r="AX45" s="453">
        <f ca="1">OFFSET(AX45,0,-1)+1</f>
        <v>2</v>
      </c>
      <c r="AY45" s="1170">
        <f ca="1">OFFSET(AY45,0,-1)+1</f>
        <v>3</v>
      </c>
      <c r="AZ45" s="1170"/>
      <c r="BA45" s="453">
        <f ca="1">OFFSET(BA45,0,-2)+1</f>
        <v>4</v>
      </c>
      <c r="BB45" s="452">
        <f ca="1">OFFSET(BB45,0,-1)</f>
        <v>4</v>
      </c>
      <c r="BC45" s="453">
        <f ca="1">OFFSET(BC45,0,-1)+1</f>
        <v>5</v>
      </c>
      <c r="BD45" s="53"/>
      <c r="BE45" s="53"/>
      <c r="BF45" s="53"/>
      <c r="BG45" s="53"/>
      <c r="BH45" s="53"/>
    </row>
    <row r="46" spans="1:60" ht="21" customHeight="1">
      <c r="A46" s="390" t="s">
        <v>263</v>
      </c>
      <c r="B46" s="390"/>
      <c r="C46" s="390"/>
      <c r="D46" s="390"/>
      <c r="E46" s="1153">
        <v>1</v>
      </c>
      <c r="F46" s="390"/>
      <c r="G46" s="390"/>
      <c r="H46" s="390"/>
      <c r="I46" s="390"/>
      <c r="J46" s="390"/>
      <c r="K46" s="390"/>
      <c r="L46" s="391"/>
      <c r="M46" s="392"/>
      <c r="N46" s="392"/>
      <c r="O46" s="392"/>
      <c r="Q46" s="60"/>
      <c r="R46" s="393"/>
      <c r="S46" s="394">
        <f>INDEX(PT_DIFFERENTIATION_NUM_NTAR,MATCH(A46,PT_DIFFERENTIATION_NTAR_ID,0))</f>
        <v>0</v>
      </c>
      <c r="T46" s="395" t="s">
        <v>119</v>
      </c>
      <c r="U46" s="396"/>
      <c r="V46" s="1177"/>
      <c r="W46" s="1177"/>
      <c r="X46" s="1177"/>
      <c r="Y46" s="1177"/>
      <c r="Z46" s="1177"/>
      <c r="AA46" s="1177"/>
      <c r="AB46" s="1177"/>
      <c r="AC46" s="1177"/>
      <c r="AD46" s="1154" t="str">
        <f>INDEX(PT_DIFFERENTIATION_NTAR,MATCH(A46,PT_DIFFERENTIATION_NTAR_ID,0))</f>
        <v/>
      </c>
      <c r="AE46" s="1154"/>
      <c r="AF46" s="1154"/>
      <c r="AG46" s="1154"/>
      <c r="AH46" s="1154"/>
      <c r="AI46" s="1154"/>
      <c r="AJ46" s="1154"/>
      <c r="AK46" s="1154"/>
      <c r="AL46" s="1154"/>
      <c r="AM46" s="1154"/>
      <c r="AN46" s="1154"/>
      <c r="AO46" s="1154"/>
      <c r="AP46" s="1154"/>
      <c r="AQ46" s="1154"/>
      <c r="AR46" s="1154"/>
      <c r="AS46" s="1154"/>
      <c r="AT46" s="1154"/>
      <c r="AU46" s="1154"/>
      <c r="AV46" s="1154"/>
      <c r="AW46" s="1154"/>
      <c r="AX46" s="1154"/>
      <c r="AY46" s="1154"/>
      <c r="AZ46" s="1154"/>
      <c r="BA46" s="1154"/>
      <c r="BB46" s="1154"/>
      <c r="BC46"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1"/>
      <c r="BF46" s="121" t="str">
        <f t="shared" ref="BF46:BF52" si="3">IF(T46="","",T46)</f>
        <v>Наименование тарифа</v>
      </c>
      <c r="BG46" s="121"/>
      <c r="BH46" s="121"/>
    </row>
    <row r="47" spans="1:60" ht="21" customHeight="1">
      <c r="A47" s="390" t="s">
        <v>263</v>
      </c>
      <c r="B47" s="390" t="s">
        <v>264</v>
      </c>
      <c r="C47" s="390"/>
      <c r="D47" s="390"/>
      <c r="E47" s="1153"/>
      <c r="F47" s="1153">
        <v>1</v>
      </c>
      <c r="G47" s="390"/>
      <c r="H47" s="390"/>
      <c r="I47" s="390"/>
      <c r="J47" s="390"/>
      <c r="K47" s="390"/>
      <c r="L47" s="391"/>
      <c r="M47" s="392"/>
      <c r="N47" s="392"/>
      <c r="O47" s="392"/>
      <c r="P47" s="107"/>
      <c r="Q47" s="485"/>
      <c r="R47" s="399"/>
      <c r="S47" s="394" t="str">
        <f>INDEX(PT_DIFFERENTIATION_NUM_TER,MATCH(B47,PT_DIFFERENTIATION_TER_ID,0))</f>
        <v>.</v>
      </c>
      <c r="T47" s="400" t="s">
        <v>386</v>
      </c>
      <c r="U47" s="396"/>
      <c r="V47" s="1177"/>
      <c r="W47" s="1177"/>
      <c r="X47" s="1177"/>
      <c r="Y47" s="1177"/>
      <c r="Z47" s="1177"/>
      <c r="AA47" s="1177"/>
      <c r="AB47" s="1177"/>
      <c r="AC47" s="1177"/>
      <c r="AD47" s="1154" t="str">
        <f>INDEX(PT_DIFFERENTIATION_TER,MATCH(B47,PT_DIFFERENTIATION_TER_ID,0))</f>
        <v/>
      </c>
      <c r="AE47" s="1154"/>
      <c r="AF47" s="1154"/>
      <c r="AG47" s="1154"/>
      <c r="AH47" s="1154"/>
      <c r="AI47" s="1154"/>
      <c r="AJ47" s="1154"/>
      <c r="AK47" s="1154"/>
      <c r="AL47" s="1154"/>
      <c r="AM47" s="1154"/>
      <c r="AN47" s="1154"/>
      <c r="AO47" s="1154"/>
      <c r="AP47" s="1154"/>
      <c r="AQ47" s="1154"/>
      <c r="AR47" s="1154"/>
      <c r="AS47" s="1154"/>
      <c r="AT47" s="1154"/>
      <c r="AU47" s="1154"/>
      <c r="AV47" s="1154"/>
      <c r="AW47" s="1154"/>
      <c r="AX47" s="1154"/>
      <c r="AY47" s="1154"/>
      <c r="AZ47" s="1154"/>
      <c r="BA47" s="1154"/>
      <c r="BB47" s="1154"/>
      <c r="BC47" s="397" t="s">
        <v>387</v>
      </c>
      <c r="BE47" s="121"/>
      <c r="BF47" s="121" t="str">
        <f t="shared" si="3"/>
        <v>Территория действия тарифа</v>
      </c>
      <c r="BG47" s="121"/>
      <c r="BH47" s="121"/>
    </row>
    <row r="48" spans="1:60" ht="33.75" customHeight="1">
      <c r="A48" s="390" t="s">
        <v>263</v>
      </c>
      <c r="B48" s="390" t="s">
        <v>264</v>
      </c>
      <c r="C48" s="390" t="s">
        <v>265</v>
      </c>
      <c r="D48" s="390"/>
      <c r="E48" s="1153"/>
      <c r="F48" s="1153"/>
      <c r="G48" s="1153">
        <v>1</v>
      </c>
      <c r="H48" s="390"/>
      <c r="I48" s="390"/>
      <c r="J48" s="390"/>
      <c r="K48" s="390"/>
      <c r="L48" s="391"/>
      <c r="M48" s="392"/>
      <c r="N48" s="392"/>
      <c r="O48" s="392"/>
      <c r="P48" s="130"/>
      <c r="Q48" s="485"/>
      <c r="R48" s="399"/>
      <c r="S48" s="394" t="str">
        <f>INDEX(PT_DIFFERENTIATION_NUM_CS,MATCH(C48,PT_DIFFERENTIATION_CS_ID,0))</f>
        <v>..</v>
      </c>
      <c r="T48" s="402" t="s">
        <v>500</v>
      </c>
      <c r="U48" s="396"/>
      <c r="V48" s="1177"/>
      <c r="W48" s="1177"/>
      <c r="X48" s="1177"/>
      <c r="Y48" s="1177"/>
      <c r="Z48" s="1177"/>
      <c r="AA48" s="1177"/>
      <c r="AB48" s="1177"/>
      <c r="AC48" s="1177"/>
      <c r="AD48" s="1154" t="str">
        <f>INDEX(PT_DIFFERENTIATION_CS,MATCH(C48,PT_DIFFERENTIATION_CS_ID,0))</f>
        <v/>
      </c>
      <c r="AE48" s="1154"/>
      <c r="AF48" s="1154"/>
      <c r="AG48" s="1154"/>
      <c r="AH48" s="1154"/>
      <c r="AI48" s="1154"/>
      <c r="AJ48" s="1154"/>
      <c r="AK48" s="1154"/>
      <c r="AL48" s="1154"/>
      <c r="AM48" s="1154"/>
      <c r="AN48" s="1154"/>
      <c r="AO48" s="1154"/>
      <c r="AP48" s="1154"/>
      <c r="AQ48" s="1154"/>
      <c r="AR48" s="1154"/>
      <c r="AS48" s="1154"/>
      <c r="AT48" s="1154"/>
      <c r="AU48" s="1154"/>
      <c r="AV48" s="1154"/>
      <c r="AW48" s="1154"/>
      <c r="AX48" s="1154"/>
      <c r="AY48" s="1154"/>
      <c r="AZ48" s="1154"/>
      <c r="BA48" s="1154"/>
      <c r="BB48" s="1154"/>
      <c r="BC48" s="397" t="s">
        <v>501</v>
      </c>
      <c r="BE48" s="121"/>
      <c r="BF48" s="121" t="str">
        <f t="shared" si="3"/>
        <v>Наименование централизованной системы водоотведения</v>
      </c>
      <c r="BG48" s="121"/>
      <c r="BH48" s="121"/>
    </row>
    <row r="49" spans="1:60" s="53" customFormat="1" ht="10.5">
      <c r="A49" s="125" t="s">
        <v>263</v>
      </c>
      <c r="B49" s="125" t="s">
        <v>264</v>
      </c>
      <c r="C49" s="125" t="s">
        <v>265</v>
      </c>
      <c r="D49" s="125" t="s">
        <v>515</v>
      </c>
      <c r="E49" s="1153"/>
      <c r="F49" s="1153"/>
      <c r="G49" s="1153"/>
      <c r="H49" s="1153">
        <v>1</v>
      </c>
      <c r="I49" s="125"/>
      <c r="J49" s="125"/>
      <c r="K49" s="125"/>
      <c r="L49" s="184"/>
      <c r="M49" s="375"/>
      <c r="N49" s="375"/>
      <c r="O49" s="375"/>
      <c r="P49" s="524"/>
      <c r="Q49" s="525"/>
      <c r="R49" s="408"/>
      <c r="S49" s="280"/>
      <c r="T49" s="526"/>
      <c r="U49" s="460"/>
      <c r="V49" s="1178"/>
      <c r="W49" s="1178"/>
      <c r="X49" s="1178"/>
      <c r="Y49" s="1178"/>
      <c r="Z49" s="1178"/>
      <c r="AA49" s="1178"/>
      <c r="AB49" s="1178"/>
      <c r="AC49" s="1178"/>
      <c r="AD49" s="1175"/>
      <c r="AE49" s="1175"/>
      <c r="AF49" s="1175"/>
      <c r="AG49" s="1175"/>
      <c r="AH49" s="1175"/>
      <c r="AI49" s="1175"/>
      <c r="AJ49" s="1175"/>
      <c r="AK49" s="1175"/>
      <c r="AL49" s="1175"/>
      <c r="AM49" s="1175"/>
      <c r="AN49" s="1175"/>
      <c r="AO49" s="1175"/>
      <c r="AP49" s="1175"/>
      <c r="AQ49" s="1175"/>
      <c r="AR49" s="1175"/>
      <c r="AS49" s="1175"/>
      <c r="AT49" s="1175"/>
      <c r="AU49" s="1175"/>
      <c r="AV49" s="1175"/>
      <c r="AW49" s="1175"/>
      <c r="AX49" s="1175"/>
      <c r="AY49" s="1175"/>
      <c r="AZ49" s="1175"/>
      <c r="BA49" s="1175"/>
      <c r="BB49" s="1175"/>
      <c r="BC49" s="461" t="s">
        <v>391</v>
      </c>
      <c r="BE49" s="121"/>
      <c r="BF49" s="121" t="str">
        <f t="shared" si="3"/>
        <v/>
      </c>
      <c r="BG49" s="121"/>
      <c r="BH49" s="121"/>
    </row>
    <row r="50" spans="1:60" s="53" customFormat="1" ht="5.25">
      <c r="A50" s="125" t="s">
        <v>263</v>
      </c>
      <c r="B50" s="125" t="s">
        <v>264</v>
      </c>
      <c r="C50" s="125" t="s">
        <v>265</v>
      </c>
      <c r="D50" s="125" t="s">
        <v>515</v>
      </c>
      <c r="E50" s="1153"/>
      <c r="F50" s="1153"/>
      <c r="G50" s="1153"/>
      <c r="H50" s="1153"/>
      <c r="I50" s="1155" t="str">
        <f>S49&amp;".1"</f>
        <v>.1</v>
      </c>
      <c r="J50" s="125"/>
      <c r="K50" s="125"/>
      <c r="L50" s="184" t="s">
        <v>392</v>
      </c>
      <c r="M50" s="466"/>
      <c r="N50" s="466"/>
      <c r="O50" s="466"/>
      <c r="P50" s="1156">
        <v>1</v>
      </c>
      <c r="Q50" s="124"/>
      <c r="R50" s="405"/>
      <c r="S50" s="280"/>
      <c r="T50" s="459"/>
      <c r="U50" s="460"/>
      <c r="V50" s="1178"/>
      <c r="W50" s="1178"/>
      <c r="X50" s="1178"/>
      <c r="Y50" s="1178"/>
      <c r="Z50" s="1178"/>
      <c r="AA50" s="1178"/>
      <c r="AB50" s="1178"/>
      <c r="AC50" s="1178"/>
      <c r="AD50" s="1175"/>
      <c r="AE50" s="1175"/>
      <c r="AF50" s="1175"/>
      <c r="AG50" s="1175"/>
      <c r="AH50" s="1175"/>
      <c r="AI50" s="1175"/>
      <c r="AJ50" s="1175"/>
      <c r="AK50" s="1175"/>
      <c r="AL50" s="1175"/>
      <c r="AM50" s="1175"/>
      <c r="AN50" s="1175"/>
      <c r="AO50" s="1175"/>
      <c r="AP50" s="1175"/>
      <c r="AQ50" s="1175"/>
      <c r="AR50" s="1175"/>
      <c r="AS50" s="1175"/>
      <c r="AT50" s="1175"/>
      <c r="AU50" s="1175"/>
      <c r="AV50" s="1175"/>
      <c r="AW50" s="1175"/>
      <c r="AX50" s="1175"/>
      <c r="AY50" s="1175"/>
      <c r="AZ50" s="1175"/>
      <c r="BA50" s="1175"/>
      <c r="BB50" s="1175"/>
      <c r="BC50" s="461"/>
      <c r="BE50" s="121"/>
      <c r="BF50" s="121" t="str">
        <f t="shared" si="3"/>
        <v/>
      </c>
      <c r="BG50" s="121"/>
      <c r="BH50" s="121"/>
    </row>
    <row r="51" spans="1:60" s="53" customFormat="1" ht="5.25">
      <c r="A51" s="125" t="s">
        <v>263</v>
      </c>
      <c r="B51" s="125" t="s">
        <v>264</v>
      </c>
      <c r="C51" s="125" t="s">
        <v>265</v>
      </c>
      <c r="D51" s="125" t="s">
        <v>515</v>
      </c>
      <c r="E51" s="1153"/>
      <c r="F51" s="1153"/>
      <c r="G51" s="1153"/>
      <c r="H51" s="1153"/>
      <c r="I51" s="1155"/>
      <c r="J51" s="1155" t="str">
        <f>S49&amp;".1"</f>
        <v>.1</v>
      </c>
      <c r="K51" s="125"/>
      <c r="L51" s="184"/>
      <c r="M51" s="466"/>
      <c r="N51" s="466"/>
      <c r="O51" s="466"/>
      <c r="P51" s="1156"/>
      <c r="Q51" s="1156">
        <v>1</v>
      </c>
      <c r="R51" s="408"/>
      <c r="S51" s="280"/>
      <c r="T51" s="486"/>
      <c r="U51" s="460"/>
      <c r="V51" s="1178"/>
      <c r="W51" s="1178"/>
      <c r="X51" s="1178"/>
      <c r="Y51" s="1178"/>
      <c r="Z51" s="1178"/>
      <c r="AA51" s="1178"/>
      <c r="AB51" s="1178"/>
      <c r="AC51" s="1178"/>
      <c r="AD51" s="1175"/>
      <c r="AE51" s="1175"/>
      <c r="AF51" s="1175"/>
      <c r="AG51" s="1175"/>
      <c r="AH51" s="1175"/>
      <c r="AI51" s="1175"/>
      <c r="AJ51" s="1175"/>
      <c r="AK51" s="1175"/>
      <c r="AL51" s="1175"/>
      <c r="AM51" s="1175"/>
      <c r="AN51" s="1175"/>
      <c r="AO51" s="1175"/>
      <c r="AP51" s="1175"/>
      <c r="AQ51" s="1175"/>
      <c r="AR51" s="1175"/>
      <c r="AS51" s="1175"/>
      <c r="AT51" s="1175"/>
      <c r="AU51" s="1175"/>
      <c r="AV51" s="1175"/>
      <c r="AW51" s="1175"/>
      <c r="AX51" s="1175"/>
      <c r="AY51" s="1175"/>
      <c r="AZ51" s="1175"/>
      <c r="BA51" s="1175"/>
      <c r="BB51" s="1175"/>
      <c r="BC51" s="461"/>
      <c r="BE51" s="121"/>
      <c r="BF51" s="121" t="str">
        <f t="shared" si="3"/>
        <v/>
      </c>
      <c r="BG51" s="121"/>
      <c r="BH51" s="121"/>
    </row>
    <row r="52" spans="1:60" ht="11.25" customHeight="1">
      <c r="A52" s="390" t="s">
        <v>263</v>
      </c>
      <c r="B52" s="390" t="s">
        <v>264</v>
      </c>
      <c r="C52" s="390" t="s">
        <v>265</v>
      </c>
      <c r="D52" s="390" t="s">
        <v>515</v>
      </c>
      <c r="E52" s="1153"/>
      <c r="F52" s="1153"/>
      <c r="G52" s="1153"/>
      <c r="H52" s="1153"/>
      <c r="I52" s="1155"/>
      <c r="J52" s="1155"/>
      <c r="K52" s="1155" t="str">
        <f>S48&amp;".1"</f>
        <v>...1</v>
      </c>
      <c r="L52" s="391"/>
      <c r="P52" s="1156"/>
      <c r="Q52" s="1156"/>
      <c r="R52" s="408">
        <v>1</v>
      </c>
      <c r="S52" s="1166" t="str">
        <f>$K52</f>
        <v>...1</v>
      </c>
      <c r="T52" s="1192"/>
      <c r="U52" s="396"/>
      <c r="V52" s="411"/>
      <c r="W52" s="413"/>
      <c r="X52" s="411"/>
      <c r="Y52" s="413"/>
      <c r="Z52" s="414"/>
      <c r="AA52" s="191" t="s">
        <v>63</v>
      </c>
      <c r="AB52" s="414"/>
      <c r="AC52" s="191" t="s">
        <v>63</v>
      </c>
      <c r="AD52" s="1105" t="s">
        <v>63</v>
      </c>
      <c r="AE52" s="1181"/>
      <c r="AF52" s="1182">
        <v>1</v>
      </c>
      <c r="AG52" s="1193"/>
      <c r="AH52" s="1105" t="s">
        <v>63</v>
      </c>
      <c r="AI52" s="1181"/>
      <c r="AJ52" s="1182">
        <v>1</v>
      </c>
      <c r="AK52" s="1194"/>
      <c r="AL52" s="1105" t="s">
        <v>63</v>
      </c>
      <c r="AM52" s="1173"/>
      <c r="AN52" s="1182">
        <v>1</v>
      </c>
      <c r="AO52" s="1195"/>
      <c r="AP52" s="1196" t="s">
        <v>63</v>
      </c>
      <c r="AQ52" s="487"/>
      <c r="AR52" s="276">
        <v>1</v>
      </c>
      <c r="AS52" s="87"/>
      <c r="AT52" s="411"/>
      <c r="AU52" s="413"/>
      <c r="AV52" s="411"/>
      <c r="AW52" s="413"/>
      <c r="AX52" s="414"/>
      <c r="AY52" s="191" t="s">
        <v>63</v>
      </c>
      <c r="AZ52" s="414"/>
      <c r="BA52" s="191" t="s">
        <v>63</v>
      </c>
      <c r="BB52" s="454"/>
      <c r="BC52" s="1159" t="s">
        <v>485</v>
      </c>
      <c r="BE52" s="121"/>
      <c r="BF52" s="121" t="str">
        <f t="shared" si="3"/>
        <v/>
      </c>
      <c r="BG52" s="121"/>
      <c r="BH52" s="121"/>
    </row>
    <row r="53" spans="1:60" ht="11.25" customHeight="1">
      <c r="A53" s="390"/>
      <c r="B53" s="390"/>
      <c r="C53" s="390"/>
      <c r="D53" s="390"/>
      <c r="E53" s="1153"/>
      <c r="F53" s="1153"/>
      <c r="G53" s="1153"/>
      <c r="H53" s="1153"/>
      <c r="I53" s="1155"/>
      <c r="J53" s="1155"/>
      <c r="K53" s="1155"/>
      <c r="L53" s="391"/>
      <c r="P53" s="1156"/>
      <c r="Q53" s="1156"/>
      <c r="R53" s="408"/>
      <c r="S53" s="1166"/>
      <c r="T53" s="1192"/>
      <c r="U53" s="396"/>
      <c r="V53" s="476"/>
      <c r="W53" s="490"/>
      <c r="X53" s="476"/>
      <c r="Y53" s="490"/>
      <c r="Z53" s="476"/>
      <c r="AA53" s="476"/>
      <c r="AB53" s="476"/>
      <c r="AC53" s="476"/>
      <c r="AD53" s="1105"/>
      <c r="AE53" s="1181"/>
      <c r="AF53" s="1182"/>
      <c r="AG53" s="1193"/>
      <c r="AH53" s="1105"/>
      <c r="AI53" s="1181"/>
      <c r="AJ53" s="1182"/>
      <c r="AK53" s="1194"/>
      <c r="AL53" s="1105"/>
      <c r="AM53" s="1173"/>
      <c r="AN53" s="1182"/>
      <c r="AO53" s="1195"/>
      <c r="AP53" s="1196"/>
      <c r="AQ53" s="489"/>
      <c r="AR53" s="168"/>
      <c r="AS53" s="168" t="s">
        <v>486</v>
      </c>
      <c r="AT53" s="476"/>
      <c r="AU53" s="490"/>
      <c r="AV53" s="476"/>
      <c r="AW53" s="490"/>
      <c r="AX53" s="476"/>
      <c r="AY53" s="476"/>
      <c r="AZ53" s="476"/>
      <c r="BA53" s="476"/>
      <c r="BB53" s="488"/>
      <c r="BC53" s="1159"/>
      <c r="BE53" s="121"/>
      <c r="BF53" s="121"/>
      <c r="BG53" s="121"/>
      <c r="BH53" s="121"/>
    </row>
    <row r="54" spans="1:60" ht="11.25" customHeight="1">
      <c r="A54" s="390" t="s">
        <v>263</v>
      </c>
      <c r="B54" s="390"/>
      <c r="C54" s="390"/>
      <c r="D54" s="390"/>
      <c r="E54" s="1153"/>
      <c r="F54" s="1153"/>
      <c r="G54" s="1153"/>
      <c r="H54" s="1153"/>
      <c r="I54" s="1155"/>
      <c r="J54" s="1155"/>
      <c r="K54" s="1155"/>
      <c r="L54" s="391"/>
      <c r="P54" s="1156"/>
      <c r="Q54" s="1156"/>
      <c r="R54" s="408"/>
      <c r="S54" s="1166"/>
      <c r="T54" s="1192"/>
      <c r="U54" s="396"/>
      <c r="V54" s="476"/>
      <c r="W54" s="490"/>
      <c r="X54" s="476"/>
      <c r="Y54" s="490"/>
      <c r="Z54" s="476"/>
      <c r="AA54" s="476"/>
      <c r="AB54" s="476"/>
      <c r="AC54" s="476"/>
      <c r="AD54" s="1105"/>
      <c r="AE54" s="1181"/>
      <c r="AF54" s="1182"/>
      <c r="AG54" s="1193"/>
      <c r="AH54" s="1105"/>
      <c r="AI54" s="1181"/>
      <c r="AJ54" s="1182"/>
      <c r="AK54" s="1194"/>
      <c r="AL54" s="1105"/>
      <c r="AM54" s="489"/>
      <c r="AN54" s="527"/>
      <c r="AO54" s="527" t="s">
        <v>508</v>
      </c>
      <c r="AP54" s="168"/>
      <c r="AQ54" s="168"/>
      <c r="AR54" s="168"/>
      <c r="AS54" s="476"/>
      <c r="AT54" s="476"/>
      <c r="AU54" s="490"/>
      <c r="AV54" s="476"/>
      <c r="AW54" s="490"/>
      <c r="AX54" s="476"/>
      <c r="AY54" s="476"/>
      <c r="AZ54" s="476"/>
      <c r="BA54" s="476"/>
      <c r="BB54" s="488"/>
      <c r="BC54" s="1159"/>
      <c r="BE54" s="121"/>
      <c r="BF54" s="121"/>
      <c r="BG54" s="121"/>
      <c r="BH54" s="121"/>
    </row>
    <row r="55" spans="1:60" ht="11.25" customHeight="1">
      <c r="A55" s="390" t="s">
        <v>263</v>
      </c>
      <c r="B55" s="390"/>
      <c r="C55" s="390"/>
      <c r="D55" s="390"/>
      <c r="E55" s="1153"/>
      <c r="F55" s="1153"/>
      <c r="G55" s="1153"/>
      <c r="H55" s="1153"/>
      <c r="I55" s="1155"/>
      <c r="J55" s="1155"/>
      <c r="K55" s="1155"/>
      <c r="L55" s="391"/>
      <c r="P55" s="1156"/>
      <c r="Q55" s="1156"/>
      <c r="R55" s="408"/>
      <c r="S55" s="1166"/>
      <c r="T55" s="1192"/>
      <c r="U55" s="396"/>
      <c r="V55" s="476"/>
      <c r="W55" s="490"/>
      <c r="X55" s="476"/>
      <c r="Y55" s="490"/>
      <c r="Z55" s="476"/>
      <c r="AA55" s="476"/>
      <c r="AB55" s="476"/>
      <c r="AC55" s="476"/>
      <c r="AD55" s="1105"/>
      <c r="AE55" s="1181"/>
      <c r="AF55" s="1182"/>
      <c r="AG55" s="1193"/>
      <c r="AH55" s="1105"/>
      <c r="AI55" s="492"/>
      <c r="AJ55" s="163"/>
      <c r="AK55" s="357" t="s">
        <v>509</v>
      </c>
      <c r="AL55" s="476"/>
      <c r="AM55" s="476"/>
      <c r="AN55" s="476"/>
      <c r="AO55" s="476"/>
      <c r="AP55" s="476"/>
      <c r="AQ55" s="476"/>
      <c r="AR55" s="476"/>
      <c r="AS55" s="476"/>
      <c r="AT55" s="476"/>
      <c r="AU55" s="490"/>
      <c r="AV55" s="476"/>
      <c r="AW55" s="490"/>
      <c r="AX55" s="476"/>
      <c r="AY55" s="476"/>
      <c r="AZ55" s="476"/>
      <c r="BA55" s="476"/>
      <c r="BB55" s="488"/>
      <c r="BC55" s="1159"/>
      <c r="BE55" s="121"/>
      <c r="BF55" s="121"/>
      <c r="BG55" s="121"/>
      <c r="BH55" s="121"/>
    </row>
    <row r="56" spans="1:60" ht="11.25" customHeight="1">
      <c r="A56" s="390" t="s">
        <v>263</v>
      </c>
      <c r="B56" s="390" t="s">
        <v>264</v>
      </c>
      <c r="C56" s="390" t="s">
        <v>265</v>
      </c>
      <c r="D56" s="390" t="s">
        <v>515</v>
      </c>
      <c r="E56" s="1153"/>
      <c r="F56" s="1153"/>
      <c r="G56" s="1153"/>
      <c r="H56" s="1153"/>
      <c r="I56" s="1155"/>
      <c r="J56" s="1155"/>
      <c r="K56" s="1155"/>
      <c r="L56" s="391"/>
      <c r="P56" s="1156"/>
      <c r="Q56" s="1156"/>
      <c r="R56" s="408"/>
      <c r="S56" s="1166"/>
      <c r="T56" s="1192"/>
      <c r="U56" s="396"/>
      <c r="V56" s="476"/>
      <c r="W56" s="477" t="str">
        <f>Z52&amp;"-"&amp;AB52</f>
        <v>-</v>
      </c>
      <c r="X56" s="476"/>
      <c r="Y56" s="477" t="str">
        <f>AB52&amp;"-"&amp;AD52</f>
        <v>-да</v>
      </c>
      <c r="Z56" s="476"/>
      <c r="AA56" s="476"/>
      <c r="AB56" s="476"/>
      <c r="AC56" s="476"/>
      <c r="AD56" s="1105"/>
      <c r="AE56" s="494"/>
      <c r="AF56" s="495"/>
      <c r="AG56" s="168" t="s">
        <v>489</v>
      </c>
      <c r="AH56" s="476"/>
      <c r="AI56" s="476"/>
      <c r="AJ56" s="476"/>
      <c r="AK56" s="476"/>
      <c r="AL56" s="476"/>
      <c r="AM56" s="476"/>
      <c r="AN56" s="476"/>
      <c r="AO56" s="476"/>
      <c r="AP56" s="476"/>
      <c r="AQ56" s="476"/>
      <c r="AR56" s="476"/>
      <c r="AS56" s="476"/>
      <c r="AT56" s="476"/>
      <c r="AU56" s="477" t="str">
        <f>AX52&amp;"-"&amp;AZ52</f>
        <v>-</v>
      </c>
      <c r="AV56" s="476"/>
      <c r="AW56" s="477" t="str">
        <f>AZ52&amp;"-"&amp;BB52</f>
        <v>-</v>
      </c>
      <c r="AX56" s="476"/>
      <c r="AY56" s="476"/>
      <c r="AZ56" s="476"/>
      <c r="BA56" s="476"/>
      <c r="BB56" s="493" t="str">
        <f>BE52&amp;"-"&amp;BG52</f>
        <v>-</v>
      </c>
      <c r="BC56" s="1159"/>
      <c r="BE56" s="121"/>
      <c r="BF56" s="121" t="str">
        <f t="shared" ref="BF56:BF63" si="4">IF(T56="","",T56)</f>
        <v/>
      </c>
      <c r="BG56" s="121"/>
      <c r="BH56" s="121"/>
    </row>
    <row r="57" spans="1:60" ht="11.25" customHeight="1">
      <c r="A57" s="390" t="s">
        <v>263</v>
      </c>
      <c r="B57" s="390" t="s">
        <v>264</v>
      </c>
      <c r="C57" s="390" t="s">
        <v>265</v>
      </c>
      <c r="D57" s="390" t="s">
        <v>515</v>
      </c>
      <c r="E57" s="1153"/>
      <c r="F57" s="1153"/>
      <c r="G57" s="1153"/>
      <c r="H57" s="1153"/>
      <c r="I57" s="1155"/>
      <c r="J57" s="1155"/>
      <c r="K57" s="390"/>
      <c r="L57" s="391"/>
      <c r="P57" s="1156"/>
      <c r="Q57" s="1156"/>
      <c r="R57" s="405"/>
      <c r="S57" s="416"/>
      <c r="T57" s="419" t="s">
        <v>453</v>
      </c>
      <c r="U57" s="186"/>
      <c r="V57" s="186"/>
      <c r="W57" s="186"/>
      <c r="X57" s="186"/>
      <c r="Y57" s="186"/>
      <c r="Z57" s="186"/>
      <c r="AA57" s="186"/>
      <c r="AB57" s="186"/>
      <c r="AC57" s="418"/>
      <c r="AD57" s="514"/>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418"/>
      <c r="BC57" s="1159"/>
      <c r="BE57" s="121"/>
      <c r="BF57" s="121" t="str">
        <f t="shared" si="4"/>
        <v>Добавить строку</v>
      </c>
      <c r="BG57" s="121"/>
      <c r="BH57" s="121"/>
    </row>
    <row r="58" spans="1:60" s="53" customFormat="1" ht="5.25">
      <c r="A58" s="125" t="s">
        <v>263</v>
      </c>
      <c r="B58" s="125" t="s">
        <v>264</v>
      </c>
      <c r="C58" s="125" t="s">
        <v>265</v>
      </c>
      <c r="D58" s="125" t="s">
        <v>515</v>
      </c>
      <c r="E58" s="1153"/>
      <c r="F58" s="1153"/>
      <c r="G58" s="1153"/>
      <c r="H58" s="1153"/>
      <c r="I58" s="1155"/>
      <c r="J58" s="125"/>
      <c r="K58" s="125"/>
      <c r="L58" s="184"/>
      <c r="M58" s="466"/>
      <c r="N58" s="466"/>
      <c r="O58" s="466"/>
      <c r="P58" s="1156"/>
      <c r="Q58" s="124"/>
      <c r="R58" s="405"/>
      <c r="S58" s="462"/>
      <c r="T58" s="463"/>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5"/>
      <c r="BE58" s="121"/>
      <c r="BF58" s="121" t="str">
        <f t="shared" si="4"/>
        <v/>
      </c>
      <c r="BG58" s="121"/>
      <c r="BH58" s="121"/>
    </row>
    <row r="59" spans="1:60" s="53" customFormat="1" ht="5.25">
      <c r="A59" s="125" t="s">
        <v>263</v>
      </c>
      <c r="B59" s="125" t="s">
        <v>264</v>
      </c>
      <c r="C59" s="125" t="s">
        <v>265</v>
      </c>
      <c r="D59" s="125" t="s">
        <v>515</v>
      </c>
      <c r="E59" s="1153"/>
      <c r="F59" s="1153"/>
      <c r="G59" s="1153"/>
      <c r="H59" s="1153"/>
      <c r="I59" s="125"/>
      <c r="J59" s="125"/>
      <c r="K59" s="125"/>
      <c r="L59" s="184"/>
      <c r="M59" s="375"/>
      <c r="N59" s="375"/>
      <c r="P59" s="158"/>
      <c r="Q59" s="424"/>
      <c r="R59" s="496"/>
      <c r="S59" s="462"/>
      <c r="T59" s="463"/>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5"/>
      <c r="BE59" s="121"/>
      <c r="BF59" s="121" t="str">
        <f t="shared" si="4"/>
        <v/>
      </c>
      <c r="BG59" s="121"/>
      <c r="BH59" s="121"/>
    </row>
    <row r="60" spans="1:60" s="53" customFormat="1" ht="5.25">
      <c r="A60" s="125" t="s">
        <v>263</v>
      </c>
      <c r="B60" s="125" t="s">
        <v>264</v>
      </c>
      <c r="C60" s="125" t="s">
        <v>265</v>
      </c>
      <c r="D60" s="125"/>
      <c r="E60" s="1153"/>
      <c r="F60" s="1153"/>
      <c r="G60" s="1153"/>
      <c r="H60" s="125"/>
      <c r="I60" s="125"/>
      <c r="J60" s="125"/>
      <c r="K60" s="125"/>
      <c r="L60" s="184"/>
      <c r="M60" s="375"/>
      <c r="N60" s="375"/>
      <c r="P60" s="158"/>
      <c r="Q60" s="424"/>
      <c r="R60" s="158"/>
      <c r="S60" s="429"/>
      <c r="T60" s="432"/>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E60" s="121"/>
      <c r="BF60" s="121" t="str">
        <f t="shared" si="4"/>
        <v/>
      </c>
      <c r="BG60" s="121"/>
      <c r="BH60" s="121"/>
    </row>
    <row r="61" spans="1:60" s="53" customFormat="1" ht="5.25">
      <c r="A61" s="125" t="s">
        <v>263</v>
      </c>
      <c r="B61" s="125" t="s">
        <v>264</v>
      </c>
      <c r="C61" s="125"/>
      <c r="D61" s="125"/>
      <c r="E61" s="1153"/>
      <c r="F61" s="1153"/>
      <c r="G61" s="125"/>
      <c r="H61" s="125"/>
      <c r="I61" s="125"/>
      <c r="J61" s="125"/>
      <c r="K61" s="125"/>
      <c r="L61" s="184"/>
      <c r="M61" s="428"/>
      <c r="N61" s="428"/>
      <c r="P61" s="158"/>
      <c r="Q61" s="424"/>
      <c r="R61" s="158"/>
      <c r="S61" s="429"/>
      <c r="T61" s="432" t="s">
        <v>253</v>
      </c>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E61" s="121"/>
      <c r="BF61" s="121" t="str">
        <f t="shared" si="4"/>
        <v>Добавить централизованную систему для дифференциации</v>
      </c>
      <c r="BG61" s="121"/>
      <c r="BH61" s="121"/>
    </row>
    <row r="62" spans="1:60" s="53" customFormat="1" ht="5.25">
      <c r="A62" s="125" t="s">
        <v>263</v>
      </c>
      <c r="B62" s="125"/>
      <c r="C62" s="125"/>
      <c r="D62" s="125"/>
      <c r="E62" s="1153"/>
      <c r="F62" s="125"/>
      <c r="G62" s="125"/>
      <c r="H62" s="125"/>
      <c r="I62" s="125"/>
      <c r="J62" s="125"/>
      <c r="K62" s="125"/>
      <c r="L62" s="184"/>
      <c r="M62" s="428"/>
      <c r="N62" s="428"/>
      <c r="P62" s="158"/>
      <c r="Q62" s="424"/>
      <c r="R62" s="158"/>
      <c r="S62" s="429"/>
      <c r="T62" s="432" t="s">
        <v>254</v>
      </c>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431"/>
      <c r="BC62" s="431"/>
      <c r="BE62" s="121"/>
      <c r="BF62" s="121" t="str">
        <f t="shared" si="4"/>
        <v>Добавить территорию для дифференциации</v>
      </c>
      <c r="BG62" s="121"/>
      <c r="BH62" s="121"/>
    </row>
    <row r="63" spans="1:60" s="53" customFormat="1" ht="5.25">
      <c r="A63" s="125"/>
      <c r="B63" s="125"/>
      <c r="C63" s="125"/>
      <c r="D63" s="125"/>
      <c r="E63" s="125"/>
      <c r="F63" s="125"/>
      <c r="G63" s="125"/>
      <c r="H63" s="125"/>
      <c r="I63" s="125"/>
      <c r="J63" s="125"/>
      <c r="K63" s="125"/>
      <c r="L63" s="184"/>
      <c r="M63" s="428"/>
      <c r="N63" s="428"/>
      <c r="P63" s="158"/>
      <c r="Q63" s="424"/>
      <c r="R63" s="158"/>
      <c r="S63" s="429"/>
      <c r="T63" s="432" t="s">
        <v>255</v>
      </c>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E63" s="121"/>
      <c r="BF63" s="121" t="str">
        <f t="shared" si="4"/>
        <v>Добавить наименование тарифа</v>
      </c>
      <c r="BG63" s="121"/>
      <c r="BH63" s="121"/>
    </row>
    <row r="64" spans="1:60" ht="11.25" customHeight="1">
      <c r="M64" s="49"/>
      <c r="N64" s="49"/>
      <c r="O64" s="49"/>
      <c r="P64" s="49"/>
      <c r="Q64" s="49"/>
      <c r="R64" s="46"/>
      <c r="S64" s="46"/>
      <c r="BD64" s="46"/>
      <c r="BE64" s="46"/>
      <c r="BF64" s="46"/>
      <c r="BG64" s="46"/>
      <c r="BH64" s="46"/>
    </row>
    <row r="65" spans="15:55" ht="14.25" customHeight="1">
      <c r="O65" s="49"/>
      <c r="S65" s="387"/>
      <c r="T65" s="1171"/>
      <c r="U65" s="1171"/>
      <c r="V65" s="1171"/>
      <c r="W65" s="1171"/>
      <c r="X65" s="1171"/>
      <c r="Y65" s="1171"/>
      <c r="Z65" s="1171"/>
      <c r="AA65" s="1171"/>
      <c r="AB65" s="1171"/>
      <c r="AC65" s="1171"/>
      <c r="AD65" s="1171"/>
      <c r="AE65" s="1171"/>
      <c r="AF65" s="1171"/>
      <c r="AG65" s="1171"/>
      <c r="AH65" s="1171"/>
      <c r="AI65" s="1171"/>
      <c r="AJ65" s="1171"/>
      <c r="AK65" s="1171"/>
      <c r="AL65" s="1171"/>
      <c r="AM65" s="1171"/>
      <c r="AN65" s="1171"/>
      <c r="AO65" s="1171"/>
      <c r="AP65" s="1171"/>
      <c r="AQ65" s="1171"/>
      <c r="AR65" s="1171"/>
      <c r="AS65" s="1171"/>
      <c r="AT65" s="1171"/>
      <c r="AU65" s="1171"/>
      <c r="AV65" s="1171"/>
      <c r="AW65" s="1171"/>
      <c r="AX65" s="1171"/>
      <c r="AY65" s="1171"/>
      <c r="AZ65" s="1171"/>
      <c r="BA65" s="1171"/>
      <c r="BB65" s="1171"/>
      <c r="BC65" s="1171"/>
    </row>
    <row r="66" spans="15:55" ht="14.25" customHeight="1">
      <c r="O66" s="49"/>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row>
    <row r="67" spans="15:55" ht="14.25" customHeight="1">
      <c r="O67" s="49"/>
      <c r="S67" s="387"/>
      <c r="T67" s="1171"/>
      <c r="U67" s="1171"/>
      <c r="V67" s="1171"/>
      <c r="W67" s="1171"/>
      <c r="X67" s="1171"/>
      <c r="Y67" s="1171"/>
      <c r="Z67" s="1171"/>
      <c r="AA67" s="1171"/>
      <c r="AB67" s="1171"/>
      <c r="AC67" s="1171"/>
      <c r="AD67" s="1171"/>
      <c r="AE67" s="1171"/>
      <c r="AF67" s="1171"/>
      <c r="AG67" s="1171"/>
      <c r="AH67" s="1171"/>
      <c r="AI67" s="1171"/>
      <c r="AJ67" s="1171"/>
      <c r="AK67" s="1171"/>
      <c r="AL67" s="1171"/>
      <c r="AM67" s="1171"/>
      <c r="AN67" s="1171"/>
      <c r="AO67" s="1171"/>
      <c r="AP67" s="1171"/>
      <c r="AQ67" s="1171"/>
      <c r="AR67" s="1171"/>
      <c r="AS67" s="1171"/>
      <c r="AT67" s="1171"/>
      <c r="AU67" s="1171"/>
      <c r="AV67" s="1171"/>
      <c r="AW67" s="1171"/>
      <c r="AX67" s="1171"/>
      <c r="AY67" s="1171"/>
      <c r="AZ67" s="1171"/>
      <c r="BA67" s="1171"/>
      <c r="BB67" s="1171"/>
      <c r="BC67" s="1171"/>
    </row>
    <row r="68" spans="15:55" ht="14.25" customHeight="1">
      <c r="O68" s="49"/>
    </row>
  </sheetData>
  <mergeCells count="122">
    <mergeCell ref="AL52:AL54"/>
    <mergeCell ref="AM52:AM53"/>
    <mergeCell ref="AN52:AN53"/>
    <mergeCell ref="AO52:AO53"/>
    <mergeCell ref="AP52:AP53"/>
    <mergeCell ref="BC52:BC57"/>
    <mergeCell ref="T65:BC65"/>
    <mergeCell ref="T67:BC67"/>
    <mergeCell ref="T52:T56"/>
    <mergeCell ref="AD52:AD56"/>
    <mergeCell ref="AE52:AE55"/>
    <mergeCell ref="AF52:AF55"/>
    <mergeCell ref="AG52:AG55"/>
    <mergeCell ref="AH52:AH55"/>
    <mergeCell ref="AI52:AI54"/>
    <mergeCell ref="AJ52:AJ54"/>
    <mergeCell ref="AK52:AK5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S36:T36"/>
    <mergeCell ref="V36:AB36"/>
    <mergeCell ref="AD36:AZ36"/>
    <mergeCell ref="S37:T37"/>
    <mergeCell ref="V37:AB37"/>
    <mergeCell ref="AD37:AZ37"/>
    <mergeCell ref="V39:AC39"/>
    <mergeCell ref="AD39:BA39"/>
    <mergeCell ref="S40:BB40"/>
    <mergeCell ref="S32:T32"/>
    <mergeCell ref="V32:AB32"/>
    <mergeCell ref="AD32:AZ32"/>
    <mergeCell ref="S33:T33"/>
    <mergeCell ref="V33:AB33"/>
    <mergeCell ref="AD33:AZ33"/>
    <mergeCell ref="S34:T34"/>
    <mergeCell ref="V34:AB34"/>
    <mergeCell ref="AD34:AZ34"/>
    <mergeCell ref="AM8:AM9"/>
    <mergeCell ref="AN8:AN9"/>
    <mergeCell ref="AO8:AO9"/>
    <mergeCell ref="AP8:AP9"/>
    <mergeCell ref="BC8:BC13"/>
    <mergeCell ref="S28:AZ28"/>
    <mergeCell ref="S29:AZ29"/>
    <mergeCell ref="S31:T31"/>
    <mergeCell ref="V31:AB31"/>
    <mergeCell ref="AD31:AZ31"/>
    <mergeCell ref="AD8:AD12"/>
    <mergeCell ref="AE8:AE11"/>
    <mergeCell ref="AF8:AF11"/>
    <mergeCell ref="AG8:AG11"/>
    <mergeCell ref="AH8:AH11"/>
    <mergeCell ref="AI8:AI10"/>
    <mergeCell ref="AJ8:AJ10"/>
    <mergeCell ref="AK8:AK10"/>
    <mergeCell ref="AL8:AL10"/>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s>
  <dataValidations count="5">
    <dataValidation allowBlank="1" showInputMessage="1" showErrorMessage="1" prompt="Для выбора выполните двойной щелчок левой клавиши мыши по соответствующей ячейке." sqref="AA8 AC8:AD8 AH8:AH9 AK8:AL9 AP8 AY8 BA8 AD20 AG20:AH20 AK20:AL20 AP20 AY20 BA20 AA52 AC52:AD52 AH52:AH53 AK52:AL53 AP52 AY52 BA52">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X8 AZ8 AX20 AZ20 Z52 AB52 AX52 AZ52">
      <formula1>0</formula1>
      <formula2>0</formula2>
    </dataValidation>
    <dataValidation type="textLength" operator="lessThanOrEqual" allowBlank="1" showInputMessage="1" showErrorMessage="1" errorTitle="Ошибка" error="Допускается ввод не более 900 символов!" sqref="T8:T9 AS8 T10:T12 T52:T53 AS52 T54:T56">
      <formula1>900</formula1>
      <formula2>0</formula2>
    </dataValidation>
    <dataValidation allowBlank="1" promptTitle="checkPeriodRange" sqref="W12 Y12 AU12 AW12 BB12 W56 Y56 AU56 AW56 BB56">
      <formula1>0</formula1>
      <formula2>0</formula2>
    </dataValidation>
    <dataValidation type="decimal" allowBlank="1" showErrorMessage="1" errorTitle="Ошибка" error="Допускается ввод только действительных чисел!" sqref="AG8:AG10 AO8:AO9 AG11 AG52:AG54 AO52:AO53 AG55">
      <formula1>-9.99999999999999E+23</formula1>
      <formula2>9.99999999999999E+23</formula2>
    </dataValidation>
  </dataValidations>
  <pageMargins left="0.7" right="0.7" top="0.625" bottom="0.62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P57"/>
  <sheetViews>
    <sheetView showGridLines="0" topLeftCell="P23"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4.140625" style="49" hidden="1" customWidth="1"/>
    <col min="10" max="10" width="9.85546875" style="49" hidden="1" customWidth="1"/>
    <col min="11" max="11" width="14.7109375" style="49" hidden="1" customWidth="1"/>
    <col min="12" max="12" width="19.140625" style="107" hidden="1" customWidth="1"/>
    <col min="13" max="14" width="12.28515625" style="57" hidden="1" customWidth="1"/>
    <col min="15" max="15" width="23.42578125" style="57" hidden="1" customWidth="1"/>
    <col min="16" max="16" width="3.7109375" style="56" customWidth="1"/>
    <col min="17" max="18" width="3.7109375" style="389" customWidth="1"/>
    <col min="19" max="19" width="12.7109375" style="254" customWidth="1"/>
    <col min="20" max="20" width="35.7109375" style="46" customWidth="1"/>
    <col min="21" max="21" width="0.140625" style="46" customWidth="1"/>
    <col min="22" max="24" width="24.7109375" style="46" hidden="1" customWidth="1"/>
    <col min="25" max="25" width="11.7109375" style="46" hidden="1" customWidth="1"/>
    <col min="26" max="26" width="3.7109375" style="46" hidden="1" customWidth="1"/>
    <col min="27" max="27" width="11.7109375" style="46" hidden="1" customWidth="1"/>
    <col min="28" max="28" width="8.5703125" style="46" hidden="1" customWidth="1"/>
    <col min="29" max="31" width="24.7109375" style="46" customWidth="1"/>
    <col min="32" max="32" width="11.7109375" style="46" customWidth="1"/>
    <col min="33" max="33" width="3.7109375" style="46" customWidth="1"/>
    <col min="34" max="34" width="11.7109375" style="46" customWidth="1"/>
    <col min="35" max="35" width="8.5703125" style="46" hidden="1" customWidth="1"/>
    <col min="36" max="36" width="4.7109375" style="46" customWidth="1"/>
    <col min="37" max="37" width="115.7109375" style="46" customWidth="1"/>
    <col min="38" max="39" width="10.5703125" style="53"/>
    <col min="40" max="40" width="11.140625" style="53" customWidth="1"/>
    <col min="41" max="42" width="10.5703125" style="53"/>
  </cols>
  <sheetData>
    <row r="1" spans="1:42" ht="14.25" hidden="1" customHeight="1"/>
    <row r="2" spans="1:42" ht="23.25"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t="e">
        <f>INDEX(PT_DIFFERENTIATION_NTAR,MATCH(A2,PT_DIFFERENTIATION_NTAR_ID,0))</f>
        <v>#N/A</v>
      </c>
      <c r="AD2" s="1154"/>
      <c r="AE2" s="1154"/>
      <c r="AF2" s="1154"/>
      <c r="AG2" s="1154"/>
      <c r="AH2" s="1154"/>
      <c r="AI2" s="1154"/>
      <c r="AJ2" s="1154"/>
      <c r="AK2"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t="shared" ref="AN2:AN13" si="0">IF(T2="","",T2)</f>
        <v>Наименование тарифа</v>
      </c>
      <c r="AO2" s="121"/>
      <c r="AP2" s="121"/>
    </row>
    <row r="3" spans="1:42" ht="23.25"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t="e">
        <f>INDEX(PT_DIFFERENTIATION_TER,MATCH(B3,PT_DIFFERENTIATION_TER_ID,0))</f>
        <v>#N/A</v>
      </c>
      <c r="AD3" s="1154"/>
      <c r="AE3" s="1154"/>
      <c r="AF3" s="1154"/>
      <c r="AG3" s="1154"/>
      <c r="AH3" s="1154"/>
      <c r="AI3" s="1154"/>
      <c r="AJ3" s="1154"/>
      <c r="AK3" s="397" t="s">
        <v>387</v>
      </c>
      <c r="AM3" s="121"/>
      <c r="AN3" s="121" t="str">
        <f t="shared" si="0"/>
        <v>Территория действия тарифа</v>
      </c>
      <c r="AO3" s="121"/>
      <c r="AP3" s="121"/>
    </row>
    <row r="4" spans="1:42"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516</v>
      </c>
      <c r="U4" s="396"/>
      <c r="V4" s="1154"/>
      <c r="W4" s="1154"/>
      <c r="X4" s="1154"/>
      <c r="Y4" s="1154"/>
      <c r="Z4" s="1154"/>
      <c r="AA4" s="1154"/>
      <c r="AB4" s="1154"/>
      <c r="AC4" s="1154" t="e">
        <f>INDEX(PT_DIFFERENTIATION_CS,MATCH(C4,PT_DIFFERENTIATION_CS_ID,0))</f>
        <v>#N/A</v>
      </c>
      <c r="AD4" s="1154"/>
      <c r="AE4" s="1154"/>
      <c r="AF4" s="1154"/>
      <c r="AG4" s="1154"/>
      <c r="AH4" s="1154"/>
      <c r="AI4" s="1154"/>
      <c r="AJ4" s="1154"/>
      <c r="AK4" s="397" t="s">
        <v>517</v>
      </c>
      <c r="AM4" s="121"/>
      <c r="AN4" s="121" t="str">
        <f t="shared" si="0"/>
        <v>Наименование централизованной системы горячего водоснабжения</v>
      </c>
      <c r="AO4" s="121"/>
      <c r="AP4" s="121"/>
    </row>
    <row r="5" spans="1:42" ht="23.25" hidden="1" customHeight="1">
      <c r="A5" s="390"/>
      <c r="B5" s="390"/>
      <c r="C5" s="390"/>
      <c r="D5" s="390"/>
      <c r="E5" s="1153"/>
      <c r="F5" s="1153"/>
      <c r="G5" s="1153"/>
      <c r="H5" s="1189"/>
      <c r="I5" s="1155" t="e">
        <f>S4&amp;".1"</f>
        <v>#N/A</v>
      </c>
      <c r="J5" s="390"/>
      <c r="K5" s="390"/>
      <c r="L5" s="391"/>
      <c r="P5" s="1156">
        <v>1</v>
      </c>
      <c r="Q5" s="124"/>
      <c r="R5" s="405"/>
      <c r="S5" s="394" t="e">
        <f>$I5</f>
        <v>#N/A</v>
      </c>
      <c r="T5" s="406" t="s">
        <v>469</v>
      </c>
      <c r="U5" s="396"/>
      <c r="V5" s="1190"/>
      <c r="W5" s="1190"/>
      <c r="X5" s="1190"/>
      <c r="Y5" s="1190"/>
      <c r="Z5" s="1190"/>
      <c r="AA5" s="1190"/>
      <c r="AB5" s="1190"/>
      <c r="AC5" s="1123"/>
      <c r="AD5" s="1123"/>
      <c r="AE5" s="1123"/>
      <c r="AF5" s="1123"/>
      <c r="AG5" s="1123"/>
      <c r="AH5" s="1123"/>
      <c r="AI5" s="1123"/>
      <c r="AJ5" s="1123"/>
      <c r="AK5" s="397" t="s">
        <v>470</v>
      </c>
      <c r="AM5" s="121"/>
      <c r="AN5" s="121" t="str">
        <f t="shared" si="0"/>
        <v>Наименование признака дифференциации</v>
      </c>
      <c r="AO5" s="121"/>
      <c r="AP5" s="121"/>
    </row>
    <row r="6" spans="1:42" ht="23.25" hidden="1" customHeight="1">
      <c r="A6" s="390"/>
      <c r="B6" s="390"/>
      <c r="C6" s="390"/>
      <c r="D6" s="390"/>
      <c r="E6" s="1153"/>
      <c r="F6" s="1153"/>
      <c r="G6" s="1153"/>
      <c r="H6" s="1153"/>
      <c r="I6" s="1155"/>
      <c r="J6" s="1155" t="e">
        <f>I5&amp;".1"</f>
        <v>#N/A</v>
      </c>
      <c r="K6" s="390"/>
      <c r="L6" s="391" t="s">
        <v>395</v>
      </c>
      <c r="P6" s="1156"/>
      <c r="Q6" s="1156">
        <v>1</v>
      </c>
      <c r="R6" s="408"/>
      <c r="S6" s="394" t="e">
        <f>$J6</f>
        <v>#N/A</v>
      </c>
      <c r="T6" s="409" t="s">
        <v>396</v>
      </c>
      <c r="U6" s="396"/>
      <c r="V6" s="1157"/>
      <c r="W6" s="1157"/>
      <c r="X6" s="1157"/>
      <c r="Y6" s="1157"/>
      <c r="Z6" s="1157"/>
      <c r="AA6" s="1157"/>
      <c r="AB6" s="1157"/>
      <c r="AC6" s="1157"/>
      <c r="AD6" s="1157"/>
      <c r="AE6" s="1157"/>
      <c r="AF6" s="1157"/>
      <c r="AG6" s="1157"/>
      <c r="AH6" s="1157"/>
      <c r="AI6" s="1157"/>
      <c r="AJ6" s="1157"/>
      <c r="AK6" s="471" t="s">
        <v>471</v>
      </c>
      <c r="AM6" s="121"/>
      <c r="AN6" s="121" t="str">
        <f t="shared" si="0"/>
        <v>Группа потребителей</v>
      </c>
      <c r="AO6" s="121"/>
      <c r="AP6" s="121"/>
    </row>
    <row r="7" spans="1:42" ht="23.25" hidden="1" customHeight="1">
      <c r="A7" s="390"/>
      <c r="B7" s="390"/>
      <c r="C7" s="390"/>
      <c r="D7" s="390"/>
      <c r="E7" s="1153"/>
      <c r="F7" s="1153"/>
      <c r="G7" s="1153"/>
      <c r="H7" s="1153"/>
      <c r="I7" s="1155"/>
      <c r="J7" s="1155"/>
      <c r="K7" s="1155" t="e">
        <f>J6&amp;".1"</f>
        <v>#N/A</v>
      </c>
      <c r="L7" s="391"/>
      <c r="P7" s="1156"/>
      <c r="Q7" s="1156"/>
      <c r="R7" s="408">
        <v>1</v>
      </c>
      <c r="S7" s="394" t="e">
        <f>$K7</f>
        <v>#N/A</v>
      </c>
      <c r="T7" s="517"/>
      <c r="U7" s="396"/>
      <c r="V7" s="411"/>
      <c r="W7" s="411"/>
      <c r="X7" s="413"/>
      <c r="Y7" s="1158"/>
      <c r="Z7" s="1105" t="s">
        <v>63</v>
      </c>
      <c r="AA7" s="1158"/>
      <c r="AB7" s="1105" t="s">
        <v>63</v>
      </c>
      <c r="AC7" s="411"/>
      <c r="AD7" s="411"/>
      <c r="AE7" s="413"/>
      <c r="AF7" s="1158"/>
      <c r="AG7" s="1105" t="s">
        <v>63</v>
      </c>
      <c r="AH7" s="1158"/>
      <c r="AI7" s="1105" t="s">
        <v>63</v>
      </c>
      <c r="AJ7" s="518"/>
      <c r="AK7"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 t="e">
        <f ca="1">strcheckdate(V8:AJ8)</f>
        <v>#NAME?</v>
      </c>
      <c r="AM7" s="121"/>
      <c r="AN7" s="121" t="str">
        <f t="shared" si="0"/>
        <v/>
      </c>
      <c r="AO7" s="121"/>
      <c r="AP7" s="121"/>
    </row>
    <row r="8" spans="1:42" ht="14.25" hidden="1" customHeight="1">
      <c r="A8" s="390"/>
      <c r="B8" s="390"/>
      <c r="C8" s="390"/>
      <c r="D8" s="390"/>
      <c r="E8" s="1153"/>
      <c r="F8" s="1153"/>
      <c r="G8" s="1153"/>
      <c r="H8" s="1153"/>
      <c r="I8" s="1155"/>
      <c r="J8" s="1155"/>
      <c r="K8" s="1155"/>
      <c r="L8" s="391"/>
      <c r="P8" s="1156"/>
      <c r="Q8" s="1156"/>
      <c r="R8" s="408"/>
      <c r="S8" s="370"/>
      <c r="T8" s="396"/>
      <c r="U8" s="396"/>
      <c r="V8" s="412"/>
      <c r="W8" s="412"/>
      <c r="X8" s="415" t="str">
        <f>Y7&amp;"-"&amp;AA7</f>
        <v>-</v>
      </c>
      <c r="Y8" s="1158"/>
      <c r="Z8" s="1105"/>
      <c r="AA8" s="1158"/>
      <c r="AB8" s="1105"/>
      <c r="AC8" s="412"/>
      <c r="AD8" s="412"/>
      <c r="AE8" s="415" t="str">
        <f>AF7&amp;"-"&amp;AH7</f>
        <v>-</v>
      </c>
      <c r="AF8" s="1158"/>
      <c r="AG8" s="1105"/>
      <c r="AH8" s="1158"/>
      <c r="AI8" s="1105"/>
      <c r="AJ8" s="519"/>
      <c r="AK8" s="1191"/>
      <c r="AM8" s="121"/>
      <c r="AN8" s="121" t="str">
        <f t="shared" si="0"/>
        <v/>
      </c>
      <c r="AO8" s="121"/>
      <c r="AP8" s="121"/>
    </row>
    <row r="9" spans="1:42" ht="21" hidden="1" customHeight="1">
      <c r="A9" s="390"/>
      <c r="B9" s="390"/>
      <c r="C9" s="390"/>
      <c r="D9" s="390"/>
      <c r="E9" s="1153"/>
      <c r="F9" s="1153"/>
      <c r="G9" s="1153"/>
      <c r="H9" s="1153"/>
      <c r="I9" s="1155"/>
      <c r="J9" s="1155"/>
      <c r="K9" s="390"/>
      <c r="L9" s="391"/>
      <c r="P9" s="1156"/>
      <c r="Q9" s="1156"/>
      <c r="R9" s="405"/>
      <c r="S9" s="416"/>
      <c r="T9" s="419" t="s">
        <v>472</v>
      </c>
      <c r="U9" s="186"/>
      <c r="V9" s="186"/>
      <c r="W9" s="186"/>
      <c r="X9" s="186"/>
      <c r="Y9" s="186"/>
      <c r="Z9" s="186"/>
      <c r="AA9" s="186"/>
      <c r="AB9" s="186"/>
      <c r="AC9" s="186"/>
      <c r="AD9" s="186"/>
      <c r="AE9" s="186"/>
      <c r="AF9" s="186"/>
      <c r="AG9" s="186"/>
      <c r="AH9" s="186"/>
      <c r="AI9" s="186"/>
      <c r="AJ9" s="186"/>
      <c r="AK9" s="397" t="s">
        <v>473</v>
      </c>
      <c r="AM9" s="121"/>
      <c r="AN9" s="121" t="str">
        <f t="shared" si="0"/>
        <v>Добавить значение признака дифференциации</v>
      </c>
      <c r="AO9" s="121"/>
      <c r="AP9" s="121"/>
    </row>
    <row r="10" spans="1:42" ht="21" hidden="1" customHeight="1">
      <c r="A10" s="390"/>
      <c r="B10" s="390"/>
      <c r="C10" s="390"/>
      <c r="D10" s="390"/>
      <c r="E10" s="1153"/>
      <c r="F10" s="1153"/>
      <c r="G10" s="1153"/>
      <c r="H10" s="1153"/>
      <c r="I10" s="1155"/>
      <c r="J10" s="390"/>
      <c r="K10" s="390"/>
      <c r="L10" s="391"/>
      <c r="P10" s="1156"/>
      <c r="Q10" s="124"/>
      <c r="R10" s="405"/>
      <c r="S10" s="416"/>
      <c r="T10" s="423" t="s">
        <v>401</v>
      </c>
      <c r="U10" s="186"/>
      <c r="V10" s="186"/>
      <c r="W10" s="186"/>
      <c r="X10" s="186"/>
      <c r="Y10" s="186"/>
      <c r="Z10" s="186"/>
      <c r="AA10" s="186"/>
      <c r="AB10" s="420"/>
      <c r="AC10" s="186"/>
      <c r="AD10" s="186"/>
      <c r="AE10" s="186"/>
      <c r="AF10" s="186"/>
      <c r="AG10" s="186"/>
      <c r="AH10" s="186"/>
      <c r="AI10" s="420"/>
      <c r="AJ10" s="186"/>
      <c r="AK10" s="520"/>
      <c r="AM10" s="121"/>
      <c r="AN10" s="121" t="str">
        <f t="shared" si="0"/>
        <v>Добавить группу потребителей</v>
      </c>
      <c r="AO10" s="121"/>
      <c r="AP10" s="121"/>
    </row>
    <row r="11" spans="1:42" ht="21" hidden="1" customHeight="1">
      <c r="A11" s="390"/>
      <c r="B11" s="390"/>
      <c r="C11" s="390"/>
      <c r="D11" s="390"/>
      <c r="E11" s="1153"/>
      <c r="F11" s="1153"/>
      <c r="G11" s="1153"/>
      <c r="H11" s="1189"/>
      <c r="I11" s="390"/>
      <c r="J11" s="390"/>
      <c r="K11" s="390"/>
      <c r="L11" s="391"/>
      <c r="M11" s="392"/>
      <c r="N11" s="392"/>
      <c r="O11" s="49"/>
      <c r="P11" s="134"/>
      <c r="Q11" s="422"/>
      <c r="R11" s="393"/>
      <c r="S11" s="416"/>
      <c r="T11" s="521" t="s">
        <v>474</v>
      </c>
      <c r="U11" s="186"/>
      <c r="V11" s="186"/>
      <c r="W11" s="186"/>
      <c r="X11" s="186"/>
      <c r="Y11" s="186"/>
      <c r="Z11" s="186"/>
      <c r="AA11" s="186"/>
      <c r="AB11" s="420"/>
      <c r="AC11" s="186"/>
      <c r="AD11" s="186"/>
      <c r="AE11" s="186"/>
      <c r="AF11" s="186"/>
      <c r="AG11" s="186"/>
      <c r="AH11" s="186"/>
      <c r="AI11" s="420"/>
      <c r="AJ11" s="186"/>
      <c r="AK11" s="421"/>
      <c r="AM11" s="121"/>
      <c r="AN11" s="121" t="str">
        <f t="shared" si="0"/>
        <v>Добавить наименование признака дифференциации</v>
      </c>
      <c r="AO11" s="121"/>
      <c r="AP11" s="121"/>
    </row>
    <row r="12" spans="1:42" s="53" customFormat="1" ht="14.25" hidden="1" customHeight="1">
      <c r="A12" s="125"/>
      <c r="B12" s="125"/>
      <c r="C12" s="125"/>
      <c r="D12" s="125"/>
      <c r="E12" s="1153"/>
      <c r="F12" s="1153"/>
      <c r="G12" s="125"/>
      <c r="H12" s="125"/>
      <c r="I12" s="125"/>
      <c r="J12" s="125"/>
      <c r="K12" s="125"/>
      <c r="L12" s="184"/>
      <c r="M12" s="428"/>
      <c r="N12" s="428"/>
      <c r="P12" s="158"/>
      <c r="Q12" s="424"/>
      <c r="R12" s="158"/>
      <c r="S12" s="429"/>
      <c r="T12" s="432" t="s">
        <v>253</v>
      </c>
      <c r="U12" s="431"/>
      <c r="V12" s="431"/>
      <c r="W12" s="431"/>
      <c r="X12" s="431"/>
      <c r="Y12" s="431"/>
      <c r="Z12" s="431"/>
      <c r="AA12" s="431"/>
      <c r="AB12" s="431"/>
      <c r="AC12" s="431"/>
      <c r="AD12" s="431"/>
      <c r="AE12" s="431"/>
      <c r="AF12" s="431"/>
      <c r="AG12" s="431"/>
      <c r="AH12" s="431"/>
      <c r="AI12" s="431"/>
      <c r="AJ12" s="431"/>
      <c r="AK12" s="431"/>
      <c r="AM12" s="121"/>
      <c r="AN12" s="121" t="str">
        <f t="shared" si="0"/>
        <v>Добавить централизованную систему для дифференциации</v>
      </c>
      <c r="AO12" s="121"/>
      <c r="AP12" s="121"/>
    </row>
    <row r="13" spans="1:42" s="53" customFormat="1" ht="14.25" hidden="1" customHeight="1">
      <c r="A13" s="125"/>
      <c r="B13" s="125"/>
      <c r="C13" s="125"/>
      <c r="D13" s="125"/>
      <c r="E13" s="1153"/>
      <c r="F13" s="125"/>
      <c r="G13" s="125"/>
      <c r="H13" s="125"/>
      <c r="I13" s="125"/>
      <c r="J13" s="125"/>
      <c r="K13" s="125"/>
      <c r="L13" s="184"/>
      <c r="M13" s="428"/>
      <c r="N13" s="428"/>
      <c r="P13" s="158"/>
      <c r="Q13" s="424"/>
      <c r="R13" s="158"/>
      <c r="S13" s="429"/>
      <c r="T13" s="432" t="s">
        <v>254</v>
      </c>
      <c r="U13" s="431"/>
      <c r="V13" s="431"/>
      <c r="W13" s="431"/>
      <c r="X13" s="431"/>
      <c r="Y13" s="431"/>
      <c r="Z13" s="431"/>
      <c r="AA13" s="431"/>
      <c r="AB13" s="431"/>
      <c r="AC13" s="431"/>
      <c r="AD13" s="431"/>
      <c r="AE13" s="431"/>
      <c r="AF13" s="431"/>
      <c r="AG13" s="431"/>
      <c r="AH13" s="431"/>
      <c r="AI13" s="431"/>
      <c r="AJ13" s="431"/>
      <c r="AK13" s="431"/>
      <c r="AM13" s="121"/>
      <c r="AN13" s="121" t="str">
        <f t="shared" si="0"/>
        <v>Добавить территорию для дифференциации</v>
      </c>
      <c r="AO13" s="121"/>
      <c r="AP13" s="121"/>
    </row>
    <row r="14" spans="1:42" ht="14.25" hidden="1" customHeight="1"/>
    <row r="15" spans="1:42" ht="14.25" hidden="1" customHeight="1">
      <c r="AC15" s="433"/>
      <c r="AD15" s="433"/>
      <c r="AE15" s="434"/>
      <c r="AF15" s="1160"/>
      <c r="AG15" s="1161" t="s">
        <v>63</v>
      </c>
      <c r="AH15" s="1160"/>
      <c r="AI15" s="1161" t="s">
        <v>63</v>
      </c>
    </row>
    <row r="16" spans="1:42" ht="14.25" hidden="1" customHeight="1">
      <c r="AC16" s="433"/>
      <c r="AD16" s="433"/>
      <c r="AE16" s="415" t="str">
        <f>AF15&amp;"-"&amp;AH15</f>
        <v>-</v>
      </c>
      <c r="AF16" s="1160"/>
      <c r="AG16" s="1160"/>
      <c r="AH16" s="1160"/>
      <c r="AI16" s="1160"/>
    </row>
    <row r="17" spans="1:42" ht="14.25" hidden="1" customHeight="1"/>
    <row r="18" spans="1:42" s="49" customFormat="1" ht="22.5" hidden="1" customHeight="1">
      <c r="L18" s="107"/>
      <c r="M18" s="57"/>
      <c r="N18" s="57"/>
      <c r="O18" s="435" t="s">
        <v>404</v>
      </c>
      <c r="P18" s="57"/>
      <c r="Q18" s="436"/>
      <c r="R18" s="436"/>
      <c r="S18" s="392"/>
      <c r="Y18" s="435"/>
      <c r="AA18" s="435"/>
      <c r="AF18" s="435"/>
      <c r="AH18" s="435"/>
      <c r="AL18" s="53"/>
      <c r="AM18" s="53"/>
      <c r="AN18" s="53"/>
      <c r="AO18" s="53"/>
      <c r="AP18" s="53"/>
    </row>
    <row r="19" spans="1:42" s="49" customFormat="1" ht="14.25" hidden="1" customHeight="1">
      <c r="L19" s="107"/>
      <c r="M19" s="57"/>
      <c r="N19" s="57"/>
      <c r="O19" s="57"/>
      <c r="P19" s="57"/>
      <c r="Q19" s="436"/>
      <c r="R19" s="436"/>
      <c r="S19" s="392"/>
      <c r="AL19" s="53"/>
      <c r="AM19" s="53"/>
      <c r="AN19" s="53"/>
      <c r="AO19" s="53"/>
      <c r="AP19" s="53"/>
    </row>
    <row r="20" spans="1:42" s="49" customFormat="1" ht="12" hidden="1" customHeight="1">
      <c r="L20" s="107"/>
      <c r="M20" s="57"/>
      <c r="N20" s="57"/>
      <c r="O20" s="391" t="s">
        <v>405</v>
      </c>
      <c r="P20" s="57"/>
      <c r="Q20" s="522"/>
      <c r="R20" s="522"/>
      <c r="S20" s="392"/>
      <c r="T20" s="49" t="s">
        <v>406</v>
      </c>
      <c r="Z20" s="142" t="s">
        <v>407</v>
      </c>
      <c r="AB20" s="142" t="s">
        <v>408</v>
      </c>
      <c r="AC20" s="49" t="s">
        <v>406</v>
      </c>
      <c r="AG20" s="142" t="s">
        <v>409</v>
      </c>
      <c r="AI20" s="142" t="s">
        <v>408</v>
      </c>
    </row>
    <row r="21" spans="1:42" ht="14.25" hidden="1" customHeight="1">
      <c r="O21" s="391"/>
    </row>
    <row r="22" spans="1:42" ht="14.25" hidden="1" customHeight="1">
      <c r="O22" s="391"/>
    </row>
    <row r="23" spans="1:42" ht="14.25" customHeight="1">
      <c r="Q23" s="437"/>
      <c r="R23" s="437"/>
      <c r="S23" s="438"/>
      <c r="T23" s="83"/>
      <c r="U23" s="83"/>
    </row>
    <row r="24" spans="1:42" ht="29.25" customHeight="1">
      <c r="Q24" s="437"/>
      <c r="R24" s="437"/>
      <c r="S24" s="110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106"/>
      <c r="U24" s="1106"/>
      <c r="V24" s="1106"/>
      <c r="W24" s="1106"/>
      <c r="X24" s="1106"/>
      <c r="Y24" s="1106"/>
      <c r="Z24" s="1106"/>
      <c r="AA24" s="1106"/>
      <c r="AB24" s="1106"/>
      <c r="AC24" s="1106"/>
      <c r="AD24" s="1106"/>
      <c r="AE24" s="1106"/>
      <c r="AF24" s="1106"/>
      <c r="AG24" s="1106"/>
      <c r="AH24" s="1106"/>
      <c r="AI24" s="201"/>
    </row>
    <row r="25" spans="1:42" ht="14.25" customHeight="1">
      <c r="Q25" s="437"/>
      <c r="R25" s="437"/>
      <c r="S25" s="1127" t="str">
        <f>IF(org=0,"Не определено",org)</f>
        <v>Филиал ПАО "ОГК-2" - Серовская ГРЭС, г. Серов</v>
      </c>
      <c r="T25" s="1127"/>
      <c r="U25" s="1127"/>
      <c r="V25" s="1127"/>
      <c r="W25" s="1127"/>
      <c r="X25" s="1127"/>
      <c r="Y25" s="1127"/>
      <c r="Z25" s="1127"/>
      <c r="AA25" s="1127"/>
      <c r="AB25" s="1127"/>
      <c r="AC25" s="1127"/>
      <c r="AD25" s="1127"/>
      <c r="AE25" s="1127"/>
      <c r="AF25" s="1127"/>
      <c r="AG25" s="1127"/>
      <c r="AH25" s="1127"/>
      <c r="AI25" s="201"/>
    </row>
    <row r="26" spans="1:42" ht="14.25" customHeight="1">
      <c r="Q26" s="437"/>
      <c r="R26" s="437"/>
      <c r="S26" s="438"/>
      <c r="T26" s="83"/>
      <c r="U26" s="83"/>
      <c r="V26" s="439"/>
      <c r="W26" s="439"/>
      <c r="X26" s="439"/>
      <c r="Y26" s="439"/>
      <c r="Z26" s="439"/>
      <c r="AA26" s="439"/>
      <c r="AB26" s="439"/>
      <c r="AC26" s="439"/>
      <c r="AD26" s="439"/>
      <c r="AE26" s="439"/>
      <c r="AF26" s="439"/>
      <c r="AG26" s="439"/>
      <c r="AH26" s="439"/>
      <c r="AI26" s="439"/>
    </row>
    <row r="27" spans="1:42" s="174" customFormat="1" ht="25.5" customHeight="1">
      <c r="A27" s="142"/>
      <c r="B27" s="142"/>
      <c r="C27" s="142"/>
      <c r="D27" s="142"/>
      <c r="E27" s="142"/>
      <c r="F27" s="142"/>
      <c r="G27" s="142"/>
      <c r="H27" s="142"/>
      <c r="I27" s="142"/>
      <c r="J27" s="142"/>
      <c r="K27" s="142"/>
      <c r="L27" s="391"/>
      <c r="M27" s="142"/>
      <c r="N27" s="142"/>
      <c r="O27" s="142"/>
      <c r="S27" s="1162" t="s">
        <v>37</v>
      </c>
      <c r="T27" s="1162"/>
      <c r="U27" s="441"/>
      <c r="V27" s="1163" t="str">
        <f>IF(TITLE_NAME_OR_PR_CHANGE="",IF(TITLE_NAME_OR_PR="","",TITLE_NAME_OR_PR),TITLE_NAME_OR_PR_CHANGE)</f>
        <v>Региональная энергетическая комиссия Свердловской области</v>
      </c>
      <c r="W27" s="1163"/>
      <c r="X27" s="1163"/>
      <c r="Y27" s="1163"/>
      <c r="Z27" s="1163"/>
      <c r="AA27" s="1163"/>
      <c r="AB27" s="46"/>
      <c r="AC27" s="1163" t="str">
        <f>IF(TITLE_NAME_OR_PR_CHANGE="",IF(TITLE_NAME_OR_PR="","",TITLE_NAME_OR_PR),TITLE_NAME_OR_PR_CHANGE)</f>
        <v>Региональная энергетическая комиссия Свердловской области</v>
      </c>
      <c r="AD27" s="1163"/>
      <c r="AE27" s="1163"/>
      <c r="AF27" s="1163"/>
      <c r="AG27" s="1163"/>
      <c r="AH27" s="1163"/>
      <c r="AI27" s="46"/>
      <c r="AJ27" s="46"/>
      <c r="AK27" s="442"/>
      <c r="AL27" s="121"/>
      <c r="AM27" s="121"/>
      <c r="AN27" s="121"/>
      <c r="AO27" s="121"/>
      <c r="AP27" s="121"/>
    </row>
    <row r="28" spans="1:42" s="174" customFormat="1" ht="18.75" customHeight="1">
      <c r="A28" s="142"/>
      <c r="B28" s="142"/>
      <c r="C28" s="142"/>
      <c r="D28" s="142"/>
      <c r="E28" s="142"/>
      <c r="F28" s="142"/>
      <c r="G28" s="142"/>
      <c r="H28" s="142"/>
      <c r="I28" s="142"/>
      <c r="J28" s="142"/>
      <c r="K28" s="142"/>
      <c r="L28" s="391"/>
      <c r="M28" s="142"/>
      <c r="N28" s="142"/>
      <c r="O28" s="142"/>
      <c r="S28" s="1162" t="s">
        <v>410</v>
      </c>
      <c r="T28" s="1162"/>
      <c r="U28" s="441"/>
      <c r="V28" s="1164">
        <f>IF(TITLE_DATE_PR_CHANGE="",IF(TITLE_DATE_PR="","",TITLE_DATE_PR),TITLE_DATE_PR_CHANGE)</f>
        <v>45266.462974536997</v>
      </c>
      <c r="W28" s="1164"/>
      <c r="X28" s="1164"/>
      <c r="Y28" s="1164"/>
      <c r="Z28" s="1164"/>
      <c r="AA28" s="1164"/>
      <c r="AB28" s="46"/>
      <c r="AC28" s="1164">
        <f>IF(TITLE_DATE_PR_CHANGE="",IF(TITLE_DATE_PR="","",TITLE_DATE_PR),TITLE_DATE_PR_CHANGE)</f>
        <v>45266.462974536997</v>
      </c>
      <c r="AD28" s="1164"/>
      <c r="AE28" s="1164"/>
      <c r="AF28" s="1164"/>
      <c r="AG28" s="1164"/>
      <c r="AH28" s="1164"/>
      <c r="AI28" s="46"/>
      <c r="AJ28" s="46"/>
      <c r="AK28" s="442"/>
      <c r="AL28" s="121"/>
      <c r="AM28" s="121"/>
      <c r="AN28" s="121"/>
      <c r="AO28" s="121"/>
      <c r="AP28" s="121"/>
    </row>
    <row r="29" spans="1:42" s="174" customFormat="1" ht="18.75" customHeight="1">
      <c r="A29" s="142"/>
      <c r="B29" s="142"/>
      <c r="C29" s="142"/>
      <c r="D29" s="142"/>
      <c r="E29" s="142"/>
      <c r="F29" s="142"/>
      <c r="G29" s="142"/>
      <c r="H29" s="142"/>
      <c r="I29" s="142"/>
      <c r="J29" s="142"/>
      <c r="K29" s="142"/>
      <c r="L29" s="391"/>
      <c r="M29" s="142"/>
      <c r="N29" s="142"/>
      <c r="O29" s="142"/>
      <c r="S29" s="1162" t="s">
        <v>411</v>
      </c>
      <c r="T29" s="1162"/>
      <c r="U29" s="441"/>
      <c r="V29" s="1163" t="str">
        <f>IF(TITLE_NUMBER_PR_CHANGE="",IF(TITLE_NUMBER_PR="","",TITLE_NUMBER_PR),TITLE_NUMBER_PR_CHANGE)</f>
        <v>216-ПК</v>
      </c>
      <c r="W29" s="1163"/>
      <c r="X29" s="1163"/>
      <c r="Y29" s="1163"/>
      <c r="Z29" s="1163"/>
      <c r="AA29" s="1163"/>
      <c r="AB29" s="46"/>
      <c r="AC29" s="1163" t="str">
        <f>IF(TITLE_NUMBER_PR_CHANGE="",IF(TITLE_NUMBER_PR="","",TITLE_NUMBER_PR),TITLE_NUMBER_PR_CHANGE)</f>
        <v>216-ПК</v>
      </c>
      <c r="AD29" s="1163"/>
      <c r="AE29" s="1163"/>
      <c r="AF29" s="1163"/>
      <c r="AG29" s="1163"/>
      <c r="AH29" s="1163"/>
      <c r="AI29" s="46"/>
      <c r="AJ29" s="46"/>
      <c r="AK29" s="442"/>
      <c r="AL29" s="121"/>
      <c r="AM29" s="121"/>
      <c r="AN29" s="121"/>
      <c r="AO29" s="121"/>
      <c r="AP29" s="121"/>
    </row>
    <row r="30" spans="1:42" s="174" customFormat="1" ht="18.75" customHeight="1">
      <c r="A30" s="142"/>
      <c r="B30" s="142"/>
      <c r="C30" s="142"/>
      <c r="D30" s="142"/>
      <c r="E30" s="142"/>
      <c r="F30" s="142"/>
      <c r="G30" s="142"/>
      <c r="H30" s="142"/>
      <c r="I30" s="142"/>
      <c r="J30" s="142"/>
      <c r="K30" s="142"/>
      <c r="L30" s="391"/>
      <c r="M30" s="142"/>
      <c r="N30" s="142"/>
      <c r="O30" s="142"/>
      <c r="S30" s="1162" t="s">
        <v>39</v>
      </c>
      <c r="T30" s="1162"/>
      <c r="U30" s="441"/>
      <c r="V30" s="1163" t="str">
        <f>IF(TITLE_IST_PUB_CHANGE="",IF(TITLE_IST_PUB="","",TITLE_IST_PUB),TITLE_IST_PUB_CHANGE)</f>
        <v>Региональная энергетическая комиссия Свердловской области</v>
      </c>
      <c r="W30" s="1163"/>
      <c r="X30" s="1163"/>
      <c r="Y30" s="1163"/>
      <c r="Z30" s="1163"/>
      <c r="AA30" s="1163"/>
      <c r="AB30" s="46"/>
      <c r="AC30" s="1163" t="str">
        <f>IF(TITLE_IST_PUB_CHANGE="",IF(TITLE_IST_PUB="","",TITLE_IST_PUB),TITLE_IST_PUB_CHANGE)</f>
        <v>Региональная энергетическая комиссия Свердловской области</v>
      </c>
      <c r="AD30" s="1163"/>
      <c r="AE30" s="1163"/>
      <c r="AF30" s="1163"/>
      <c r="AG30" s="1163"/>
      <c r="AH30" s="1163"/>
      <c r="AI30" s="46"/>
      <c r="AJ30" s="46"/>
      <c r="AK30" s="442"/>
      <c r="AL30" s="121"/>
      <c r="AM30" s="121"/>
      <c r="AN30" s="121"/>
      <c r="AO30" s="121"/>
      <c r="AP30" s="121"/>
    </row>
    <row r="31" spans="1:42" ht="14.25" hidden="1" customHeight="1">
      <c r="Q31" s="437"/>
      <c r="R31" s="437"/>
      <c r="S31" s="438"/>
      <c r="T31" s="83"/>
      <c r="U31" s="83"/>
      <c r="V31" s="439"/>
      <c r="W31" s="439"/>
      <c r="X31" s="439"/>
      <c r="Y31" s="439"/>
      <c r="Z31" s="439"/>
      <c r="AA31" s="439"/>
      <c r="AB31" s="439"/>
      <c r="AC31" s="439"/>
      <c r="AD31" s="439"/>
      <c r="AE31" s="439"/>
      <c r="AF31" s="439"/>
      <c r="AG31" s="439"/>
      <c r="AH31" s="439"/>
      <c r="AI31" s="439"/>
    </row>
    <row r="32" spans="1:42" s="174" customFormat="1" ht="18.75" hidden="1" customHeight="1">
      <c r="A32" s="142"/>
      <c r="B32" s="142"/>
      <c r="C32" s="142"/>
      <c r="D32" s="142"/>
      <c r="E32" s="142"/>
      <c r="F32" s="142"/>
      <c r="G32" s="142"/>
      <c r="H32" s="142"/>
      <c r="I32" s="142"/>
      <c r="J32" s="142"/>
      <c r="K32" s="142"/>
      <c r="L32" s="391"/>
      <c r="M32" s="142"/>
      <c r="N32" s="142"/>
      <c r="O32" s="142"/>
      <c r="S32" s="1162" t="s">
        <v>412</v>
      </c>
      <c r="T32" s="1162"/>
      <c r="U32" s="441"/>
      <c r="V32" s="1164">
        <f>IF(TITLE_DATE_PR_CHANGE="",IF(TITLE_DATE_PR="","",TITLE_DATE_PR),TITLE_DATE_PR_CHANGE)</f>
        <v>45266.462974536997</v>
      </c>
      <c r="W32" s="1164"/>
      <c r="X32" s="1164"/>
      <c r="Y32" s="1164"/>
      <c r="Z32" s="1164"/>
      <c r="AA32" s="1164"/>
      <c r="AB32" s="46"/>
      <c r="AC32" s="1164">
        <f>IF(TITLE_DATE_PR_CHANGE="",IF(TITLE_DATE_PR="","",TITLE_DATE_PR),TITLE_DATE_PR_CHANGE)</f>
        <v>45266.462974536997</v>
      </c>
      <c r="AD32" s="1164"/>
      <c r="AE32" s="1164"/>
      <c r="AF32" s="1164"/>
      <c r="AG32" s="1164"/>
      <c r="AH32" s="1164"/>
      <c r="AI32" s="46"/>
      <c r="AJ32" s="46"/>
      <c r="AK32" s="442"/>
      <c r="AL32" s="121"/>
      <c r="AM32" s="121"/>
      <c r="AN32" s="121"/>
      <c r="AO32" s="121"/>
      <c r="AP32" s="121"/>
    </row>
    <row r="33" spans="1:42" s="174" customFormat="1" ht="18.75" hidden="1" customHeight="1">
      <c r="A33" s="142"/>
      <c r="B33" s="142"/>
      <c r="C33" s="142"/>
      <c r="D33" s="142"/>
      <c r="E33" s="142"/>
      <c r="F33" s="142"/>
      <c r="G33" s="142"/>
      <c r="H33" s="142"/>
      <c r="I33" s="142"/>
      <c r="J33" s="142"/>
      <c r="K33" s="142"/>
      <c r="L33" s="391"/>
      <c r="M33" s="142"/>
      <c r="N33" s="142"/>
      <c r="O33" s="142"/>
      <c r="S33" s="1162" t="s">
        <v>413</v>
      </c>
      <c r="T33" s="1162"/>
      <c r="U33" s="441"/>
      <c r="V33" s="1163" t="str">
        <f>IF(TITLE_NUMBER_PR_CHANGE="",IF(TITLE_NUMBER_PR="","",TITLE_NUMBER_PR),TITLE_NUMBER_PR_CHANGE)</f>
        <v>216-ПК</v>
      </c>
      <c r="W33" s="1163"/>
      <c r="X33" s="1163"/>
      <c r="Y33" s="1163"/>
      <c r="Z33" s="1163"/>
      <c r="AA33" s="1163"/>
      <c r="AB33" s="46"/>
      <c r="AC33" s="1163" t="str">
        <f>IF(TITLE_NUMBER_PR_CHANGE="",IF(TITLE_NUMBER_PR="","",TITLE_NUMBER_PR),TITLE_NUMBER_PR_CHANGE)</f>
        <v>216-ПК</v>
      </c>
      <c r="AD33" s="1163"/>
      <c r="AE33" s="1163"/>
      <c r="AF33" s="1163"/>
      <c r="AG33" s="1163"/>
      <c r="AH33" s="1163"/>
      <c r="AI33" s="46"/>
      <c r="AJ33" s="46"/>
      <c r="AK33" s="442"/>
      <c r="AL33" s="121"/>
      <c r="AM33" s="121"/>
      <c r="AN33" s="121"/>
      <c r="AO33" s="121"/>
      <c r="AP33" s="121"/>
    </row>
    <row r="34" spans="1:42" s="174" customFormat="1" ht="0.75" customHeight="1">
      <c r="A34" s="142"/>
      <c r="B34" s="142"/>
      <c r="C34" s="142"/>
      <c r="D34" s="142"/>
      <c r="E34" s="142"/>
      <c r="F34" s="142"/>
      <c r="G34" s="142"/>
      <c r="H34" s="142"/>
      <c r="I34" s="142"/>
      <c r="J34" s="142"/>
      <c r="K34" s="142"/>
      <c r="L34" s="391"/>
      <c r="M34" s="142"/>
      <c r="N34" s="142"/>
      <c r="O34" s="142"/>
      <c r="S34" s="46"/>
      <c r="T34" s="46"/>
      <c r="U34" s="131"/>
      <c r="V34" s="46"/>
      <c r="W34" s="46"/>
      <c r="X34" s="46"/>
      <c r="Y34" s="46"/>
      <c r="Z34" s="46"/>
      <c r="AA34" s="46"/>
      <c r="AB34" s="53" t="s">
        <v>414</v>
      </c>
      <c r="AC34" s="46"/>
      <c r="AD34" s="46"/>
      <c r="AE34" s="46"/>
      <c r="AF34" s="46"/>
      <c r="AG34" s="46"/>
      <c r="AH34" s="46"/>
      <c r="AI34" s="53" t="s">
        <v>414</v>
      </c>
      <c r="AL34" s="121"/>
      <c r="AM34" s="121"/>
      <c r="AN34" s="121"/>
      <c r="AO34" s="121"/>
      <c r="AP34" s="121"/>
    </row>
    <row r="35" spans="1:42" ht="14.25" customHeight="1">
      <c r="Q35" s="437"/>
      <c r="R35" s="437"/>
      <c r="S35" s="438"/>
      <c r="T35" s="83"/>
      <c r="U35" s="443"/>
      <c r="V35" s="1165"/>
      <c r="W35" s="1165"/>
      <c r="X35" s="1165"/>
      <c r="Y35" s="1165"/>
      <c r="Z35" s="1165"/>
      <c r="AA35" s="1165"/>
      <c r="AB35" s="1165"/>
      <c r="AC35" s="1165"/>
      <c r="AD35" s="1165"/>
      <c r="AE35" s="1165"/>
      <c r="AF35" s="1165"/>
      <c r="AG35" s="1165"/>
      <c r="AH35" s="1165"/>
      <c r="AI35" s="1165"/>
    </row>
    <row r="36" spans="1:42" ht="14.25" customHeight="1">
      <c r="Q36" s="437"/>
      <c r="R36" s="437"/>
      <c r="S36" s="1087" t="s">
        <v>287</v>
      </c>
      <c r="T36" s="1087"/>
      <c r="U36" s="1087"/>
      <c r="V36" s="1087"/>
      <c r="W36" s="1087"/>
      <c r="X36" s="1087"/>
      <c r="Y36" s="1087"/>
      <c r="Z36" s="1087"/>
      <c r="AA36" s="1087"/>
      <c r="AB36" s="1087"/>
      <c r="AC36" s="1087"/>
      <c r="AD36" s="1087"/>
      <c r="AE36" s="1087"/>
      <c r="AF36" s="1087"/>
      <c r="AG36" s="1087"/>
      <c r="AH36" s="1087"/>
      <c r="AI36" s="1087"/>
      <c r="AJ36" s="1087"/>
      <c r="AK36" s="1087" t="s">
        <v>288</v>
      </c>
    </row>
    <row r="37" spans="1:42" ht="14.25" customHeight="1">
      <c r="Q37" s="437"/>
      <c r="R37" s="437"/>
      <c r="S37" s="1166" t="s">
        <v>84</v>
      </c>
      <c r="T37" s="1167" t="s">
        <v>415</v>
      </c>
      <c r="U37" s="444"/>
      <c r="V37" s="1140" t="s">
        <v>416</v>
      </c>
      <c r="W37" s="1140"/>
      <c r="X37" s="1140"/>
      <c r="Y37" s="1140"/>
      <c r="Z37" s="1140"/>
      <c r="AA37" s="1140"/>
      <c r="AB37" s="1167" t="s">
        <v>417</v>
      </c>
      <c r="AC37" s="1140" t="s">
        <v>416</v>
      </c>
      <c r="AD37" s="1140"/>
      <c r="AE37" s="1140"/>
      <c r="AF37" s="1140"/>
      <c r="AG37" s="1140"/>
      <c r="AH37" s="1140"/>
      <c r="AI37" s="1167" t="s">
        <v>418</v>
      </c>
      <c r="AJ37" s="1168" t="s">
        <v>419</v>
      </c>
      <c r="AK37" s="1087"/>
    </row>
    <row r="38" spans="1:42" ht="33.75" customHeight="1">
      <c r="Q38" s="437"/>
      <c r="R38" s="437"/>
      <c r="S38" s="1166"/>
      <c r="T38" s="1167"/>
      <c r="U38" s="445"/>
      <c r="V38" s="242" t="s">
        <v>518</v>
      </c>
      <c r="W38" s="1087" t="s">
        <v>519</v>
      </c>
      <c r="X38" s="1087"/>
      <c r="Y38" s="1087" t="s">
        <v>423</v>
      </c>
      <c r="Z38" s="1087"/>
      <c r="AA38" s="1087"/>
      <c r="AB38" s="1167"/>
      <c r="AC38" s="242" t="s">
        <v>518</v>
      </c>
      <c r="AD38" s="1087" t="s">
        <v>519</v>
      </c>
      <c r="AE38" s="1087"/>
      <c r="AF38" s="1087" t="s">
        <v>423</v>
      </c>
      <c r="AG38" s="1087"/>
      <c r="AH38" s="1087"/>
      <c r="AI38" s="1167"/>
      <c r="AJ38" s="1168"/>
      <c r="AK38" s="1087"/>
    </row>
    <row r="39" spans="1:42" ht="86.25" customHeight="1">
      <c r="A39" s="142"/>
      <c r="B39" s="142" t="s">
        <v>131</v>
      </c>
      <c r="C39" s="142" t="s">
        <v>132</v>
      </c>
      <c r="D39" s="142" t="s">
        <v>133</v>
      </c>
      <c r="E39" s="391" t="s">
        <v>424</v>
      </c>
      <c r="F39" s="391" t="s">
        <v>425</v>
      </c>
      <c r="G39" s="391" t="s">
        <v>426</v>
      </c>
      <c r="H39" s="391"/>
      <c r="I39" s="391" t="s">
        <v>476</v>
      </c>
      <c r="J39" s="391" t="s">
        <v>429</v>
      </c>
      <c r="K39" s="391" t="s">
        <v>477</v>
      </c>
      <c r="L39" s="391" t="s">
        <v>405</v>
      </c>
      <c r="Q39" s="437"/>
      <c r="R39" s="437"/>
      <c r="S39" s="1166"/>
      <c r="T39" s="1167"/>
      <c r="U39" s="446"/>
      <c r="V39" s="523" t="s">
        <v>520</v>
      </c>
      <c r="W39" s="203" t="s">
        <v>521</v>
      </c>
      <c r="X39" s="203" t="s">
        <v>522</v>
      </c>
      <c r="Y39" s="203" t="s">
        <v>433</v>
      </c>
      <c r="Z39" s="1108" t="s">
        <v>434</v>
      </c>
      <c r="AA39" s="1108"/>
      <c r="AB39" s="1167"/>
      <c r="AC39" s="523" t="s">
        <v>520</v>
      </c>
      <c r="AD39" s="203" t="s">
        <v>521</v>
      </c>
      <c r="AE39" s="203" t="s">
        <v>522</v>
      </c>
      <c r="AF39" s="203" t="s">
        <v>433</v>
      </c>
      <c r="AG39" s="1108" t="s">
        <v>434</v>
      </c>
      <c r="AH39" s="1108"/>
      <c r="AI39" s="1167"/>
      <c r="AJ39" s="1168"/>
      <c r="AK39" s="1087"/>
    </row>
    <row r="40" spans="1:42" s="123" customFormat="1" ht="11.25" hidden="1" customHeight="1">
      <c r="A40" s="142"/>
      <c r="B40" s="142"/>
      <c r="C40" s="142"/>
      <c r="D40" s="142"/>
      <c r="E40" s="142"/>
      <c r="F40" s="142"/>
      <c r="G40" s="142"/>
      <c r="H40" s="142"/>
      <c r="I40" s="142"/>
      <c r="J40" s="142"/>
      <c r="K40" s="142"/>
      <c r="L40" s="391"/>
      <c r="M40" s="57"/>
      <c r="N40" s="57"/>
      <c r="O40" s="57"/>
      <c r="P40" s="447"/>
      <c r="Q40" s="448"/>
      <c r="R40" s="449">
        <v>1</v>
      </c>
      <c r="S40" s="450" t="s">
        <v>105</v>
      </c>
      <c r="T40" s="451" t="s">
        <v>106</v>
      </c>
      <c r="U40" s="452" t="str">
        <f ca="1">OFFSET(U40,0,-1)</f>
        <v>2</v>
      </c>
      <c r="V40" s="453">
        <f ca="1">OFFSET(V40,0,-1)+1</f>
        <v>3</v>
      </c>
      <c r="W40" s="453">
        <f ca="1">OFFSET(W40,0,-1)+1</f>
        <v>4</v>
      </c>
      <c r="X40" s="453">
        <f ca="1">OFFSET(X40,0,-1)+1</f>
        <v>5</v>
      </c>
      <c r="Y40" s="453">
        <f ca="1">OFFSET(Y40,0,-1)+1</f>
        <v>6</v>
      </c>
      <c r="Z40" s="1170">
        <f ca="1">OFFSET(Z40,0,-1)+1</f>
        <v>7</v>
      </c>
      <c r="AA40" s="1170"/>
      <c r="AB40" s="453">
        <f ca="1">OFFSET(AB40,0,-2)+1</f>
        <v>8</v>
      </c>
      <c r="AC40" s="453">
        <f ca="1">OFFSET(AC40,0,-1)+1</f>
        <v>9</v>
      </c>
      <c r="AD40" s="453">
        <f ca="1">OFFSET(AD40,0,-1)+1</f>
        <v>10</v>
      </c>
      <c r="AE40" s="453">
        <f ca="1">OFFSET(AE40,0,-1)+1</f>
        <v>11</v>
      </c>
      <c r="AF40" s="453">
        <f ca="1">OFFSET(AF40,0,-1)+1</f>
        <v>12</v>
      </c>
      <c r="AG40" s="1170">
        <f ca="1">OFFSET(AG40,0,-1)+1</f>
        <v>13</v>
      </c>
      <c r="AH40" s="1170"/>
      <c r="AI40" s="453">
        <f ca="1">OFFSET(AI40,0,-2)+1</f>
        <v>14</v>
      </c>
      <c r="AJ40" s="452">
        <f ca="1">OFFSET(AJ40,0,-1)</f>
        <v>14</v>
      </c>
      <c r="AK40" s="453">
        <f ca="1">OFFSET(AK40,0,-1)+1</f>
        <v>15</v>
      </c>
      <c r="AL40" s="53"/>
      <c r="AM40" s="53"/>
      <c r="AN40" s="53"/>
      <c r="AO40" s="53"/>
      <c r="AP40" s="53"/>
    </row>
    <row r="41" spans="1:42" ht="23.25" customHeight="1">
      <c r="A41" s="390" t="s">
        <v>233</v>
      </c>
      <c r="B41" s="390"/>
      <c r="C41" s="390"/>
      <c r="D41" s="390"/>
      <c r="E41" s="1153">
        <v>1</v>
      </c>
      <c r="F41" s="390"/>
      <c r="G41" s="390"/>
      <c r="H41" s="390"/>
      <c r="I41" s="390"/>
      <c r="J41" s="390"/>
      <c r="K41" s="390"/>
      <c r="L41" s="391"/>
      <c r="M41" s="392"/>
      <c r="N41" s="392"/>
      <c r="O41" s="392"/>
      <c r="Q41" s="134"/>
      <c r="R41" s="393"/>
      <c r="S41" s="394">
        <f>INDEX(PT_DIFFERENTIATION_NUM_NTAR,MATCH(A41,PT_DIFFERENTIATION_NTAR_ID,0))</f>
        <v>0</v>
      </c>
      <c r="T41" s="395" t="s">
        <v>119</v>
      </c>
      <c r="U41" s="396"/>
      <c r="V41" s="1154"/>
      <c r="W41" s="1154"/>
      <c r="X41" s="1154"/>
      <c r="Y41" s="1154"/>
      <c r="Z41" s="1154"/>
      <c r="AA41" s="1154"/>
      <c r="AB41" s="1154"/>
      <c r="AC41" s="1154" t="str">
        <f>INDEX(PT_DIFFERENTIATION_NTAR,MATCH(A41,PT_DIFFERENTIATION_NTAR_ID,0))</f>
        <v/>
      </c>
      <c r="AD41" s="1154"/>
      <c r="AE41" s="1154"/>
      <c r="AF41" s="1154"/>
      <c r="AG41" s="1154"/>
      <c r="AH41" s="1154"/>
      <c r="AI41" s="1154"/>
      <c r="AJ41" s="1154"/>
      <c r="AK41"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t="shared" ref="AN41:AN53" si="1">IF(T41="","",T41)</f>
        <v>Наименование тарифа</v>
      </c>
      <c r="AO41" s="121"/>
      <c r="AP41" s="121"/>
    </row>
    <row r="42" spans="1:42" ht="23.25" customHeight="1">
      <c r="A42" s="390" t="s">
        <v>233</v>
      </c>
      <c r="B42" s="390" t="s">
        <v>234</v>
      </c>
      <c r="C42" s="390"/>
      <c r="D42" s="390"/>
      <c r="E42" s="1153"/>
      <c r="F42" s="1153">
        <v>1</v>
      </c>
      <c r="G42" s="390"/>
      <c r="H42" s="390"/>
      <c r="I42" s="390"/>
      <c r="J42" s="390"/>
      <c r="K42" s="390"/>
      <c r="L42" s="391"/>
      <c r="M42" s="392"/>
      <c r="N42" s="392"/>
      <c r="O42" s="392"/>
      <c r="P42" s="47"/>
      <c r="Q42" s="398"/>
      <c r="R42" s="399"/>
      <c r="S42" s="394" t="str">
        <f>INDEX(PT_DIFFERENTIATION_NUM_TER,MATCH(B42,PT_DIFFERENTIATION_TER_ID,0))</f>
        <v>.</v>
      </c>
      <c r="T42" s="400" t="s">
        <v>386</v>
      </c>
      <c r="U42" s="396"/>
      <c r="V42" s="1154"/>
      <c r="W42" s="1154"/>
      <c r="X42" s="1154"/>
      <c r="Y42" s="1154"/>
      <c r="Z42" s="1154"/>
      <c r="AA42" s="1154"/>
      <c r="AB42" s="1154"/>
      <c r="AC42" s="1154" t="str">
        <f>INDEX(PT_DIFFERENTIATION_TER,MATCH(B42,PT_DIFFERENTIATION_TER_ID,0))</f>
        <v/>
      </c>
      <c r="AD42" s="1154"/>
      <c r="AE42" s="1154"/>
      <c r="AF42" s="1154"/>
      <c r="AG42" s="1154"/>
      <c r="AH42" s="1154"/>
      <c r="AI42" s="1154"/>
      <c r="AJ42" s="1154"/>
      <c r="AK42" s="397" t="s">
        <v>387</v>
      </c>
      <c r="AM42" s="121"/>
      <c r="AN42" s="121" t="str">
        <f t="shared" si="1"/>
        <v>Территория действия тарифа</v>
      </c>
      <c r="AO42" s="121"/>
      <c r="AP42" s="121"/>
    </row>
    <row r="43" spans="1:42" ht="23.25" customHeight="1">
      <c r="A43" s="390" t="s">
        <v>233</v>
      </c>
      <c r="B43" s="390" t="s">
        <v>234</v>
      </c>
      <c r="C43" s="390" t="s">
        <v>235</v>
      </c>
      <c r="D43" s="390"/>
      <c r="E43" s="1153"/>
      <c r="F43" s="1153"/>
      <c r="G43" s="1153">
        <v>1</v>
      </c>
      <c r="H43" s="390"/>
      <c r="I43" s="390"/>
      <c r="J43" s="390"/>
      <c r="K43" s="390"/>
      <c r="L43" s="391"/>
      <c r="M43" s="392"/>
      <c r="N43" s="392"/>
      <c r="O43" s="392"/>
      <c r="P43" s="401"/>
      <c r="Q43" s="398"/>
      <c r="R43" s="399"/>
      <c r="S43" s="394" t="str">
        <f>INDEX(PT_DIFFERENTIATION_NUM_CS,MATCH(C43,PT_DIFFERENTIATION_CS_ID,0))</f>
        <v>..</v>
      </c>
      <c r="T43" s="402" t="s">
        <v>516</v>
      </c>
      <c r="U43" s="396"/>
      <c r="V43" s="1154"/>
      <c r="W43" s="1154"/>
      <c r="X43" s="1154"/>
      <c r="Y43" s="1154"/>
      <c r="Z43" s="1154"/>
      <c r="AA43" s="1154"/>
      <c r="AB43" s="1154"/>
      <c r="AC43" s="1154" t="str">
        <f>INDEX(PT_DIFFERENTIATION_CS,MATCH(C43,PT_DIFFERENTIATION_CS_ID,0))</f>
        <v/>
      </c>
      <c r="AD43" s="1154"/>
      <c r="AE43" s="1154"/>
      <c r="AF43" s="1154"/>
      <c r="AG43" s="1154"/>
      <c r="AH43" s="1154"/>
      <c r="AI43" s="1154"/>
      <c r="AJ43" s="1154"/>
      <c r="AK43" s="397" t="s">
        <v>517</v>
      </c>
      <c r="AM43" s="121"/>
      <c r="AN43" s="121" t="str">
        <f t="shared" si="1"/>
        <v>Наименование централизованной системы горячего водоснабжения</v>
      </c>
      <c r="AO43" s="121"/>
      <c r="AP43" s="121"/>
    </row>
    <row r="44" spans="1:42" ht="23.25" customHeight="1">
      <c r="A44" s="390" t="s">
        <v>233</v>
      </c>
      <c r="B44" s="390" t="s">
        <v>234</v>
      </c>
      <c r="C44" s="390" t="s">
        <v>235</v>
      </c>
      <c r="D44" s="390" t="s">
        <v>523</v>
      </c>
      <c r="E44" s="1153"/>
      <c r="F44" s="1153"/>
      <c r="G44" s="1153"/>
      <c r="H44" s="1189"/>
      <c r="I44" s="1155" t="str">
        <f>S43&amp;".1"</f>
        <v>...1</v>
      </c>
      <c r="J44" s="390"/>
      <c r="K44" s="390"/>
      <c r="L44" s="391"/>
      <c r="P44" s="1156">
        <v>1</v>
      </c>
      <c r="Q44" s="124"/>
      <c r="R44" s="405"/>
      <c r="S44" s="394" t="str">
        <f>$I44</f>
        <v>...1</v>
      </c>
      <c r="T44" s="406" t="s">
        <v>469</v>
      </c>
      <c r="U44" s="396"/>
      <c r="V44" s="1190"/>
      <c r="W44" s="1190"/>
      <c r="X44" s="1190"/>
      <c r="Y44" s="1190"/>
      <c r="Z44" s="1190"/>
      <c r="AA44" s="1190"/>
      <c r="AB44" s="1190"/>
      <c r="AC44" s="1123"/>
      <c r="AD44" s="1123"/>
      <c r="AE44" s="1123"/>
      <c r="AF44" s="1123"/>
      <c r="AG44" s="1123"/>
      <c r="AH44" s="1123"/>
      <c r="AI44" s="1123"/>
      <c r="AJ44" s="1123"/>
      <c r="AK44" s="397" t="s">
        <v>470</v>
      </c>
      <c r="AM44" s="121"/>
      <c r="AN44" s="121" t="str">
        <f t="shared" si="1"/>
        <v>Наименование признака дифференциации</v>
      </c>
      <c r="AO44" s="121"/>
      <c r="AP44" s="121"/>
    </row>
    <row r="45" spans="1:42" ht="23.25" customHeight="1">
      <c r="A45" s="390" t="s">
        <v>233</v>
      </c>
      <c r="B45" s="390" t="s">
        <v>234</v>
      </c>
      <c r="C45" s="390" t="s">
        <v>235</v>
      </c>
      <c r="D45" s="390" t="s">
        <v>523</v>
      </c>
      <c r="E45" s="1153"/>
      <c r="F45" s="1153"/>
      <c r="G45" s="1153"/>
      <c r="H45" s="1153"/>
      <c r="I45" s="1155"/>
      <c r="J45" s="1155" t="str">
        <f>I44&amp;".1"</f>
        <v>...1.1</v>
      </c>
      <c r="K45" s="390"/>
      <c r="L45" s="391" t="s">
        <v>395</v>
      </c>
      <c r="P45" s="1156"/>
      <c r="Q45" s="1156">
        <v>1</v>
      </c>
      <c r="R45" s="408"/>
      <c r="S45" s="394" t="str">
        <f>$J45</f>
        <v>...1.1</v>
      </c>
      <c r="T45" s="409" t="s">
        <v>396</v>
      </c>
      <c r="U45" s="396"/>
      <c r="V45" s="1157"/>
      <c r="W45" s="1157"/>
      <c r="X45" s="1157"/>
      <c r="Y45" s="1157"/>
      <c r="Z45" s="1157"/>
      <c r="AA45" s="1157"/>
      <c r="AB45" s="1157"/>
      <c r="AC45" s="1157"/>
      <c r="AD45" s="1157"/>
      <c r="AE45" s="1157"/>
      <c r="AF45" s="1157"/>
      <c r="AG45" s="1157"/>
      <c r="AH45" s="1157"/>
      <c r="AI45" s="1157"/>
      <c r="AJ45" s="1157"/>
      <c r="AK45" s="471" t="s">
        <v>471</v>
      </c>
      <c r="AM45" s="121"/>
      <c r="AN45" s="121" t="str">
        <f t="shared" si="1"/>
        <v>Группа потребителей</v>
      </c>
      <c r="AO45" s="121"/>
      <c r="AP45" s="121"/>
    </row>
    <row r="46" spans="1:42" ht="23.25" customHeight="1">
      <c r="A46" s="390" t="s">
        <v>233</v>
      </c>
      <c r="B46" s="390" t="s">
        <v>234</v>
      </c>
      <c r="C46" s="390" t="s">
        <v>235</v>
      </c>
      <c r="D46" s="390" t="s">
        <v>523</v>
      </c>
      <c r="E46" s="1153"/>
      <c r="F46" s="1153"/>
      <c r="G46" s="1153"/>
      <c r="H46" s="1153"/>
      <c r="I46" s="1155"/>
      <c r="J46" s="1155"/>
      <c r="K46" s="1155" t="str">
        <f>J45&amp;".1"</f>
        <v>...1.1.1</v>
      </c>
      <c r="L46" s="391"/>
      <c r="P46" s="1156"/>
      <c r="Q46" s="1156"/>
      <c r="R46" s="408">
        <v>1</v>
      </c>
      <c r="S46" s="394" t="str">
        <f>$K46</f>
        <v>...1.1.1</v>
      </c>
      <c r="T46" s="517"/>
      <c r="U46" s="396"/>
      <c r="V46" s="433"/>
      <c r="W46" s="433"/>
      <c r="X46" s="434"/>
      <c r="Y46" s="1160"/>
      <c r="Z46" s="1161" t="s">
        <v>63</v>
      </c>
      <c r="AA46" s="1160"/>
      <c r="AB46" s="1161" t="s">
        <v>63</v>
      </c>
      <c r="AC46" s="411"/>
      <c r="AD46" s="411"/>
      <c r="AE46" s="413"/>
      <c r="AF46" s="1158"/>
      <c r="AG46" s="1105" t="s">
        <v>63</v>
      </c>
      <c r="AH46" s="1158"/>
      <c r="AI46" s="1105" t="s">
        <v>53</v>
      </c>
      <c r="AJ46" s="518"/>
      <c r="AK46"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 t="e">
        <f ca="1">strcheckdate(V47:AJ47)</f>
        <v>#NAME?</v>
      </c>
      <c r="AM46" s="121"/>
      <c r="AN46" s="121" t="str">
        <f t="shared" si="1"/>
        <v/>
      </c>
      <c r="AO46" s="121"/>
      <c r="AP46" s="121"/>
    </row>
    <row r="47" spans="1:42" ht="11.25">
      <c r="A47" s="390" t="s">
        <v>233</v>
      </c>
      <c r="B47" s="390" t="s">
        <v>234</v>
      </c>
      <c r="C47" s="390" t="s">
        <v>235</v>
      </c>
      <c r="D47" s="390" t="s">
        <v>523</v>
      </c>
      <c r="E47" s="1153"/>
      <c r="F47" s="1153"/>
      <c r="G47" s="1153"/>
      <c r="H47" s="1153"/>
      <c r="I47" s="1155"/>
      <c r="J47" s="1155"/>
      <c r="K47" s="1155"/>
      <c r="L47" s="391"/>
      <c r="P47" s="1156"/>
      <c r="Q47" s="1156"/>
      <c r="R47" s="408"/>
      <c r="S47" s="370"/>
      <c r="T47" s="396"/>
      <c r="U47" s="396"/>
      <c r="V47" s="433"/>
      <c r="W47" s="433"/>
      <c r="X47" s="415" t="str">
        <f>Y46&amp;"-"&amp;AA46</f>
        <v>-</v>
      </c>
      <c r="Y47" s="1160"/>
      <c r="Z47" s="1160"/>
      <c r="AA47" s="1160"/>
      <c r="AB47" s="1160"/>
      <c r="AC47" s="412"/>
      <c r="AD47" s="412"/>
      <c r="AE47" s="415" t="str">
        <f>AF46&amp;"-"&amp;AH46</f>
        <v>-</v>
      </c>
      <c r="AF47" s="1158"/>
      <c r="AG47" s="1105"/>
      <c r="AH47" s="1158"/>
      <c r="AI47" s="1105"/>
      <c r="AJ47" s="519"/>
      <c r="AK47" s="1191"/>
      <c r="AM47" s="121"/>
      <c r="AN47" s="121" t="str">
        <f t="shared" si="1"/>
        <v/>
      </c>
      <c r="AO47" s="121"/>
      <c r="AP47" s="121"/>
    </row>
    <row r="48" spans="1:42" ht="21" customHeight="1">
      <c r="A48" s="390" t="s">
        <v>233</v>
      </c>
      <c r="B48" s="390" t="s">
        <v>234</v>
      </c>
      <c r="C48" s="390" t="s">
        <v>235</v>
      </c>
      <c r="D48" s="390" t="s">
        <v>523</v>
      </c>
      <c r="E48" s="1153"/>
      <c r="F48" s="1153"/>
      <c r="G48" s="1153"/>
      <c r="H48" s="1153"/>
      <c r="I48" s="1155"/>
      <c r="J48" s="1155"/>
      <c r="K48" s="390"/>
      <c r="L48" s="391"/>
      <c r="P48" s="1156"/>
      <c r="Q48" s="1156"/>
      <c r="R48" s="405"/>
      <c r="S48" s="416"/>
      <c r="T48" s="419" t="s">
        <v>472</v>
      </c>
      <c r="U48" s="186"/>
      <c r="V48" s="186"/>
      <c r="W48" s="186"/>
      <c r="X48" s="186"/>
      <c r="Y48" s="186"/>
      <c r="Z48" s="186"/>
      <c r="AA48" s="186"/>
      <c r="AB48" s="186"/>
      <c r="AC48" s="186"/>
      <c r="AD48" s="186"/>
      <c r="AE48" s="186"/>
      <c r="AF48" s="186"/>
      <c r="AG48" s="186"/>
      <c r="AH48" s="186"/>
      <c r="AI48" s="186"/>
      <c r="AJ48" s="186"/>
      <c r="AK48" s="397" t="s">
        <v>473</v>
      </c>
      <c r="AM48" s="121"/>
      <c r="AN48" s="121" t="str">
        <f t="shared" si="1"/>
        <v>Добавить значение признака дифференциации</v>
      </c>
      <c r="AO48" s="121"/>
      <c r="AP48" s="121"/>
    </row>
    <row r="49" spans="1:42" ht="21" customHeight="1">
      <c r="A49" s="390" t="s">
        <v>233</v>
      </c>
      <c r="B49" s="390" t="s">
        <v>234</v>
      </c>
      <c r="C49" s="390" t="s">
        <v>235</v>
      </c>
      <c r="D49" s="390" t="s">
        <v>523</v>
      </c>
      <c r="E49" s="1153"/>
      <c r="F49" s="1153"/>
      <c r="G49" s="1153"/>
      <c r="H49" s="1153"/>
      <c r="I49" s="1155"/>
      <c r="J49" s="390"/>
      <c r="K49" s="390"/>
      <c r="L49" s="391"/>
      <c r="P49" s="1156"/>
      <c r="Q49" s="124"/>
      <c r="R49" s="405"/>
      <c r="S49" s="416"/>
      <c r="T49" s="423" t="s">
        <v>401</v>
      </c>
      <c r="U49" s="186"/>
      <c r="V49" s="186"/>
      <c r="W49" s="186"/>
      <c r="X49" s="186"/>
      <c r="Y49" s="186"/>
      <c r="Z49" s="186"/>
      <c r="AA49" s="186"/>
      <c r="AB49" s="420"/>
      <c r="AC49" s="186"/>
      <c r="AD49" s="186"/>
      <c r="AE49" s="186"/>
      <c r="AF49" s="186"/>
      <c r="AG49" s="186"/>
      <c r="AH49" s="186"/>
      <c r="AI49" s="420"/>
      <c r="AJ49" s="186"/>
      <c r="AK49" s="520"/>
      <c r="AM49" s="121"/>
      <c r="AN49" s="121" t="str">
        <f t="shared" si="1"/>
        <v>Добавить группу потребителей</v>
      </c>
      <c r="AO49" s="121"/>
      <c r="AP49" s="121"/>
    </row>
    <row r="50" spans="1:42" ht="21" customHeight="1">
      <c r="A50" s="390" t="s">
        <v>233</v>
      </c>
      <c r="B50" s="390" t="s">
        <v>234</v>
      </c>
      <c r="C50" s="390" t="s">
        <v>235</v>
      </c>
      <c r="D50" s="390" t="s">
        <v>523</v>
      </c>
      <c r="E50" s="1153"/>
      <c r="F50" s="1153"/>
      <c r="G50" s="1153"/>
      <c r="H50" s="1189"/>
      <c r="I50" s="390"/>
      <c r="J50" s="390"/>
      <c r="K50" s="390"/>
      <c r="L50" s="391"/>
      <c r="M50" s="392"/>
      <c r="N50" s="392"/>
      <c r="O50" s="49"/>
      <c r="P50" s="134"/>
      <c r="Q50" s="422"/>
      <c r="R50" s="393"/>
      <c r="S50" s="416"/>
      <c r="T50" s="521" t="s">
        <v>474</v>
      </c>
      <c r="U50" s="186"/>
      <c r="V50" s="186"/>
      <c r="W50" s="186"/>
      <c r="X50" s="186"/>
      <c r="Y50" s="186"/>
      <c r="Z50" s="186"/>
      <c r="AA50" s="186"/>
      <c r="AB50" s="420"/>
      <c r="AC50" s="186"/>
      <c r="AD50" s="186"/>
      <c r="AE50" s="186"/>
      <c r="AF50" s="186"/>
      <c r="AG50" s="186"/>
      <c r="AH50" s="186"/>
      <c r="AI50" s="420"/>
      <c r="AJ50" s="186"/>
      <c r="AK50" s="421"/>
      <c r="AM50" s="121"/>
      <c r="AN50" s="121" t="str">
        <f t="shared" si="1"/>
        <v>Добавить наименование признака дифференциации</v>
      </c>
      <c r="AO50" s="121"/>
      <c r="AP50" s="121"/>
    </row>
    <row r="51" spans="1:42" s="53" customFormat="1" ht="5.25">
      <c r="A51" s="125" t="s">
        <v>233</v>
      </c>
      <c r="B51" s="125" t="s">
        <v>234</v>
      </c>
      <c r="C51" s="125"/>
      <c r="D51" s="125"/>
      <c r="E51" s="1153"/>
      <c r="F51" s="1153"/>
      <c r="G51" s="125"/>
      <c r="H51" s="125"/>
      <c r="I51" s="125"/>
      <c r="J51" s="125"/>
      <c r="K51" s="125"/>
      <c r="L51" s="184"/>
      <c r="M51" s="428"/>
      <c r="N51" s="428"/>
      <c r="P51" s="158"/>
      <c r="Q51" s="424"/>
      <c r="R51" s="158"/>
      <c r="S51" s="429"/>
      <c r="T51" s="432" t="s">
        <v>253</v>
      </c>
      <c r="U51" s="431"/>
      <c r="V51" s="431"/>
      <c r="W51" s="431"/>
      <c r="X51" s="431"/>
      <c r="Y51" s="431"/>
      <c r="Z51" s="431"/>
      <c r="AA51" s="431"/>
      <c r="AB51" s="431"/>
      <c r="AC51" s="431"/>
      <c r="AD51" s="431"/>
      <c r="AE51" s="431"/>
      <c r="AF51" s="431"/>
      <c r="AG51" s="431"/>
      <c r="AH51" s="431"/>
      <c r="AI51" s="431"/>
      <c r="AJ51" s="431"/>
      <c r="AK51" s="431"/>
      <c r="AM51" s="121"/>
      <c r="AN51" s="121" t="str">
        <f t="shared" si="1"/>
        <v>Добавить централизованную систему для дифференциации</v>
      </c>
      <c r="AO51" s="121"/>
      <c r="AP51" s="121"/>
    </row>
    <row r="52" spans="1:42" s="53" customFormat="1" ht="5.25">
      <c r="A52" s="125" t="s">
        <v>233</v>
      </c>
      <c r="B52" s="125"/>
      <c r="C52" s="125"/>
      <c r="D52" s="125"/>
      <c r="E52" s="1153"/>
      <c r="F52" s="125"/>
      <c r="G52" s="125"/>
      <c r="H52" s="125"/>
      <c r="I52" s="125"/>
      <c r="J52" s="125"/>
      <c r="K52" s="125"/>
      <c r="L52" s="184"/>
      <c r="M52" s="428"/>
      <c r="N52" s="428"/>
      <c r="P52" s="158"/>
      <c r="Q52" s="424"/>
      <c r="R52" s="158"/>
      <c r="S52" s="429"/>
      <c r="T52" s="432" t="s">
        <v>254</v>
      </c>
      <c r="U52" s="431"/>
      <c r="V52" s="431"/>
      <c r="W52" s="431"/>
      <c r="X52" s="431"/>
      <c r="Y52" s="431"/>
      <c r="Z52" s="431"/>
      <c r="AA52" s="431"/>
      <c r="AB52" s="431"/>
      <c r="AC52" s="431"/>
      <c r="AD52" s="431"/>
      <c r="AE52" s="431"/>
      <c r="AF52" s="431"/>
      <c r="AG52" s="431"/>
      <c r="AH52" s="431"/>
      <c r="AI52" s="431"/>
      <c r="AJ52" s="431"/>
      <c r="AK52" s="431"/>
      <c r="AM52" s="121"/>
      <c r="AN52" s="121" t="str">
        <f t="shared" si="1"/>
        <v>Добавить территорию для дифференциации</v>
      </c>
      <c r="AO52" s="121"/>
      <c r="AP52" s="121"/>
    </row>
    <row r="53" spans="1:42" s="53" customFormat="1" ht="5.25">
      <c r="A53" s="125"/>
      <c r="B53" s="125"/>
      <c r="C53" s="125"/>
      <c r="D53" s="125"/>
      <c r="E53" s="125"/>
      <c r="F53" s="125"/>
      <c r="G53" s="125"/>
      <c r="H53" s="125"/>
      <c r="I53" s="125"/>
      <c r="J53" s="125"/>
      <c r="K53" s="125"/>
      <c r="L53" s="184"/>
      <c r="M53" s="428"/>
      <c r="N53" s="428"/>
      <c r="P53" s="158"/>
      <c r="Q53" s="424"/>
      <c r="R53" s="158"/>
      <c r="S53" s="429"/>
      <c r="T53" s="432" t="s">
        <v>255</v>
      </c>
      <c r="U53" s="431"/>
      <c r="V53" s="431"/>
      <c r="W53" s="431"/>
      <c r="X53" s="431"/>
      <c r="Y53" s="431"/>
      <c r="Z53" s="431"/>
      <c r="AA53" s="431"/>
      <c r="AB53" s="431"/>
      <c r="AC53" s="431"/>
      <c r="AD53" s="431"/>
      <c r="AE53" s="431"/>
      <c r="AF53" s="431"/>
      <c r="AG53" s="431"/>
      <c r="AH53" s="431"/>
      <c r="AI53" s="431"/>
      <c r="AJ53" s="431"/>
      <c r="AK53" s="431"/>
      <c r="AM53" s="121"/>
      <c r="AN53" s="121" t="str">
        <f t="shared" si="1"/>
        <v>Добавить наименование тарифа</v>
      </c>
      <c r="AO53" s="121"/>
      <c r="AP53" s="121"/>
    </row>
    <row r="54" spans="1:42" ht="11.25" customHeight="1">
      <c r="M54" s="49"/>
      <c r="N54" s="49"/>
      <c r="O54" s="49"/>
      <c r="P54" s="46"/>
      <c r="Q54" s="46"/>
      <c r="R54" s="46"/>
      <c r="S54" s="46"/>
      <c r="AL54" s="46"/>
      <c r="AM54" s="46"/>
      <c r="AN54" s="46"/>
      <c r="AO54" s="46"/>
      <c r="AP54" s="46"/>
    </row>
    <row r="55" spans="1:42" ht="14.25" customHeight="1">
      <c r="O55" s="49"/>
      <c r="S55" s="387"/>
      <c r="T55" s="1171"/>
      <c r="U55" s="1171"/>
      <c r="V55" s="1171"/>
      <c r="W55" s="1171"/>
      <c r="X55" s="1171"/>
      <c r="Y55" s="1171"/>
      <c r="Z55" s="1171"/>
      <c r="AA55" s="1171"/>
      <c r="AB55" s="1171"/>
      <c r="AC55" s="1171"/>
      <c r="AD55" s="1171"/>
      <c r="AE55" s="1171"/>
      <c r="AF55" s="1171"/>
      <c r="AG55" s="1171"/>
      <c r="AH55" s="1171"/>
      <c r="AI55" s="1171"/>
      <c r="AJ55" s="1171"/>
      <c r="AK55" s="1171"/>
    </row>
    <row r="56" spans="1:42" ht="14.25" customHeight="1">
      <c r="O56" s="49"/>
    </row>
    <row r="57" spans="1:42" ht="14.25" customHeight="1">
      <c r="O57" s="49"/>
      <c r="S57" s="387"/>
      <c r="T57" s="1171"/>
      <c r="U57" s="1171"/>
      <c r="V57" s="1171"/>
      <c r="W57" s="1171"/>
      <c r="X57" s="1171"/>
      <c r="Y57" s="1171"/>
      <c r="Z57" s="1171"/>
      <c r="AA57" s="1171"/>
      <c r="AB57" s="1171"/>
      <c r="AC57" s="1171"/>
      <c r="AD57" s="1171"/>
      <c r="AE57" s="1171"/>
      <c r="AF57" s="1171"/>
      <c r="AG57" s="1171"/>
      <c r="AH57" s="1171"/>
      <c r="AI57" s="1171"/>
      <c r="AJ57" s="1171"/>
      <c r="AK57" s="1171"/>
    </row>
  </sheetData>
  <mergeCells count="101">
    <mergeCell ref="AB46:AB47"/>
    <mergeCell ref="AF46:AF47"/>
    <mergeCell ref="AG46:AG47"/>
    <mergeCell ref="AH46:AH47"/>
    <mergeCell ref="AI46:AI47"/>
    <mergeCell ref="AK46:AK47"/>
    <mergeCell ref="T55:AK55"/>
    <mergeCell ref="T57:AK5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S30:T30"/>
    <mergeCell ref="V30:AA30"/>
    <mergeCell ref="AC30:AH30"/>
    <mergeCell ref="S32:T32"/>
    <mergeCell ref="V32:AA32"/>
    <mergeCell ref="AC32:AH32"/>
    <mergeCell ref="S33:T33"/>
    <mergeCell ref="V33:AA33"/>
    <mergeCell ref="AC33:AH33"/>
    <mergeCell ref="S25:AH25"/>
    <mergeCell ref="S27:T27"/>
    <mergeCell ref="V27:AA27"/>
    <mergeCell ref="AC27:AH27"/>
    <mergeCell ref="S28:T28"/>
    <mergeCell ref="V28:AA28"/>
    <mergeCell ref="AC28:AH28"/>
    <mergeCell ref="S29:T29"/>
    <mergeCell ref="V29:AA29"/>
    <mergeCell ref="AC29:AH29"/>
    <mergeCell ref="AG7:AG8"/>
    <mergeCell ref="AH7:AH8"/>
    <mergeCell ref="AI7:AI8"/>
    <mergeCell ref="AK7:AK8"/>
    <mergeCell ref="AF15:AF16"/>
    <mergeCell ref="AG15:AG16"/>
    <mergeCell ref="AH15:AH16"/>
    <mergeCell ref="AI15:AI16"/>
    <mergeCell ref="S24:AH24"/>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s>
  <dataValidations count="4">
    <dataValidation allowBlank="1" showInputMessage="1" showErrorMessage="1" prompt="Для выбора выполните двойной щелчок левой клавиши мыши по соответствующей ячейке." sqref="Z7 AB7 AG7 AI7 AG15 AI15 Z46 AB46 AG46 AI46">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formula1>0</formula1>
      <formula2>0</formula2>
    </dataValidation>
    <dataValidation type="textLength" operator="lessThanOrEqual" allowBlank="1" showInputMessage="1" showErrorMessage="1" errorTitle="Ошибка" error="Допускается ввод не более 900 символов!" sqref="AC5:AJ5 T7 AC44:AJ44 T46">
      <formula1>900</formula1>
      <formula2>0</formula2>
    </dataValidation>
    <dataValidation allowBlank="1" promptTitle="checkPeriodRange" sqref="X8 AE8 AE16 X47 AE47">
      <formula1>0</formula1>
      <formula2>0</formula2>
    </dataValidation>
  </dataValidations>
  <pageMargins left="0.7" right="0.7" top="0.625" bottom="0.625" header="0.3" footer="0.3"/>
  <pageSetup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P57"/>
  <sheetViews>
    <sheetView showGridLines="0" topLeftCell="P23" zoomScale="90" zoomScaleNormal="9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4.140625" style="49" hidden="1" customWidth="1"/>
    <col min="10" max="10" width="9.85546875" style="49" hidden="1" customWidth="1"/>
    <col min="11" max="11" width="14.7109375" style="49" hidden="1" customWidth="1"/>
    <col min="12" max="12" width="19.140625" style="107" hidden="1" customWidth="1"/>
    <col min="13" max="14" width="12.28515625" style="57" hidden="1" customWidth="1"/>
    <col min="15" max="15" width="23.42578125" style="57" hidden="1" customWidth="1"/>
    <col min="16" max="16" width="3.7109375" style="56" customWidth="1"/>
    <col min="17" max="18" width="3.7109375" style="389" customWidth="1"/>
    <col min="19" max="19" width="12.7109375" style="254" customWidth="1"/>
    <col min="20" max="20" width="35.7109375" style="46" customWidth="1"/>
    <col min="21" max="21" width="0.140625" style="46" customWidth="1"/>
    <col min="22" max="24" width="24.7109375" style="46" hidden="1" customWidth="1"/>
    <col min="25" max="25" width="11.7109375" style="46" hidden="1" customWidth="1"/>
    <col min="26" max="26" width="3.7109375" style="46" hidden="1" customWidth="1"/>
    <col min="27" max="27" width="11.7109375" style="46" hidden="1" customWidth="1"/>
    <col min="28" max="28" width="8.5703125" style="46" hidden="1" customWidth="1"/>
    <col min="29" max="31" width="24.7109375" style="46" customWidth="1"/>
    <col min="32" max="32" width="11.7109375" style="46" customWidth="1"/>
    <col min="33" max="33" width="3.7109375" style="46" customWidth="1"/>
    <col min="34" max="34" width="11.7109375" style="46" customWidth="1"/>
    <col min="35" max="35" width="8.5703125" style="46" hidden="1" customWidth="1"/>
    <col min="36" max="36" width="4.7109375" style="46" customWidth="1"/>
    <col min="37" max="37" width="115.7109375" style="46" customWidth="1"/>
    <col min="38" max="39" width="10.5703125" style="53"/>
    <col min="40" max="40" width="11.140625" style="53" customWidth="1"/>
    <col min="41" max="42" width="10.5703125" style="53"/>
  </cols>
  <sheetData>
    <row r="1" spans="1:42" ht="14.25" hidden="1" customHeight="1"/>
    <row r="2" spans="1:42" ht="23.25" hidden="1" customHeight="1">
      <c r="A2" s="390"/>
      <c r="B2" s="390"/>
      <c r="C2" s="390"/>
      <c r="D2" s="390"/>
      <c r="E2" s="1153">
        <v>1</v>
      </c>
      <c r="F2" s="390"/>
      <c r="G2" s="390"/>
      <c r="H2" s="390"/>
      <c r="I2" s="390"/>
      <c r="J2" s="390"/>
      <c r="K2" s="390"/>
      <c r="L2" s="391"/>
      <c r="M2" s="392"/>
      <c r="N2" s="392"/>
      <c r="O2" s="392"/>
      <c r="Q2" s="134"/>
      <c r="R2" s="393"/>
      <c r="S2" s="394" t="e">
        <f>INDEX(PT_DIFFERENTIATION_NUM_NTAR,MATCH(A2,PT_DIFFERENTIATION_NTAR_ID,0))</f>
        <v>#N/A</v>
      </c>
      <c r="T2" s="395" t="s">
        <v>119</v>
      </c>
      <c r="U2" s="396"/>
      <c r="V2" s="1154"/>
      <c r="W2" s="1154"/>
      <c r="X2" s="1154"/>
      <c r="Y2" s="1154"/>
      <c r="Z2" s="1154"/>
      <c r="AA2" s="1154"/>
      <c r="AB2" s="1154"/>
      <c r="AC2" s="1154" t="e">
        <f>INDEX(PT_DIFFERENTIATION_NTAR,MATCH(A2,PT_DIFFERENTIATION_NTAR_ID,0))</f>
        <v>#N/A</v>
      </c>
      <c r="AD2" s="1154"/>
      <c r="AE2" s="1154"/>
      <c r="AF2" s="1154"/>
      <c r="AG2" s="1154"/>
      <c r="AH2" s="1154"/>
      <c r="AI2" s="1154"/>
      <c r="AJ2" s="1154"/>
      <c r="AK2"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t="shared" ref="AN2:AN13" si="0">IF(T2="","",T2)</f>
        <v>Наименование тарифа</v>
      </c>
      <c r="AO2" s="121"/>
      <c r="AP2" s="121"/>
    </row>
    <row r="3" spans="1:42" ht="23.25" hidden="1" customHeight="1">
      <c r="A3" s="390"/>
      <c r="B3" s="390"/>
      <c r="C3" s="390"/>
      <c r="D3" s="390"/>
      <c r="E3" s="1153"/>
      <c r="F3" s="1153">
        <v>1</v>
      </c>
      <c r="G3" s="390"/>
      <c r="H3" s="390"/>
      <c r="I3" s="390"/>
      <c r="J3" s="390"/>
      <c r="K3" s="390"/>
      <c r="L3" s="391"/>
      <c r="M3" s="392"/>
      <c r="N3" s="392"/>
      <c r="O3" s="392"/>
      <c r="P3" s="47"/>
      <c r="Q3" s="398"/>
      <c r="R3" s="399"/>
      <c r="S3" s="394" t="e">
        <f>INDEX(PT_DIFFERENTIATION_NUM_TER,MATCH(B3,PT_DIFFERENTIATION_TER_ID,0))</f>
        <v>#N/A</v>
      </c>
      <c r="T3" s="400" t="s">
        <v>386</v>
      </c>
      <c r="U3" s="396"/>
      <c r="V3" s="1154"/>
      <c r="W3" s="1154"/>
      <c r="X3" s="1154"/>
      <c r="Y3" s="1154"/>
      <c r="Z3" s="1154"/>
      <c r="AA3" s="1154"/>
      <c r="AB3" s="1154"/>
      <c r="AC3" s="1154" t="e">
        <f>INDEX(PT_DIFFERENTIATION_TER,MATCH(B3,PT_DIFFERENTIATION_TER_ID,0))</f>
        <v>#N/A</v>
      </c>
      <c r="AD3" s="1154"/>
      <c r="AE3" s="1154"/>
      <c r="AF3" s="1154"/>
      <c r="AG3" s="1154"/>
      <c r="AH3" s="1154"/>
      <c r="AI3" s="1154"/>
      <c r="AJ3" s="1154"/>
      <c r="AK3" s="397" t="s">
        <v>387</v>
      </c>
      <c r="AM3" s="121"/>
      <c r="AN3" s="121" t="str">
        <f t="shared" si="0"/>
        <v>Территория действия тарифа</v>
      </c>
      <c r="AO3" s="121"/>
      <c r="AP3" s="121"/>
    </row>
    <row r="4" spans="1:42" ht="23.25" hidden="1" customHeight="1">
      <c r="A4" s="390"/>
      <c r="B4" s="390"/>
      <c r="C4" s="390"/>
      <c r="D4" s="390"/>
      <c r="E4" s="1153"/>
      <c r="F4" s="1153"/>
      <c r="G4" s="1153">
        <v>1</v>
      </c>
      <c r="H4" s="390"/>
      <c r="I4" s="390"/>
      <c r="J4" s="390"/>
      <c r="K4" s="390"/>
      <c r="L4" s="391"/>
      <c r="M4" s="392"/>
      <c r="N4" s="392"/>
      <c r="O4" s="392"/>
      <c r="P4" s="401"/>
      <c r="Q4" s="398"/>
      <c r="R4" s="399"/>
      <c r="S4" s="394" t="e">
        <f>INDEX(PT_DIFFERENTIATION_NUM_CS,MATCH(C4,PT_DIFFERENTIATION_CS_ID,0))</f>
        <v>#N/A</v>
      </c>
      <c r="T4" s="402" t="s">
        <v>516</v>
      </c>
      <c r="U4" s="396"/>
      <c r="V4" s="1154"/>
      <c r="W4" s="1154"/>
      <c r="X4" s="1154"/>
      <c r="Y4" s="1154"/>
      <c r="Z4" s="1154"/>
      <c r="AA4" s="1154"/>
      <c r="AB4" s="1154"/>
      <c r="AC4" s="1154" t="e">
        <f>INDEX(PT_DIFFERENTIATION_CS,MATCH(C4,PT_DIFFERENTIATION_CS_ID,0))</f>
        <v>#N/A</v>
      </c>
      <c r="AD4" s="1154"/>
      <c r="AE4" s="1154"/>
      <c r="AF4" s="1154"/>
      <c r="AG4" s="1154"/>
      <c r="AH4" s="1154"/>
      <c r="AI4" s="1154"/>
      <c r="AJ4" s="1154"/>
      <c r="AK4" s="397" t="s">
        <v>517</v>
      </c>
      <c r="AM4" s="121"/>
      <c r="AN4" s="121" t="str">
        <f t="shared" si="0"/>
        <v>Наименование централизованной системы горячего водоснабжения</v>
      </c>
      <c r="AO4" s="121"/>
      <c r="AP4" s="121"/>
    </row>
    <row r="5" spans="1:42" ht="23.25" hidden="1" customHeight="1">
      <c r="A5" s="390"/>
      <c r="B5" s="390"/>
      <c r="C5" s="390"/>
      <c r="D5" s="390"/>
      <c r="E5" s="1153"/>
      <c r="F5" s="1153"/>
      <c r="G5" s="1153"/>
      <c r="H5" s="1189"/>
      <c r="I5" s="1155" t="e">
        <f>S4&amp;".1"</f>
        <v>#N/A</v>
      </c>
      <c r="J5" s="390"/>
      <c r="K5" s="390"/>
      <c r="L5" s="391"/>
      <c r="P5" s="1156">
        <v>1</v>
      </c>
      <c r="Q5" s="124"/>
      <c r="R5" s="405"/>
      <c r="S5" s="394" t="e">
        <f>$I5</f>
        <v>#N/A</v>
      </c>
      <c r="T5" s="406" t="s">
        <v>469</v>
      </c>
      <c r="U5" s="396"/>
      <c r="V5" s="1190"/>
      <c r="W5" s="1190"/>
      <c r="X5" s="1190"/>
      <c r="Y5" s="1190"/>
      <c r="Z5" s="1190"/>
      <c r="AA5" s="1190"/>
      <c r="AB5" s="1190"/>
      <c r="AC5" s="1123"/>
      <c r="AD5" s="1123"/>
      <c r="AE5" s="1123"/>
      <c r="AF5" s="1123"/>
      <c r="AG5" s="1123"/>
      <c r="AH5" s="1123"/>
      <c r="AI5" s="1123"/>
      <c r="AJ5" s="1123"/>
      <c r="AK5" s="397" t="s">
        <v>470</v>
      </c>
      <c r="AM5" s="121"/>
      <c r="AN5" s="121" t="str">
        <f t="shared" si="0"/>
        <v>Наименование признака дифференциации</v>
      </c>
      <c r="AO5" s="121"/>
      <c r="AP5" s="121"/>
    </row>
    <row r="6" spans="1:42" ht="23.25" hidden="1" customHeight="1">
      <c r="A6" s="390"/>
      <c r="B6" s="390"/>
      <c r="C6" s="390"/>
      <c r="D6" s="390"/>
      <c r="E6" s="1153"/>
      <c r="F6" s="1153"/>
      <c r="G6" s="1153"/>
      <c r="H6" s="1153"/>
      <c r="I6" s="1155"/>
      <c r="J6" s="1155" t="e">
        <f>I5&amp;".1"</f>
        <v>#N/A</v>
      </c>
      <c r="K6" s="390"/>
      <c r="L6" s="391" t="s">
        <v>395</v>
      </c>
      <c r="P6" s="1156"/>
      <c r="Q6" s="1156">
        <v>1</v>
      </c>
      <c r="R6" s="408"/>
      <c r="S6" s="394" t="e">
        <f>$J6</f>
        <v>#N/A</v>
      </c>
      <c r="T6" s="409" t="s">
        <v>396</v>
      </c>
      <c r="U6" s="396"/>
      <c r="V6" s="1157"/>
      <c r="W6" s="1157"/>
      <c r="X6" s="1157"/>
      <c r="Y6" s="1157"/>
      <c r="Z6" s="1157"/>
      <c r="AA6" s="1157"/>
      <c r="AB6" s="1157"/>
      <c r="AC6" s="1157"/>
      <c r="AD6" s="1157"/>
      <c r="AE6" s="1157"/>
      <c r="AF6" s="1157"/>
      <c r="AG6" s="1157"/>
      <c r="AH6" s="1157"/>
      <c r="AI6" s="1157"/>
      <c r="AJ6" s="1157"/>
      <c r="AK6" s="471" t="s">
        <v>471</v>
      </c>
      <c r="AM6" s="121"/>
      <c r="AN6" s="121" t="str">
        <f t="shared" si="0"/>
        <v>Группа потребителей</v>
      </c>
      <c r="AO6" s="121"/>
      <c r="AP6" s="121"/>
    </row>
    <row r="7" spans="1:42" ht="23.25" hidden="1" customHeight="1">
      <c r="A7" s="390"/>
      <c r="B7" s="390"/>
      <c r="C7" s="390"/>
      <c r="D7" s="390"/>
      <c r="E7" s="1153"/>
      <c r="F7" s="1153"/>
      <c r="G7" s="1153"/>
      <c r="H7" s="1153"/>
      <c r="I7" s="1155"/>
      <c r="J7" s="1155"/>
      <c r="K7" s="1155" t="e">
        <f>J6&amp;".1"</f>
        <v>#N/A</v>
      </c>
      <c r="L7" s="391"/>
      <c r="P7" s="1156"/>
      <c r="Q7" s="1156"/>
      <c r="R7" s="408">
        <v>1</v>
      </c>
      <c r="S7" s="394" t="e">
        <f>$K7</f>
        <v>#N/A</v>
      </c>
      <c r="T7" s="517"/>
      <c r="U7" s="396"/>
      <c r="V7" s="411"/>
      <c r="W7" s="411"/>
      <c r="X7" s="413"/>
      <c r="Y7" s="1158"/>
      <c r="Z7" s="1105" t="s">
        <v>63</v>
      </c>
      <c r="AA7" s="1158"/>
      <c r="AB7" s="1105" t="s">
        <v>63</v>
      </c>
      <c r="AC7" s="411"/>
      <c r="AD7" s="411"/>
      <c r="AE7" s="413"/>
      <c r="AF7" s="1158"/>
      <c r="AG7" s="1105" t="s">
        <v>63</v>
      </c>
      <c r="AH7" s="1158"/>
      <c r="AI7" s="1105" t="s">
        <v>63</v>
      </c>
      <c r="AJ7" s="518"/>
      <c r="AK7"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 t="e">
        <f ca="1">strcheckdate(V8:AJ8)</f>
        <v>#NAME?</v>
      </c>
      <c r="AM7" s="121"/>
      <c r="AN7" s="121" t="str">
        <f t="shared" si="0"/>
        <v/>
      </c>
      <c r="AO7" s="121"/>
      <c r="AP7" s="121"/>
    </row>
    <row r="8" spans="1:42" ht="14.25" hidden="1" customHeight="1">
      <c r="A8" s="390"/>
      <c r="B8" s="390"/>
      <c r="C8" s="390"/>
      <c r="D8" s="390"/>
      <c r="E8" s="1153"/>
      <c r="F8" s="1153"/>
      <c r="G8" s="1153"/>
      <c r="H8" s="1153"/>
      <c r="I8" s="1155"/>
      <c r="J8" s="1155"/>
      <c r="K8" s="1155"/>
      <c r="L8" s="391"/>
      <c r="P8" s="1156"/>
      <c r="Q8" s="1156"/>
      <c r="R8" s="408"/>
      <c r="S8" s="370"/>
      <c r="T8" s="396"/>
      <c r="U8" s="396"/>
      <c r="V8" s="412"/>
      <c r="W8" s="412"/>
      <c r="X8" s="415" t="str">
        <f>Y7&amp;"-"&amp;AA7</f>
        <v>-</v>
      </c>
      <c r="Y8" s="1158"/>
      <c r="Z8" s="1105"/>
      <c r="AA8" s="1158"/>
      <c r="AB8" s="1105"/>
      <c r="AC8" s="412"/>
      <c r="AD8" s="412"/>
      <c r="AE8" s="415" t="str">
        <f>AF7&amp;"-"&amp;AH7</f>
        <v>-</v>
      </c>
      <c r="AF8" s="1158"/>
      <c r="AG8" s="1105"/>
      <c r="AH8" s="1158"/>
      <c r="AI8" s="1105"/>
      <c r="AJ8" s="519"/>
      <c r="AK8" s="1191"/>
      <c r="AM8" s="121"/>
      <c r="AN8" s="121" t="str">
        <f t="shared" si="0"/>
        <v/>
      </c>
      <c r="AO8" s="121"/>
      <c r="AP8" s="121"/>
    </row>
    <row r="9" spans="1:42" ht="21" hidden="1" customHeight="1">
      <c r="A9" s="390"/>
      <c r="B9" s="390"/>
      <c r="C9" s="390"/>
      <c r="D9" s="390"/>
      <c r="E9" s="1153"/>
      <c r="F9" s="1153"/>
      <c r="G9" s="1153"/>
      <c r="H9" s="1153"/>
      <c r="I9" s="1155"/>
      <c r="J9" s="1155"/>
      <c r="K9" s="390"/>
      <c r="L9" s="391"/>
      <c r="P9" s="1156"/>
      <c r="Q9" s="1156"/>
      <c r="R9" s="405"/>
      <c r="S9" s="416"/>
      <c r="T9" s="419" t="s">
        <v>472</v>
      </c>
      <c r="U9" s="186"/>
      <c r="V9" s="186"/>
      <c r="W9" s="186"/>
      <c r="X9" s="186"/>
      <c r="Y9" s="186"/>
      <c r="Z9" s="186"/>
      <c r="AA9" s="186"/>
      <c r="AB9" s="186"/>
      <c r="AC9" s="186"/>
      <c r="AD9" s="186"/>
      <c r="AE9" s="186"/>
      <c r="AF9" s="186"/>
      <c r="AG9" s="186"/>
      <c r="AH9" s="186"/>
      <c r="AI9" s="186"/>
      <c r="AJ9" s="186"/>
      <c r="AK9" s="397" t="s">
        <v>473</v>
      </c>
      <c r="AM9" s="121"/>
      <c r="AN9" s="121" t="str">
        <f t="shared" si="0"/>
        <v>Добавить значение признака дифференциации</v>
      </c>
      <c r="AO9" s="121"/>
      <c r="AP9" s="121"/>
    </row>
    <row r="10" spans="1:42" ht="21" hidden="1" customHeight="1">
      <c r="A10" s="390"/>
      <c r="B10" s="390"/>
      <c r="C10" s="390"/>
      <c r="D10" s="390"/>
      <c r="E10" s="1153"/>
      <c r="F10" s="1153"/>
      <c r="G10" s="1153"/>
      <c r="H10" s="1153"/>
      <c r="I10" s="1155"/>
      <c r="J10" s="390"/>
      <c r="K10" s="390"/>
      <c r="L10" s="391"/>
      <c r="P10" s="1156"/>
      <c r="Q10" s="124"/>
      <c r="R10" s="405"/>
      <c r="S10" s="416"/>
      <c r="T10" s="423" t="s">
        <v>401</v>
      </c>
      <c r="U10" s="186"/>
      <c r="V10" s="186"/>
      <c r="W10" s="186"/>
      <c r="X10" s="186"/>
      <c r="Y10" s="186"/>
      <c r="Z10" s="186"/>
      <c r="AA10" s="186"/>
      <c r="AB10" s="420"/>
      <c r="AC10" s="186"/>
      <c r="AD10" s="186"/>
      <c r="AE10" s="186"/>
      <c r="AF10" s="186"/>
      <c r="AG10" s="186"/>
      <c r="AH10" s="186"/>
      <c r="AI10" s="420"/>
      <c r="AJ10" s="186"/>
      <c r="AK10" s="520"/>
      <c r="AM10" s="121"/>
      <c r="AN10" s="121" t="str">
        <f t="shared" si="0"/>
        <v>Добавить группу потребителей</v>
      </c>
      <c r="AO10" s="121"/>
      <c r="AP10" s="121"/>
    </row>
    <row r="11" spans="1:42" ht="21" hidden="1" customHeight="1">
      <c r="A11" s="390"/>
      <c r="B11" s="390"/>
      <c r="C11" s="390"/>
      <c r="D11" s="390"/>
      <c r="E11" s="1153"/>
      <c r="F11" s="1153"/>
      <c r="G11" s="1153"/>
      <c r="H11" s="1189"/>
      <c r="I11" s="390"/>
      <c r="J11" s="390"/>
      <c r="K11" s="390"/>
      <c r="L11" s="391"/>
      <c r="M11" s="392"/>
      <c r="N11" s="392"/>
      <c r="O11" s="49"/>
      <c r="P11" s="134"/>
      <c r="Q11" s="422"/>
      <c r="R11" s="393"/>
      <c r="S11" s="416"/>
      <c r="T11" s="521" t="s">
        <v>474</v>
      </c>
      <c r="U11" s="186"/>
      <c r="V11" s="186"/>
      <c r="W11" s="186"/>
      <c r="X11" s="186"/>
      <c r="Y11" s="186"/>
      <c r="Z11" s="186"/>
      <c r="AA11" s="186"/>
      <c r="AB11" s="420"/>
      <c r="AC11" s="186"/>
      <c r="AD11" s="186"/>
      <c r="AE11" s="186"/>
      <c r="AF11" s="186"/>
      <c r="AG11" s="186"/>
      <c r="AH11" s="186"/>
      <c r="AI11" s="420"/>
      <c r="AJ11" s="186"/>
      <c r="AK11" s="421"/>
      <c r="AM11" s="121"/>
      <c r="AN11" s="121" t="str">
        <f t="shared" si="0"/>
        <v>Добавить наименование признака дифференциации</v>
      </c>
      <c r="AO11" s="121"/>
      <c r="AP11" s="121"/>
    </row>
    <row r="12" spans="1:42" s="53" customFormat="1" ht="14.25" hidden="1" customHeight="1">
      <c r="A12" s="125"/>
      <c r="B12" s="125"/>
      <c r="C12" s="125"/>
      <c r="D12" s="125"/>
      <c r="E12" s="1153"/>
      <c r="F12" s="1153"/>
      <c r="G12" s="125"/>
      <c r="H12" s="125"/>
      <c r="I12" s="125"/>
      <c r="J12" s="125"/>
      <c r="K12" s="125"/>
      <c r="L12" s="184"/>
      <c r="M12" s="428"/>
      <c r="N12" s="428"/>
      <c r="P12" s="158"/>
      <c r="Q12" s="424"/>
      <c r="R12" s="158"/>
      <c r="S12" s="429"/>
      <c r="T12" s="432" t="s">
        <v>253</v>
      </c>
      <c r="U12" s="431"/>
      <c r="V12" s="431"/>
      <c r="W12" s="431"/>
      <c r="X12" s="431"/>
      <c r="Y12" s="431"/>
      <c r="Z12" s="431"/>
      <c r="AA12" s="431"/>
      <c r="AB12" s="431"/>
      <c r="AC12" s="431"/>
      <c r="AD12" s="431"/>
      <c r="AE12" s="431"/>
      <c r="AF12" s="431"/>
      <c r="AG12" s="431"/>
      <c r="AH12" s="431"/>
      <c r="AI12" s="431"/>
      <c r="AJ12" s="431"/>
      <c r="AK12" s="431"/>
      <c r="AM12" s="121"/>
      <c r="AN12" s="121" t="str">
        <f t="shared" si="0"/>
        <v>Добавить централизованную систему для дифференциации</v>
      </c>
      <c r="AO12" s="121"/>
      <c r="AP12" s="121"/>
    </row>
    <row r="13" spans="1:42" s="53" customFormat="1" ht="14.25" hidden="1" customHeight="1">
      <c r="A13" s="125"/>
      <c r="B13" s="125"/>
      <c r="C13" s="125"/>
      <c r="D13" s="125"/>
      <c r="E13" s="1153"/>
      <c r="F13" s="125"/>
      <c r="G13" s="125"/>
      <c r="H13" s="125"/>
      <c r="I13" s="125"/>
      <c r="J13" s="125"/>
      <c r="K13" s="125"/>
      <c r="L13" s="184"/>
      <c r="M13" s="428"/>
      <c r="N13" s="428"/>
      <c r="P13" s="158"/>
      <c r="Q13" s="424"/>
      <c r="R13" s="158"/>
      <c r="S13" s="429"/>
      <c r="T13" s="432" t="s">
        <v>254</v>
      </c>
      <c r="U13" s="431"/>
      <c r="V13" s="431"/>
      <c r="W13" s="431"/>
      <c r="X13" s="431"/>
      <c r="Y13" s="431"/>
      <c r="Z13" s="431"/>
      <c r="AA13" s="431"/>
      <c r="AB13" s="431"/>
      <c r="AC13" s="431"/>
      <c r="AD13" s="431"/>
      <c r="AE13" s="431"/>
      <c r="AF13" s="431"/>
      <c r="AG13" s="431"/>
      <c r="AH13" s="431"/>
      <c r="AI13" s="431"/>
      <c r="AJ13" s="431"/>
      <c r="AK13" s="431"/>
      <c r="AM13" s="121"/>
      <c r="AN13" s="121" t="str">
        <f t="shared" si="0"/>
        <v>Добавить территорию для дифференциации</v>
      </c>
      <c r="AO13" s="121"/>
      <c r="AP13" s="121"/>
    </row>
    <row r="14" spans="1:42" ht="14.25" hidden="1" customHeight="1"/>
    <row r="15" spans="1:42" ht="14.25" hidden="1" customHeight="1">
      <c r="AC15" s="433"/>
      <c r="AD15" s="433"/>
      <c r="AE15" s="434"/>
      <c r="AF15" s="1160"/>
      <c r="AG15" s="1161" t="s">
        <v>63</v>
      </c>
      <c r="AH15" s="1160"/>
      <c r="AI15" s="1161" t="s">
        <v>63</v>
      </c>
    </row>
    <row r="16" spans="1:42" ht="14.25" hidden="1" customHeight="1">
      <c r="AC16" s="433"/>
      <c r="AD16" s="433"/>
      <c r="AE16" s="415" t="str">
        <f>AF15&amp;"-"&amp;AH15</f>
        <v>-</v>
      </c>
      <c r="AF16" s="1160"/>
      <c r="AG16" s="1160"/>
      <c r="AH16" s="1160"/>
      <c r="AI16" s="1160"/>
    </row>
    <row r="17" spans="1:42" ht="14.25" hidden="1" customHeight="1"/>
    <row r="18" spans="1:42" s="49" customFormat="1" ht="22.5" hidden="1" customHeight="1">
      <c r="L18" s="107"/>
      <c r="M18" s="57"/>
      <c r="N18" s="57"/>
      <c r="O18" s="435" t="s">
        <v>404</v>
      </c>
      <c r="P18" s="57"/>
      <c r="Q18" s="436"/>
      <c r="R18" s="436"/>
      <c r="S18" s="392"/>
      <c r="Y18" s="435"/>
      <c r="AA18" s="435"/>
      <c r="AF18" s="435"/>
      <c r="AH18" s="435"/>
      <c r="AL18" s="53"/>
      <c r="AM18" s="53"/>
      <c r="AN18" s="53"/>
      <c r="AO18" s="53"/>
      <c r="AP18" s="53"/>
    </row>
    <row r="19" spans="1:42" s="49" customFormat="1" ht="14.25" hidden="1" customHeight="1">
      <c r="L19" s="107"/>
      <c r="M19" s="57"/>
      <c r="N19" s="57"/>
      <c r="O19" s="57"/>
      <c r="P19" s="57"/>
      <c r="Q19" s="436"/>
      <c r="R19" s="436"/>
      <c r="S19" s="392"/>
      <c r="AL19" s="53"/>
      <c r="AM19" s="53"/>
      <c r="AN19" s="53"/>
      <c r="AO19" s="53"/>
      <c r="AP19" s="53"/>
    </row>
    <row r="20" spans="1:42" s="49" customFormat="1" ht="12" hidden="1" customHeight="1">
      <c r="L20" s="107"/>
      <c r="M20" s="57"/>
      <c r="N20" s="57"/>
      <c r="O20" s="391" t="s">
        <v>405</v>
      </c>
      <c r="P20" s="57"/>
      <c r="Q20" s="522"/>
      <c r="R20" s="522"/>
      <c r="S20" s="392"/>
      <c r="T20" s="49" t="s">
        <v>406</v>
      </c>
      <c r="Z20" s="142" t="s">
        <v>407</v>
      </c>
      <c r="AB20" s="142" t="s">
        <v>408</v>
      </c>
      <c r="AC20" s="49" t="s">
        <v>406</v>
      </c>
      <c r="AG20" s="142" t="s">
        <v>409</v>
      </c>
      <c r="AI20" s="142" t="s">
        <v>408</v>
      </c>
    </row>
    <row r="21" spans="1:42" ht="14.25" hidden="1" customHeight="1">
      <c r="O21" s="391"/>
    </row>
    <row r="22" spans="1:42" ht="14.25" hidden="1" customHeight="1">
      <c r="O22" s="391"/>
    </row>
    <row r="23" spans="1:42" ht="14.25" customHeight="1">
      <c r="Q23" s="437"/>
      <c r="R23" s="437"/>
      <c r="S23" s="438"/>
      <c r="T23" s="83"/>
      <c r="U23" s="83"/>
    </row>
    <row r="24" spans="1:42" ht="26.25" customHeight="1">
      <c r="Q24" s="437"/>
      <c r="R24" s="437"/>
      <c r="S24" s="110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106"/>
      <c r="U24" s="1106"/>
      <c r="V24" s="1106"/>
      <c r="W24" s="1106"/>
      <c r="X24" s="1106"/>
      <c r="Y24" s="1106"/>
      <c r="Z24" s="1106"/>
      <c r="AA24" s="1106"/>
      <c r="AB24" s="1106"/>
      <c r="AC24" s="1106"/>
      <c r="AD24" s="1106"/>
      <c r="AE24" s="1106"/>
      <c r="AF24" s="1106"/>
      <c r="AG24" s="1106"/>
      <c r="AH24" s="1106"/>
      <c r="AI24" s="201"/>
    </row>
    <row r="25" spans="1:42" ht="14.25" customHeight="1">
      <c r="Q25" s="437"/>
      <c r="R25" s="437"/>
      <c r="S25" s="1127" t="str">
        <f>IF(org=0,"Не определено",org)</f>
        <v>Филиал ПАО "ОГК-2" - Серовская ГРЭС, г. Серов</v>
      </c>
      <c r="T25" s="1127"/>
      <c r="U25" s="1127"/>
      <c r="V25" s="1127"/>
      <c r="W25" s="1127"/>
      <c r="X25" s="1127"/>
      <c r="Y25" s="1127"/>
      <c r="Z25" s="1127"/>
      <c r="AA25" s="1127"/>
      <c r="AB25" s="1127"/>
      <c r="AC25" s="1127"/>
      <c r="AD25" s="1127"/>
      <c r="AE25" s="1127"/>
      <c r="AF25" s="1127"/>
      <c r="AG25" s="1127"/>
      <c r="AH25" s="1127"/>
      <c r="AI25" s="201"/>
    </row>
    <row r="26" spans="1:42" ht="14.25" customHeight="1">
      <c r="Q26" s="437"/>
      <c r="R26" s="437"/>
      <c r="S26" s="438"/>
      <c r="T26" s="83"/>
      <c r="U26" s="83"/>
      <c r="V26" s="439"/>
      <c r="W26" s="439"/>
      <c r="X26" s="439"/>
      <c r="Y26" s="439"/>
      <c r="Z26" s="439"/>
      <c r="AA26" s="439"/>
      <c r="AB26" s="439"/>
      <c r="AC26" s="439"/>
      <c r="AD26" s="439"/>
      <c r="AE26" s="439"/>
      <c r="AF26" s="439"/>
      <c r="AG26" s="439"/>
      <c r="AH26" s="439"/>
      <c r="AI26" s="439"/>
    </row>
    <row r="27" spans="1:42" s="174" customFormat="1" ht="25.5" customHeight="1">
      <c r="A27" s="142"/>
      <c r="B27" s="142"/>
      <c r="C27" s="142"/>
      <c r="D27" s="142"/>
      <c r="E27" s="142"/>
      <c r="F27" s="142"/>
      <c r="G27" s="142"/>
      <c r="H27" s="142"/>
      <c r="I27" s="142"/>
      <c r="J27" s="142"/>
      <c r="K27" s="142"/>
      <c r="L27" s="391"/>
      <c r="M27" s="142"/>
      <c r="N27" s="142"/>
      <c r="O27" s="142"/>
      <c r="S27" s="1162" t="s">
        <v>37</v>
      </c>
      <c r="T27" s="1162"/>
      <c r="U27" s="441"/>
      <c r="V27" s="1163" t="str">
        <f>IF(TITLE_NAME_OR_PR_CHANGE="",IF(TITLE_NAME_OR_PR="","",TITLE_NAME_OR_PR),TITLE_NAME_OR_PR_CHANGE)</f>
        <v>Региональная энергетическая комиссия Свердловской области</v>
      </c>
      <c r="W27" s="1163"/>
      <c r="X27" s="1163"/>
      <c r="Y27" s="1163"/>
      <c r="Z27" s="1163"/>
      <c r="AA27" s="1163"/>
      <c r="AB27" s="46"/>
      <c r="AC27" s="1163" t="str">
        <f>IF(TITLE_NAME_OR_PR_CHANGE="",IF(TITLE_NAME_OR_PR="","",TITLE_NAME_OR_PR),TITLE_NAME_OR_PR_CHANGE)</f>
        <v>Региональная энергетическая комиссия Свердловской области</v>
      </c>
      <c r="AD27" s="1163"/>
      <c r="AE27" s="1163"/>
      <c r="AF27" s="1163"/>
      <c r="AG27" s="1163"/>
      <c r="AH27" s="1163"/>
      <c r="AI27" s="46"/>
      <c r="AJ27" s="46"/>
      <c r="AK27" s="442"/>
      <c r="AL27" s="121"/>
      <c r="AM27" s="121"/>
      <c r="AN27" s="121"/>
      <c r="AO27" s="121"/>
      <c r="AP27" s="121"/>
    </row>
    <row r="28" spans="1:42" s="174" customFormat="1" ht="18.75" customHeight="1">
      <c r="A28" s="142"/>
      <c r="B28" s="142"/>
      <c r="C28" s="142"/>
      <c r="D28" s="142"/>
      <c r="E28" s="142"/>
      <c r="F28" s="142"/>
      <c r="G28" s="142"/>
      <c r="H28" s="142"/>
      <c r="I28" s="142"/>
      <c r="J28" s="142"/>
      <c r="K28" s="142"/>
      <c r="L28" s="391"/>
      <c r="M28" s="142"/>
      <c r="N28" s="142"/>
      <c r="O28" s="142"/>
      <c r="S28" s="1162" t="s">
        <v>410</v>
      </c>
      <c r="T28" s="1162"/>
      <c r="U28" s="441"/>
      <c r="V28" s="1164">
        <f>IF(TITLE_DATE_PR_CHANGE="",IF(TITLE_DATE_PR="","",TITLE_DATE_PR),TITLE_DATE_PR_CHANGE)</f>
        <v>45266.462974536997</v>
      </c>
      <c r="W28" s="1164"/>
      <c r="X28" s="1164"/>
      <c r="Y28" s="1164"/>
      <c r="Z28" s="1164"/>
      <c r="AA28" s="1164"/>
      <c r="AB28" s="46"/>
      <c r="AC28" s="1164">
        <f>IF(TITLE_DATE_PR_CHANGE="",IF(TITLE_DATE_PR="","",TITLE_DATE_PR),TITLE_DATE_PR_CHANGE)</f>
        <v>45266.462974536997</v>
      </c>
      <c r="AD28" s="1164"/>
      <c r="AE28" s="1164"/>
      <c r="AF28" s="1164"/>
      <c r="AG28" s="1164"/>
      <c r="AH28" s="1164"/>
      <c r="AI28" s="46"/>
      <c r="AJ28" s="46"/>
      <c r="AK28" s="442"/>
      <c r="AL28" s="121"/>
      <c r="AM28" s="121"/>
      <c r="AN28" s="121"/>
      <c r="AO28" s="121"/>
      <c r="AP28" s="121"/>
    </row>
    <row r="29" spans="1:42" s="174" customFormat="1" ht="18.75" customHeight="1">
      <c r="A29" s="142"/>
      <c r="B29" s="142"/>
      <c r="C29" s="142"/>
      <c r="D29" s="142"/>
      <c r="E29" s="142"/>
      <c r="F29" s="142"/>
      <c r="G29" s="142"/>
      <c r="H29" s="142"/>
      <c r="I29" s="142"/>
      <c r="J29" s="142"/>
      <c r="K29" s="142"/>
      <c r="L29" s="391"/>
      <c r="M29" s="142"/>
      <c r="N29" s="142"/>
      <c r="O29" s="142"/>
      <c r="S29" s="1162" t="s">
        <v>411</v>
      </c>
      <c r="T29" s="1162"/>
      <c r="U29" s="441"/>
      <c r="V29" s="1163" t="str">
        <f>IF(TITLE_NUMBER_PR_CHANGE="",IF(TITLE_NUMBER_PR="","",TITLE_NUMBER_PR),TITLE_NUMBER_PR_CHANGE)</f>
        <v>216-ПК</v>
      </c>
      <c r="W29" s="1163"/>
      <c r="X29" s="1163"/>
      <c r="Y29" s="1163"/>
      <c r="Z29" s="1163"/>
      <c r="AA29" s="1163"/>
      <c r="AB29" s="46"/>
      <c r="AC29" s="1163" t="str">
        <f>IF(TITLE_NUMBER_PR_CHANGE="",IF(TITLE_NUMBER_PR="","",TITLE_NUMBER_PR),TITLE_NUMBER_PR_CHANGE)</f>
        <v>216-ПК</v>
      </c>
      <c r="AD29" s="1163"/>
      <c r="AE29" s="1163"/>
      <c r="AF29" s="1163"/>
      <c r="AG29" s="1163"/>
      <c r="AH29" s="1163"/>
      <c r="AI29" s="46"/>
      <c r="AJ29" s="46"/>
      <c r="AK29" s="442"/>
      <c r="AL29" s="121"/>
      <c r="AM29" s="121"/>
      <c r="AN29" s="121"/>
      <c r="AO29" s="121"/>
      <c r="AP29" s="121"/>
    </row>
    <row r="30" spans="1:42" s="174" customFormat="1" ht="18.75" customHeight="1">
      <c r="A30" s="142"/>
      <c r="B30" s="142"/>
      <c r="C30" s="142"/>
      <c r="D30" s="142"/>
      <c r="E30" s="142"/>
      <c r="F30" s="142"/>
      <c r="G30" s="142"/>
      <c r="H30" s="142"/>
      <c r="I30" s="142"/>
      <c r="J30" s="142"/>
      <c r="K30" s="142"/>
      <c r="L30" s="391"/>
      <c r="M30" s="142"/>
      <c r="N30" s="142"/>
      <c r="O30" s="142"/>
      <c r="S30" s="1162" t="s">
        <v>39</v>
      </c>
      <c r="T30" s="1162"/>
      <c r="U30" s="441"/>
      <c r="V30" s="1163" t="str">
        <f>IF(TITLE_IST_PUB_CHANGE="",IF(TITLE_IST_PUB="","",TITLE_IST_PUB),TITLE_IST_PUB_CHANGE)</f>
        <v>Региональная энергетическая комиссия Свердловской области</v>
      </c>
      <c r="W30" s="1163"/>
      <c r="X30" s="1163"/>
      <c r="Y30" s="1163"/>
      <c r="Z30" s="1163"/>
      <c r="AA30" s="1163"/>
      <c r="AB30" s="46"/>
      <c r="AC30" s="1163" t="str">
        <f>IF(TITLE_IST_PUB_CHANGE="",IF(TITLE_IST_PUB="","",TITLE_IST_PUB),TITLE_IST_PUB_CHANGE)</f>
        <v>Региональная энергетическая комиссия Свердловской области</v>
      </c>
      <c r="AD30" s="1163"/>
      <c r="AE30" s="1163"/>
      <c r="AF30" s="1163"/>
      <c r="AG30" s="1163"/>
      <c r="AH30" s="1163"/>
      <c r="AI30" s="46"/>
      <c r="AJ30" s="46"/>
      <c r="AK30" s="442"/>
      <c r="AL30" s="121"/>
      <c r="AM30" s="121"/>
      <c r="AN30" s="121"/>
      <c r="AO30" s="121"/>
      <c r="AP30" s="121"/>
    </row>
    <row r="31" spans="1:42" ht="14.25" customHeight="1">
      <c r="Q31" s="437"/>
      <c r="R31" s="437"/>
      <c r="S31" s="438"/>
      <c r="T31" s="83"/>
      <c r="U31" s="83"/>
      <c r="V31" s="439"/>
      <c r="W31" s="439"/>
      <c r="X31" s="439"/>
      <c r="Y31" s="439"/>
      <c r="Z31" s="439"/>
      <c r="AA31" s="439"/>
      <c r="AB31" s="439"/>
      <c r="AC31" s="439"/>
      <c r="AD31" s="439"/>
      <c r="AE31" s="439"/>
      <c r="AF31" s="439"/>
      <c r="AG31" s="439"/>
      <c r="AH31" s="439"/>
      <c r="AI31" s="439"/>
    </row>
    <row r="32" spans="1:42" s="174" customFormat="1" ht="18.75" customHeight="1">
      <c r="A32" s="142"/>
      <c r="B32" s="142"/>
      <c r="C32" s="142"/>
      <c r="D32" s="142"/>
      <c r="E32" s="142"/>
      <c r="F32" s="142"/>
      <c r="G32" s="142"/>
      <c r="H32" s="142"/>
      <c r="I32" s="142"/>
      <c r="J32" s="142"/>
      <c r="K32" s="142"/>
      <c r="L32" s="391"/>
      <c r="M32" s="142"/>
      <c r="N32" s="142"/>
      <c r="O32" s="142"/>
      <c r="S32" s="1162" t="s">
        <v>412</v>
      </c>
      <c r="T32" s="1162"/>
      <c r="U32" s="441"/>
      <c r="V32" s="1164">
        <f>IF(TITLE_DATE_PR_CHANGE="",IF(TITLE_DATE_PR="","",TITLE_DATE_PR),TITLE_DATE_PR_CHANGE)</f>
        <v>45266.462974536997</v>
      </c>
      <c r="W32" s="1164"/>
      <c r="X32" s="1164"/>
      <c r="Y32" s="1164"/>
      <c r="Z32" s="1164"/>
      <c r="AA32" s="1164"/>
      <c r="AB32" s="46"/>
      <c r="AC32" s="1164">
        <f>IF(TITLE_DATE_PR_CHANGE="",IF(TITLE_DATE_PR="","",TITLE_DATE_PR),TITLE_DATE_PR_CHANGE)</f>
        <v>45266.462974536997</v>
      </c>
      <c r="AD32" s="1164"/>
      <c r="AE32" s="1164"/>
      <c r="AF32" s="1164"/>
      <c r="AG32" s="1164"/>
      <c r="AH32" s="1164"/>
      <c r="AI32" s="46"/>
      <c r="AJ32" s="46"/>
      <c r="AK32" s="442"/>
      <c r="AL32" s="121"/>
      <c r="AM32" s="121"/>
      <c r="AN32" s="121"/>
      <c r="AO32" s="121"/>
      <c r="AP32" s="121"/>
    </row>
    <row r="33" spans="1:42" s="174" customFormat="1" ht="18.75" customHeight="1">
      <c r="A33" s="142"/>
      <c r="B33" s="142"/>
      <c r="C33" s="142"/>
      <c r="D33" s="142"/>
      <c r="E33" s="142"/>
      <c r="F33" s="142"/>
      <c r="G33" s="142"/>
      <c r="H33" s="142"/>
      <c r="I33" s="142"/>
      <c r="J33" s="142"/>
      <c r="K33" s="142"/>
      <c r="L33" s="391"/>
      <c r="M33" s="142"/>
      <c r="N33" s="142"/>
      <c r="O33" s="142"/>
      <c r="S33" s="1162" t="s">
        <v>413</v>
      </c>
      <c r="T33" s="1162"/>
      <c r="U33" s="441"/>
      <c r="V33" s="1163" t="str">
        <f>IF(TITLE_NUMBER_PR_CHANGE="",IF(TITLE_NUMBER_PR="","",TITLE_NUMBER_PR),TITLE_NUMBER_PR_CHANGE)</f>
        <v>216-ПК</v>
      </c>
      <c r="W33" s="1163"/>
      <c r="X33" s="1163"/>
      <c r="Y33" s="1163"/>
      <c r="Z33" s="1163"/>
      <c r="AA33" s="1163"/>
      <c r="AB33" s="46"/>
      <c r="AC33" s="1163" t="str">
        <f>IF(TITLE_NUMBER_PR_CHANGE="",IF(TITLE_NUMBER_PR="","",TITLE_NUMBER_PR),TITLE_NUMBER_PR_CHANGE)</f>
        <v>216-ПК</v>
      </c>
      <c r="AD33" s="1163"/>
      <c r="AE33" s="1163"/>
      <c r="AF33" s="1163"/>
      <c r="AG33" s="1163"/>
      <c r="AH33" s="1163"/>
      <c r="AI33" s="46"/>
      <c r="AJ33" s="46"/>
      <c r="AK33" s="442"/>
      <c r="AL33" s="121"/>
      <c r="AM33" s="121"/>
      <c r="AN33" s="121"/>
      <c r="AO33" s="121"/>
      <c r="AP33" s="121"/>
    </row>
    <row r="34" spans="1:42" s="174" customFormat="1" ht="0.75" customHeight="1">
      <c r="A34" s="142"/>
      <c r="B34" s="142"/>
      <c r="C34" s="142"/>
      <c r="D34" s="142"/>
      <c r="E34" s="142"/>
      <c r="F34" s="142"/>
      <c r="G34" s="142"/>
      <c r="H34" s="142"/>
      <c r="I34" s="142"/>
      <c r="J34" s="142"/>
      <c r="K34" s="142"/>
      <c r="L34" s="391"/>
      <c r="M34" s="142"/>
      <c r="N34" s="142"/>
      <c r="O34" s="142"/>
      <c r="S34" s="46"/>
      <c r="T34" s="46"/>
      <c r="U34" s="131"/>
      <c r="V34" s="46"/>
      <c r="W34" s="46"/>
      <c r="X34" s="46"/>
      <c r="Y34" s="46"/>
      <c r="Z34" s="46"/>
      <c r="AA34" s="46"/>
      <c r="AB34" s="53" t="s">
        <v>414</v>
      </c>
      <c r="AC34" s="46"/>
      <c r="AD34" s="46"/>
      <c r="AE34" s="46"/>
      <c r="AF34" s="46"/>
      <c r="AG34" s="46"/>
      <c r="AH34" s="46"/>
      <c r="AI34" s="53" t="s">
        <v>414</v>
      </c>
      <c r="AL34" s="121"/>
      <c r="AM34" s="121"/>
      <c r="AN34" s="121"/>
      <c r="AO34" s="121"/>
      <c r="AP34" s="121"/>
    </row>
    <row r="35" spans="1:42" ht="14.25" customHeight="1">
      <c r="Q35" s="437"/>
      <c r="R35" s="437"/>
      <c r="S35" s="438"/>
      <c r="T35" s="83"/>
      <c r="U35" s="443"/>
      <c r="V35" s="1165"/>
      <c r="W35" s="1165"/>
      <c r="X35" s="1165"/>
      <c r="Y35" s="1165"/>
      <c r="Z35" s="1165"/>
      <c r="AA35" s="1165"/>
      <c r="AB35" s="1165"/>
      <c r="AC35" s="1165"/>
      <c r="AD35" s="1165"/>
      <c r="AE35" s="1165"/>
      <c r="AF35" s="1165"/>
      <c r="AG35" s="1165"/>
      <c r="AH35" s="1165"/>
      <c r="AI35" s="1165"/>
    </row>
    <row r="36" spans="1:42" ht="14.25" customHeight="1">
      <c r="Q36" s="437"/>
      <c r="R36" s="437"/>
      <c r="S36" s="1087" t="s">
        <v>287</v>
      </c>
      <c r="T36" s="1087"/>
      <c r="U36" s="1087"/>
      <c r="V36" s="1087"/>
      <c r="W36" s="1087"/>
      <c r="X36" s="1087"/>
      <c r="Y36" s="1087"/>
      <c r="Z36" s="1087"/>
      <c r="AA36" s="1087"/>
      <c r="AB36" s="1087"/>
      <c r="AC36" s="1087"/>
      <c r="AD36" s="1087"/>
      <c r="AE36" s="1087"/>
      <c r="AF36" s="1087"/>
      <c r="AG36" s="1087"/>
      <c r="AH36" s="1087"/>
      <c r="AI36" s="1087"/>
      <c r="AJ36" s="1087"/>
      <c r="AK36" s="1087" t="s">
        <v>288</v>
      </c>
    </row>
    <row r="37" spans="1:42" ht="14.25" customHeight="1">
      <c r="Q37" s="437"/>
      <c r="R37" s="437"/>
      <c r="S37" s="1166" t="s">
        <v>84</v>
      </c>
      <c r="T37" s="1167" t="s">
        <v>415</v>
      </c>
      <c r="U37" s="444"/>
      <c r="V37" s="1140" t="s">
        <v>416</v>
      </c>
      <c r="W37" s="1140"/>
      <c r="X37" s="1140"/>
      <c r="Y37" s="1140"/>
      <c r="Z37" s="1140"/>
      <c r="AA37" s="1140"/>
      <c r="AB37" s="1167" t="s">
        <v>417</v>
      </c>
      <c r="AC37" s="1140" t="s">
        <v>416</v>
      </c>
      <c r="AD37" s="1140"/>
      <c r="AE37" s="1140"/>
      <c r="AF37" s="1140"/>
      <c r="AG37" s="1140"/>
      <c r="AH37" s="1140"/>
      <c r="AI37" s="1167" t="s">
        <v>418</v>
      </c>
      <c r="AJ37" s="1168" t="s">
        <v>419</v>
      </c>
      <c r="AK37" s="1087"/>
    </row>
    <row r="38" spans="1:42" ht="33.75" customHeight="1">
      <c r="Q38" s="437"/>
      <c r="R38" s="437"/>
      <c r="S38" s="1166"/>
      <c r="T38" s="1167"/>
      <c r="U38" s="445"/>
      <c r="V38" s="242" t="s">
        <v>518</v>
      </c>
      <c r="W38" s="1087" t="s">
        <v>519</v>
      </c>
      <c r="X38" s="1087"/>
      <c r="Y38" s="1087" t="s">
        <v>423</v>
      </c>
      <c r="Z38" s="1087"/>
      <c r="AA38" s="1087"/>
      <c r="AB38" s="1167"/>
      <c r="AC38" s="242" t="s">
        <v>518</v>
      </c>
      <c r="AD38" s="1087" t="s">
        <v>519</v>
      </c>
      <c r="AE38" s="1087"/>
      <c r="AF38" s="1087" t="s">
        <v>423</v>
      </c>
      <c r="AG38" s="1087"/>
      <c r="AH38" s="1087"/>
      <c r="AI38" s="1167"/>
      <c r="AJ38" s="1168"/>
      <c r="AK38" s="1087"/>
    </row>
    <row r="39" spans="1:42" ht="86.25" customHeight="1">
      <c r="A39" s="142"/>
      <c r="B39" s="142" t="s">
        <v>131</v>
      </c>
      <c r="C39" s="142" t="s">
        <v>132</v>
      </c>
      <c r="D39" s="142" t="s">
        <v>133</v>
      </c>
      <c r="E39" s="391" t="s">
        <v>424</v>
      </c>
      <c r="F39" s="391" t="s">
        <v>425</v>
      </c>
      <c r="G39" s="391" t="s">
        <v>426</v>
      </c>
      <c r="H39" s="391"/>
      <c r="I39" s="391" t="s">
        <v>476</v>
      </c>
      <c r="J39" s="391" t="s">
        <v>429</v>
      </c>
      <c r="K39" s="391" t="s">
        <v>477</v>
      </c>
      <c r="L39" s="391" t="s">
        <v>405</v>
      </c>
      <c r="Q39" s="437"/>
      <c r="R39" s="437"/>
      <c r="S39" s="1166"/>
      <c r="T39" s="1167"/>
      <c r="U39" s="446"/>
      <c r="V39" s="523" t="s">
        <v>520</v>
      </c>
      <c r="W39" s="203" t="s">
        <v>521</v>
      </c>
      <c r="X39" s="203" t="s">
        <v>522</v>
      </c>
      <c r="Y39" s="203" t="s">
        <v>433</v>
      </c>
      <c r="Z39" s="1108" t="s">
        <v>434</v>
      </c>
      <c r="AA39" s="1108"/>
      <c r="AB39" s="1167"/>
      <c r="AC39" s="523" t="s">
        <v>520</v>
      </c>
      <c r="AD39" s="203" t="s">
        <v>521</v>
      </c>
      <c r="AE39" s="203" t="s">
        <v>522</v>
      </c>
      <c r="AF39" s="203" t="s">
        <v>433</v>
      </c>
      <c r="AG39" s="1108" t="s">
        <v>434</v>
      </c>
      <c r="AH39" s="1108"/>
      <c r="AI39" s="1167"/>
      <c r="AJ39" s="1168"/>
      <c r="AK39" s="1087"/>
    </row>
    <row r="40" spans="1:42" s="123" customFormat="1" ht="11.25" hidden="1" customHeight="1">
      <c r="A40" s="142"/>
      <c r="B40" s="142"/>
      <c r="C40" s="142"/>
      <c r="D40" s="142"/>
      <c r="E40" s="142"/>
      <c r="F40" s="142"/>
      <c r="G40" s="142"/>
      <c r="H40" s="142"/>
      <c r="I40" s="142"/>
      <c r="J40" s="142"/>
      <c r="K40" s="142"/>
      <c r="L40" s="391"/>
      <c r="M40" s="57"/>
      <c r="N40" s="57"/>
      <c r="O40" s="57"/>
      <c r="P40" s="447"/>
      <c r="Q40" s="448"/>
      <c r="R40" s="449">
        <v>1</v>
      </c>
      <c r="S40" s="450" t="s">
        <v>105</v>
      </c>
      <c r="T40" s="451" t="s">
        <v>106</v>
      </c>
      <c r="U40" s="452" t="str">
        <f ca="1">OFFSET(U40,0,-1)</f>
        <v>2</v>
      </c>
      <c r="V40" s="453">
        <f ca="1">OFFSET(V40,0,-1)+1</f>
        <v>3</v>
      </c>
      <c r="W40" s="453">
        <f ca="1">OFFSET(W40,0,-1)+1</f>
        <v>4</v>
      </c>
      <c r="X40" s="453">
        <f ca="1">OFFSET(X40,0,-1)+1</f>
        <v>5</v>
      </c>
      <c r="Y40" s="453">
        <f ca="1">OFFSET(Y40,0,-1)+1</f>
        <v>6</v>
      </c>
      <c r="Z40" s="1170">
        <f ca="1">OFFSET(Z40,0,-1)+1</f>
        <v>7</v>
      </c>
      <c r="AA40" s="1170"/>
      <c r="AB40" s="453">
        <f ca="1">OFFSET(AB40,0,-2)+1</f>
        <v>8</v>
      </c>
      <c r="AC40" s="453">
        <f ca="1">OFFSET(AC40,0,-1)+1</f>
        <v>9</v>
      </c>
      <c r="AD40" s="453">
        <f ca="1">OFFSET(AD40,0,-1)+1</f>
        <v>10</v>
      </c>
      <c r="AE40" s="453">
        <f ca="1">OFFSET(AE40,0,-1)+1</f>
        <v>11</v>
      </c>
      <c r="AF40" s="453">
        <f ca="1">OFFSET(AF40,0,-1)+1</f>
        <v>12</v>
      </c>
      <c r="AG40" s="1170">
        <f ca="1">OFFSET(AG40,0,-1)+1</f>
        <v>13</v>
      </c>
      <c r="AH40" s="1170"/>
      <c r="AI40" s="453">
        <f ca="1">OFFSET(AI40,0,-2)+1</f>
        <v>14</v>
      </c>
      <c r="AJ40" s="452">
        <f ca="1">OFFSET(AJ40,0,-1)</f>
        <v>14</v>
      </c>
      <c r="AK40" s="453">
        <f ca="1">OFFSET(AK40,0,-1)+1</f>
        <v>15</v>
      </c>
      <c r="AL40" s="53"/>
      <c r="AM40" s="53"/>
      <c r="AN40" s="53"/>
      <c r="AO40" s="53"/>
      <c r="AP40" s="53"/>
    </row>
    <row r="41" spans="1:42" ht="23.25" customHeight="1">
      <c r="A41" s="390" t="s">
        <v>233</v>
      </c>
      <c r="B41" s="390"/>
      <c r="C41" s="390"/>
      <c r="D41" s="390"/>
      <c r="E41" s="1153">
        <v>1</v>
      </c>
      <c r="F41" s="390"/>
      <c r="G41" s="390"/>
      <c r="H41" s="390"/>
      <c r="I41" s="390"/>
      <c r="J41" s="390"/>
      <c r="K41" s="390"/>
      <c r="L41" s="391"/>
      <c r="M41" s="392"/>
      <c r="N41" s="392"/>
      <c r="O41" s="392"/>
      <c r="Q41" s="134"/>
      <c r="R41" s="393"/>
      <c r="S41" s="394">
        <f>INDEX(PT_DIFFERENTIATION_NUM_NTAR,MATCH(A41,PT_DIFFERENTIATION_NTAR_ID,0))</f>
        <v>0</v>
      </c>
      <c r="T41" s="395" t="s">
        <v>119</v>
      </c>
      <c r="U41" s="396"/>
      <c r="V41" s="1154"/>
      <c r="W41" s="1154"/>
      <c r="X41" s="1154"/>
      <c r="Y41" s="1154"/>
      <c r="Z41" s="1154"/>
      <c r="AA41" s="1154"/>
      <c r="AB41" s="1154"/>
      <c r="AC41" s="1154" t="str">
        <f>INDEX(PT_DIFFERENTIATION_NTAR,MATCH(A41,PT_DIFFERENTIATION_NTAR_ID,0))</f>
        <v/>
      </c>
      <c r="AD41" s="1154"/>
      <c r="AE41" s="1154"/>
      <c r="AF41" s="1154"/>
      <c r="AG41" s="1154"/>
      <c r="AH41" s="1154"/>
      <c r="AI41" s="1154"/>
      <c r="AJ41" s="1154"/>
      <c r="AK41"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t="shared" ref="AN41:AN53" si="1">IF(T41="","",T41)</f>
        <v>Наименование тарифа</v>
      </c>
      <c r="AO41" s="121"/>
      <c r="AP41" s="121"/>
    </row>
    <row r="42" spans="1:42" ht="23.25" customHeight="1">
      <c r="A42" s="390" t="s">
        <v>233</v>
      </c>
      <c r="B42" s="390" t="s">
        <v>234</v>
      </c>
      <c r="C42" s="390"/>
      <c r="D42" s="390"/>
      <c r="E42" s="1153"/>
      <c r="F42" s="1153">
        <v>1</v>
      </c>
      <c r="G42" s="390"/>
      <c r="H42" s="390"/>
      <c r="I42" s="390"/>
      <c r="J42" s="390"/>
      <c r="K42" s="390"/>
      <c r="L42" s="391"/>
      <c r="M42" s="392"/>
      <c r="N42" s="392"/>
      <c r="O42" s="392"/>
      <c r="P42" s="47"/>
      <c r="Q42" s="398"/>
      <c r="R42" s="399"/>
      <c r="S42" s="394" t="str">
        <f>INDEX(PT_DIFFERENTIATION_NUM_TER,MATCH(B42,PT_DIFFERENTIATION_TER_ID,0))</f>
        <v>.</v>
      </c>
      <c r="T42" s="400" t="s">
        <v>386</v>
      </c>
      <c r="U42" s="396"/>
      <c r="V42" s="1154"/>
      <c r="W42" s="1154"/>
      <c r="X42" s="1154"/>
      <c r="Y42" s="1154"/>
      <c r="Z42" s="1154"/>
      <c r="AA42" s="1154"/>
      <c r="AB42" s="1154"/>
      <c r="AC42" s="1154" t="str">
        <f>INDEX(PT_DIFFERENTIATION_TER,MATCH(B42,PT_DIFFERENTIATION_TER_ID,0))</f>
        <v/>
      </c>
      <c r="AD42" s="1154"/>
      <c r="AE42" s="1154"/>
      <c r="AF42" s="1154"/>
      <c r="AG42" s="1154"/>
      <c r="AH42" s="1154"/>
      <c r="AI42" s="1154"/>
      <c r="AJ42" s="1154"/>
      <c r="AK42" s="397" t="s">
        <v>387</v>
      </c>
      <c r="AM42" s="121"/>
      <c r="AN42" s="121" t="str">
        <f t="shared" si="1"/>
        <v>Территория действия тарифа</v>
      </c>
      <c r="AO42" s="121"/>
      <c r="AP42" s="121"/>
    </row>
    <row r="43" spans="1:42" ht="23.25" customHeight="1">
      <c r="A43" s="390" t="s">
        <v>233</v>
      </c>
      <c r="B43" s="390" t="s">
        <v>234</v>
      </c>
      <c r="C43" s="390" t="s">
        <v>235</v>
      </c>
      <c r="D43" s="390"/>
      <c r="E43" s="1153"/>
      <c r="F43" s="1153"/>
      <c r="G43" s="1153">
        <v>1</v>
      </c>
      <c r="H43" s="390"/>
      <c r="I43" s="390"/>
      <c r="J43" s="390"/>
      <c r="K43" s="390"/>
      <c r="L43" s="391"/>
      <c r="M43" s="392"/>
      <c r="N43" s="392"/>
      <c r="O43" s="392"/>
      <c r="P43" s="401"/>
      <c r="Q43" s="398"/>
      <c r="R43" s="399"/>
      <c r="S43" s="394" t="str">
        <f>INDEX(PT_DIFFERENTIATION_NUM_CS,MATCH(C43,PT_DIFFERENTIATION_CS_ID,0))</f>
        <v>..</v>
      </c>
      <c r="T43" s="402" t="s">
        <v>516</v>
      </c>
      <c r="U43" s="396"/>
      <c r="V43" s="1154"/>
      <c r="W43" s="1154"/>
      <c r="X43" s="1154"/>
      <c r="Y43" s="1154"/>
      <c r="Z43" s="1154"/>
      <c r="AA43" s="1154"/>
      <c r="AB43" s="1154"/>
      <c r="AC43" s="1154" t="str">
        <f>INDEX(PT_DIFFERENTIATION_CS,MATCH(C43,PT_DIFFERENTIATION_CS_ID,0))</f>
        <v/>
      </c>
      <c r="AD43" s="1154"/>
      <c r="AE43" s="1154"/>
      <c r="AF43" s="1154"/>
      <c r="AG43" s="1154"/>
      <c r="AH43" s="1154"/>
      <c r="AI43" s="1154"/>
      <c r="AJ43" s="1154"/>
      <c r="AK43" s="397" t="s">
        <v>517</v>
      </c>
      <c r="AM43" s="121"/>
      <c r="AN43" s="121" t="str">
        <f t="shared" si="1"/>
        <v>Наименование централизованной системы горячего водоснабжения</v>
      </c>
      <c r="AO43" s="121"/>
      <c r="AP43" s="121"/>
    </row>
    <row r="44" spans="1:42" ht="23.25" customHeight="1">
      <c r="A44" s="390" t="s">
        <v>233</v>
      </c>
      <c r="B44" s="390" t="s">
        <v>234</v>
      </c>
      <c r="C44" s="390" t="s">
        <v>235</v>
      </c>
      <c r="D44" s="390" t="s">
        <v>523</v>
      </c>
      <c r="E44" s="1153"/>
      <c r="F44" s="1153"/>
      <c r="G44" s="1153"/>
      <c r="H44" s="1189"/>
      <c r="I44" s="1155" t="str">
        <f>S43&amp;".1"</f>
        <v>...1</v>
      </c>
      <c r="J44" s="390"/>
      <c r="K44" s="390"/>
      <c r="L44" s="391"/>
      <c r="P44" s="1156">
        <v>1</v>
      </c>
      <c r="Q44" s="124"/>
      <c r="R44" s="405"/>
      <c r="S44" s="394" t="str">
        <f>$I44</f>
        <v>...1</v>
      </c>
      <c r="T44" s="406" t="s">
        <v>469</v>
      </c>
      <c r="U44" s="396"/>
      <c r="V44" s="1190"/>
      <c r="W44" s="1190"/>
      <c r="X44" s="1190"/>
      <c r="Y44" s="1190"/>
      <c r="Z44" s="1190"/>
      <c r="AA44" s="1190"/>
      <c r="AB44" s="1190"/>
      <c r="AC44" s="1123"/>
      <c r="AD44" s="1123"/>
      <c r="AE44" s="1123"/>
      <c r="AF44" s="1123"/>
      <c r="AG44" s="1123"/>
      <c r="AH44" s="1123"/>
      <c r="AI44" s="1123"/>
      <c r="AJ44" s="1123"/>
      <c r="AK44" s="397" t="s">
        <v>470</v>
      </c>
      <c r="AM44" s="121"/>
      <c r="AN44" s="121" t="str">
        <f t="shared" si="1"/>
        <v>Наименование признака дифференциации</v>
      </c>
      <c r="AO44" s="121"/>
      <c r="AP44" s="121"/>
    </row>
    <row r="45" spans="1:42" ht="23.25" customHeight="1">
      <c r="A45" s="390" t="s">
        <v>233</v>
      </c>
      <c r="B45" s="390" t="s">
        <v>234</v>
      </c>
      <c r="C45" s="390" t="s">
        <v>235</v>
      </c>
      <c r="D45" s="390" t="s">
        <v>523</v>
      </c>
      <c r="E45" s="1153"/>
      <c r="F45" s="1153"/>
      <c r="G45" s="1153"/>
      <c r="H45" s="1153"/>
      <c r="I45" s="1155"/>
      <c r="J45" s="1155" t="str">
        <f>I44&amp;".1"</f>
        <v>...1.1</v>
      </c>
      <c r="K45" s="390"/>
      <c r="L45" s="391" t="s">
        <v>395</v>
      </c>
      <c r="P45" s="1156"/>
      <c r="Q45" s="1156">
        <v>1</v>
      </c>
      <c r="R45" s="408"/>
      <c r="S45" s="394" t="str">
        <f>$J45</f>
        <v>...1.1</v>
      </c>
      <c r="T45" s="409" t="s">
        <v>396</v>
      </c>
      <c r="U45" s="396"/>
      <c r="V45" s="1157"/>
      <c r="W45" s="1157"/>
      <c r="X45" s="1157"/>
      <c r="Y45" s="1157"/>
      <c r="Z45" s="1157"/>
      <c r="AA45" s="1157"/>
      <c r="AB45" s="1157"/>
      <c r="AC45" s="1157"/>
      <c r="AD45" s="1157"/>
      <c r="AE45" s="1157"/>
      <c r="AF45" s="1157"/>
      <c r="AG45" s="1157"/>
      <c r="AH45" s="1157"/>
      <c r="AI45" s="1157"/>
      <c r="AJ45" s="1157"/>
      <c r="AK45" s="471" t="s">
        <v>471</v>
      </c>
      <c r="AM45" s="121"/>
      <c r="AN45" s="121" t="str">
        <f t="shared" si="1"/>
        <v>Группа потребителей</v>
      </c>
      <c r="AO45" s="121"/>
      <c r="AP45" s="121"/>
    </row>
    <row r="46" spans="1:42" ht="23.25" customHeight="1">
      <c r="A46" s="390" t="s">
        <v>233</v>
      </c>
      <c r="B46" s="390" t="s">
        <v>234</v>
      </c>
      <c r="C46" s="390" t="s">
        <v>235</v>
      </c>
      <c r="D46" s="390" t="s">
        <v>523</v>
      </c>
      <c r="E46" s="1153"/>
      <c r="F46" s="1153"/>
      <c r="G46" s="1153"/>
      <c r="H46" s="1153"/>
      <c r="I46" s="1155"/>
      <c r="J46" s="1155"/>
      <c r="K46" s="1155" t="str">
        <f>J45&amp;".1"</f>
        <v>...1.1.1</v>
      </c>
      <c r="L46" s="391"/>
      <c r="P46" s="1156"/>
      <c r="Q46" s="1156"/>
      <c r="R46" s="408">
        <v>1</v>
      </c>
      <c r="S46" s="394" t="str">
        <f>$K46</f>
        <v>...1.1.1</v>
      </c>
      <c r="T46" s="517"/>
      <c r="U46" s="396"/>
      <c r="V46" s="433"/>
      <c r="W46" s="433"/>
      <c r="X46" s="434"/>
      <c r="Y46" s="1160"/>
      <c r="Z46" s="1161" t="s">
        <v>63</v>
      </c>
      <c r="AA46" s="1160"/>
      <c r="AB46" s="1161" t="s">
        <v>63</v>
      </c>
      <c r="AC46" s="411"/>
      <c r="AD46" s="411"/>
      <c r="AE46" s="413"/>
      <c r="AF46" s="1158"/>
      <c r="AG46" s="1105" t="s">
        <v>63</v>
      </c>
      <c r="AH46" s="1158"/>
      <c r="AI46" s="1105" t="s">
        <v>53</v>
      </c>
      <c r="AJ46" s="518"/>
      <c r="AK46" s="11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 t="e">
        <f ca="1">strcheckdate(V47:AJ47)</f>
        <v>#NAME?</v>
      </c>
      <c r="AM46" s="121"/>
      <c r="AN46" s="121" t="str">
        <f t="shared" si="1"/>
        <v/>
      </c>
      <c r="AO46" s="121"/>
      <c r="AP46" s="121"/>
    </row>
    <row r="47" spans="1:42" ht="11.25">
      <c r="A47" s="390" t="s">
        <v>233</v>
      </c>
      <c r="B47" s="390" t="s">
        <v>234</v>
      </c>
      <c r="C47" s="390" t="s">
        <v>235</v>
      </c>
      <c r="D47" s="390" t="s">
        <v>523</v>
      </c>
      <c r="E47" s="1153"/>
      <c r="F47" s="1153"/>
      <c r="G47" s="1153"/>
      <c r="H47" s="1153"/>
      <c r="I47" s="1155"/>
      <c r="J47" s="1155"/>
      <c r="K47" s="1155"/>
      <c r="L47" s="391"/>
      <c r="P47" s="1156"/>
      <c r="Q47" s="1156"/>
      <c r="R47" s="408"/>
      <c r="S47" s="370"/>
      <c r="T47" s="396"/>
      <c r="U47" s="396"/>
      <c r="V47" s="433"/>
      <c r="W47" s="433"/>
      <c r="X47" s="415" t="str">
        <f>Y46&amp;"-"&amp;AA46</f>
        <v>-</v>
      </c>
      <c r="Y47" s="1160"/>
      <c r="Z47" s="1160"/>
      <c r="AA47" s="1160"/>
      <c r="AB47" s="1160"/>
      <c r="AC47" s="412"/>
      <c r="AD47" s="412"/>
      <c r="AE47" s="415" t="str">
        <f>AF46&amp;"-"&amp;AH46</f>
        <v>-</v>
      </c>
      <c r="AF47" s="1158"/>
      <c r="AG47" s="1105"/>
      <c r="AH47" s="1158"/>
      <c r="AI47" s="1105"/>
      <c r="AJ47" s="519"/>
      <c r="AK47" s="1191"/>
      <c r="AM47" s="121"/>
      <c r="AN47" s="121" t="str">
        <f t="shared" si="1"/>
        <v/>
      </c>
      <c r="AO47" s="121"/>
      <c r="AP47" s="121"/>
    </row>
    <row r="48" spans="1:42" ht="21" customHeight="1">
      <c r="A48" s="390" t="s">
        <v>233</v>
      </c>
      <c r="B48" s="390" t="s">
        <v>234</v>
      </c>
      <c r="C48" s="390" t="s">
        <v>235</v>
      </c>
      <c r="D48" s="390" t="s">
        <v>523</v>
      </c>
      <c r="E48" s="1153"/>
      <c r="F48" s="1153"/>
      <c r="G48" s="1153"/>
      <c r="H48" s="1153"/>
      <c r="I48" s="1155"/>
      <c r="J48" s="1155"/>
      <c r="K48" s="390"/>
      <c r="L48" s="391"/>
      <c r="P48" s="1156"/>
      <c r="Q48" s="1156"/>
      <c r="R48" s="405"/>
      <c r="S48" s="416"/>
      <c r="T48" s="419" t="s">
        <v>472</v>
      </c>
      <c r="U48" s="186"/>
      <c r="V48" s="186"/>
      <c r="W48" s="186"/>
      <c r="X48" s="186"/>
      <c r="Y48" s="186"/>
      <c r="Z48" s="186"/>
      <c r="AA48" s="186"/>
      <c r="AB48" s="186"/>
      <c r="AC48" s="186"/>
      <c r="AD48" s="186"/>
      <c r="AE48" s="186"/>
      <c r="AF48" s="186"/>
      <c r="AG48" s="186"/>
      <c r="AH48" s="186"/>
      <c r="AI48" s="186"/>
      <c r="AJ48" s="186"/>
      <c r="AK48" s="397" t="s">
        <v>473</v>
      </c>
      <c r="AM48" s="121"/>
      <c r="AN48" s="121" t="str">
        <f t="shared" si="1"/>
        <v>Добавить значение признака дифференциации</v>
      </c>
      <c r="AO48" s="121"/>
      <c r="AP48" s="121"/>
    </row>
    <row r="49" spans="1:42" ht="21" customHeight="1">
      <c r="A49" s="390" t="s">
        <v>233</v>
      </c>
      <c r="B49" s="390" t="s">
        <v>234</v>
      </c>
      <c r="C49" s="390" t="s">
        <v>235</v>
      </c>
      <c r="D49" s="390" t="s">
        <v>523</v>
      </c>
      <c r="E49" s="1153"/>
      <c r="F49" s="1153"/>
      <c r="G49" s="1153"/>
      <c r="H49" s="1153"/>
      <c r="I49" s="1155"/>
      <c r="J49" s="390"/>
      <c r="K49" s="390"/>
      <c r="L49" s="391"/>
      <c r="P49" s="1156"/>
      <c r="Q49" s="124"/>
      <c r="R49" s="405"/>
      <c r="S49" s="416"/>
      <c r="T49" s="423" t="s">
        <v>401</v>
      </c>
      <c r="U49" s="186"/>
      <c r="V49" s="186"/>
      <c r="W49" s="186"/>
      <c r="X49" s="186"/>
      <c r="Y49" s="186"/>
      <c r="Z49" s="186"/>
      <c r="AA49" s="186"/>
      <c r="AB49" s="420"/>
      <c r="AC49" s="186"/>
      <c r="AD49" s="186"/>
      <c r="AE49" s="186"/>
      <c r="AF49" s="186"/>
      <c r="AG49" s="186"/>
      <c r="AH49" s="186"/>
      <c r="AI49" s="420"/>
      <c r="AJ49" s="186"/>
      <c r="AK49" s="520"/>
      <c r="AM49" s="121"/>
      <c r="AN49" s="121" t="str">
        <f t="shared" si="1"/>
        <v>Добавить группу потребителей</v>
      </c>
      <c r="AO49" s="121"/>
      <c r="AP49" s="121"/>
    </row>
    <row r="50" spans="1:42" ht="21" customHeight="1">
      <c r="A50" s="390" t="s">
        <v>233</v>
      </c>
      <c r="B50" s="390" t="s">
        <v>234</v>
      </c>
      <c r="C50" s="390" t="s">
        <v>235</v>
      </c>
      <c r="D50" s="390" t="s">
        <v>523</v>
      </c>
      <c r="E50" s="1153"/>
      <c r="F50" s="1153"/>
      <c r="G50" s="1153"/>
      <c r="H50" s="1189"/>
      <c r="I50" s="390"/>
      <c r="J50" s="390"/>
      <c r="K50" s="390"/>
      <c r="L50" s="391"/>
      <c r="M50" s="392"/>
      <c r="N50" s="392"/>
      <c r="O50" s="49"/>
      <c r="P50" s="134"/>
      <c r="Q50" s="422"/>
      <c r="R50" s="393"/>
      <c r="S50" s="416"/>
      <c r="T50" s="521" t="s">
        <v>474</v>
      </c>
      <c r="U50" s="186"/>
      <c r="V50" s="186"/>
      <c r="W50" s="186"/>
      <c r="X50" s="186"/>
      <c r="Y50" s="186"/>
      <c r="Z50" s="186"/>
      <c r="AA50" s="186"/>
      <c r="AB50" s="420"/>
      <c r="AC50" s="186"/>
      <c r="AD50" s="186"/>
      <c r="AE50" s="186"/>
      <c r="AF50" s="186"/>
      <c r="AG50" s="186"/>
      <c r="AH50" s="186"/>
      <c r="AI50" s="420"/>
      <c r="AJ50" s="186"/>
      <c r="AK50" s="421"/>
      <c r="AM50" s="121"/>
      <c r="AN50" s="121" t="str">
        <f t="shared" si="1"/>
        <v>Добавить наименование признака дифференциации</v>
      </c>
      <c r="AO50" s="121"/>
      <c r="AP50" s="121"/>
    </row>
    <row r="51" spans="1:42" s="53" customFormat="1" ht="5.25">
      <c r="A51" s="125" t="s">
        <v>233</v>
      </c>
      <c r="B51" s="125" t="s">
        <v>234</v>
      </c>
      <c r="C51" s="125"/>
      <c r="D51" s="125"/>
      <c r="E51" s="1153"/>
      <c r="F51" s="1153"/>
      <c r="G51" s="125"/>
      <c r="H51" s="125"/>
      <c r="I51" s="125"/>
      <c r="J51" s="125"/>
      <c r="K51" s="125"/>
      <c r="L51" s="184"/>
      <c r="M51" s="428"/>
      <c r="N51" s="428"/>
      <c r="P51" s="158"/>
      <c r="Q51" s="424"/>
      <c r="R51" s="158"/>
      <c r="S51" s="429"/>
      <c r="T51" s="432" t="s">
        <v>253</v>
      </c>
      <c r="U51" s="431"/>
      <c r="V51" s="431"/>
      <c r="W51" s="431"/>
      <c r="X51" s="431"/>
      <c r="Y51" s="431"/>
      <c r="Z51" s="431"/>
      <c r="AA51" s="431"/>
      <c r="AB51" s="431"/>
      <c r="AC51" s="431"/>
      <c r="AD51" s="431"/>
      <c r="AE51" s="431"/>
      <c r="AF51" s="431"/>
      <c r="AG51" s="431"/>
      <c r="AH51" s="431"/>
      <c r="AI51" s="431"/>
      <c r="AJ51" s="431"/>
      <c r="AK51" s="431"/>
      <c r="AM51" s="121"/>
      <c r="AN51" s="121" t="str">
        <f t="shared" si="1"/>
        <v>Добавить централизованную систему для дифференциации</v>
      </c>
      <c r="AO51" s="121"/>
      <c r="AP51" s="121"/>
    </row>
    <row r="52" spans="1:42" s="53" customFormat="1" ht="5.25">
      <c r="A52" s="125" t="s">
        <v>233</v>
      </c>
      <c r="B52" s="125"/>
      <c r="C52" s="125"/>
      <c r="D52" s="125"/>
      <c r="E52" s="1153"/>
      <c r="F52" s="125"/>
      <c r="G52" s="125"/>
      <c r="H52" s="125"/>
      <c r="I52" s="125"/>
      <c r="J52" s="125"/>
      <c r="K52" s="125"/>
      <c r="L52" s="184"/>
      <c r="M52" s="428"/>
      <c r="N52" s="428"/>
      <c r="P52" s="158"/>
      <c r="Q52" s="424"/>
      <c r="R52" s="158"/>
      <c r="S52" s="429"/>
      <c r="T52" s="432" t="s">
        <v>254</v>
      </c>
      <c r="U52" s="431"/>
      <c r="V52" s="431"/>
      <c r="W52" s="431"/>
      <c r="X52" s="431"/>
      <c r="Y52" s="431"/>
      <c r="Z52" s="431"/>
      <c r="AA52" s="431"/>
      <c r="AB52" s="431"/>
      <c r="AC52" s="431"/>
      <c r="AD52" s="431"/>
      <c r="AE52" s="431"/>
      <c r="AF52" s="431"/>
      <c r="AG52" s="431"/>
      <c r="AH52" s="431"/>
      <c r="AI52" s="431"/>
      <c r="AJ52" s="431"/>
      <c r="AK52" s="431"/>
      <c r="AM52" s="121"/>
      <c r="AN52" s="121" t="str">
        <f t="shared" si="1"/>
        <v>Добавить территорию для дифференциации</v>
      </c>
      <c r="AO52" s="121"/>
      <c r="AP52" s="121"/>
    </row>
    <row r="53" spans="1:42" s="53" customFormat="1" ht="5.25">
      <c r="A53" s="125"/>
      <c r="B53" s="125"/>
      <c r="C53" s="125"/>
      <c r="D53" s="125"/>
      <c r="E53" s="125"/>
      <c r="F53" s="125"/>
      <c r="G53" s="125"/>
      <c r="H53" s="125"/>
      <c r="I53" s="125"/>
      <c r="J53" s="125"/>
      <c r="K53" s="125"/>
      <c r="L53" s="184"/>
      <c r="M53" s="428"/>
      <c r="N53" s="428"/>
      <c r="P53" s="158"/>
      <c r="Q53" s="424"/>
      <c r="R53" s="158"/>
      <c r="S53" s="429"/>
      <c r="T53" s="432" t="s">
        <v>255</v>
      </c>
      <c r="U53" s="431"/>
      <c r="V53" s="431"/>
      <c r="W53" s="431"/>
      <c r="X53" s="431"/>
      <c r="Y53" s="431"/>
      <c r="Z53" s="431"/>
      <c r="AA53" s="431"/>
      <c r="AB53" s="431"/>
      <c r="AC53" s="431"/>
      <c r="AD53" s="431"/>
      <c r="AE53" s="431"/>
      <c r="AF53" s="431"/>
      <c r="AG53" s="431"/>
      <c r="AH53" s="431"/>
      <c r="AI53" s="431"/>
      <c r="AJ53" s="431"/>
      <c r="AK53" s="431"/>
      <c r="AM53" s="121"/>
      <c r="AN53" s="121" t="str">
        <f t="shared" si="1"/>
        <v>Добавить наименование тарифа</v>
      </c>
      <c r="AO53" s="121"/>
      <c r="AP53" s="121"/>
    </row>
    <row r="54" spans="1:42" ht="11.25" customHeight="1">
      <c r="M54" s="49"/>
      <c r="N54" s="49"/>
      <c r="O54" s="49"/>
      <c r="P54" s="46"/>
      <c r="Q54" s="46"/>
      <c r="R54" s="46"/>
      <c r="S54" s="46"/>
      <c r="AL54" s="46"/>
      <c r="AM54" s="46"/>
      <c r="AN54" s="46"/>
      <c r="AO54" s="46"/>
      <c r="AP54" s="46"/>
    </row>
    <row r="55" spans="1:42" ht="14.25" customHeight="1">
      <c r="O55" s="49"/>
      <c r="S55" s="387"/>
      <c r="T55" s="1171"/>
      <c r="U55" s="1171"/>
      <c r="V55" s="1171"/>
      <c r="W55" s="1171"/>
      <c r="X55" s="1171"/>
      <c r="Y55" s="1171"/>
      <c r="Z55" s="1171"/>
      <c r="AA55" s="1171"/>
      <c r="AB55" s="1171"/>
      <c r="AC55" s="1171"/>
      <c r="AD55" s="1171"/>
      <c r="AE55" s="1171"/>
      <c r="AF55" s="1171"/>
      <c r="AG55" s="1171"/>
      <c r="AH55" s="1171"/>
      <c r="AI55" s="1171"/>
      <c r="AJ55" s="1171"/>
      <c r="AK55" s="1171"/>
    </row>
    <row r="56" spans="1:42" ht="14.25" customHeight="1">
      <c r="O56" s="49"/>
    </row>
    <row r="57" spans="1:42" ht="14.25" customHeight="1">
      <c r="O57" s="49"/>
      <c r="S57" s="387"/>
      <c r="T57" s="1171"/>
      <c r="U57" s="1171"/>
      <c r="V57" s="1171"/>
      <c r="W57" s="1171"/>
      <c r="X57" s="1171"/>
      <c r="Y57" s="1171"/>
      <c r="Z57" s="1171"/>
      <c r="AA57" s="1171"/>
      <c r="AB57" s="1171"/>
      <c r="AC57" s="1171"/>
      <c r="AD57" s="1171"/>
      <c r="AE57" s="1171"/>
      <c r="AF57" s="1171"/>
      <c r="AG57" s="1171"/>
      <c r="AH57" s="1171"/>
      <c r="AI57" s="1171"/>
      <c r="AJ57" s="1171"/>
      <c r="AK57" s="1171"/>
    </row>
  </sheetData>
  <mergeCells count="101">
    <mergeCell ref="AB46:AB47"/>
    <mergeCell ref="AF46:AF47"/>
    <mergeCell ref="AG46:AG47"/>
    <mergeCell ref="AH46:AH47"/>
    <mergeCell ref="AI46:AI47"/>
    <mergeCell ref="AK46:AK47"/>
    <mergeCell ref="T55:AK55"/>
    <mergeCell ref="T57:AK5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S30:T30"/>
    <mergeCell ref="V30:AA30"/>
    <mergeCell ref="AC30:AH30"/>
    <mergeCell ref="S32:T32"/>
    <mergeCell ref="V32:AA32"/>
    <mergeCell ref="AC32:AH32"/>
    <mergeCell ref="S33:T33"/>
    <mergeCell ref="V33:AA33"/>
    <mergeCell ref="AC33:AH33"/>
    <mergeCell ref="S25:AH25"/>
    <mergeCell ref="S27:T27"/>
    <mergeCell ref="V27:AA27"/>
    <mergeCell ref="AC27:AH27"/>
    <mergeCell ref="S28:T28"/>
    <mergeCell ref="V28:AA28"/>
    <mergeCell ref="AC28:AH28"/>
    <mergeCell ref="S29:T29"/>
    <mergeCell ref="V29:AA29"/>
    <mergeCell ref="AC29:AH29"/>
    <mergeCell ref="AG7:AG8"/>
    <mergeCell ref="AH7:AH8"/>
    <mergeCell ref="AI7:AI8"/>
    <mergeCell ref="AK7:AK8"/>
    <mergeCell ref="AF15:AF16"/>
    <mergeCell ref="AG15:AG16"/>
    <mergeCell ref="AH15:AH16"/>
    <mergeCell ref="AI15:AI16"/>
    <mergeCell ref="S24:AH24"/>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s>
  <dataValidations count="4">
    <dataValidation allowBlank="1" showInputMessage="1" showErrorMessage="1" prompt="Для выбора выполните двойной щелчок левой клавиши мыши по соответствующей ячейке." sqref="Z7 AB7 AG7 AI7 AG15 AI15 Z46 AB46 AG46 AI46">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AA7 AF7 AH7 AF15 AH15 Y46 AA46 AF46 AH46">
      <formula1>0</formula1>
      <formula2>0</formula2>
    </dataValidation>
    <dataValidation type="textLength" operator="lessThanOrEqual" allowBlank="1" showInputMessage="1" showErrorMessage="1" errorTitle="Ошибка" error="Допускается ввод не более 900 символов!" sqref="AC5:AJ5 T7 AC44:AJ44 T46">
      <formula1>900</formula1>
      <formula2>0</formula2>
    </dataValidation>
    <dataValidation allowBlank="1" promptTitle="checkPeriodRange" sqref="X8 AE8 AE16 X47 AE47">
      <formula1>0</formula1>
      <formula2>0</formula2>
    </dataValidation>
  </dataValidations>
  <pageMargins left="0.7" right="0.7" top="0.625" bottom="0.625" header="0.3" footer="0.3"/>
  <pageSetup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BH68"/>
  <sheetViews>
    <sheetView showGridLines="0" topLeftCell="R27" zoomScale="90" zoomScaleNormal="90" workbookViewId="0"/>
  </sheetViews>
  <sheetFormatPr defaultColWidth="10.5703125" defaultRowHeight="14.25"/>
  <cols>
    <col min="1" max="1" width="11.5703125" style="49" hidden="1" customWidth="1"/>
    <col min="2" max="2" width="11" style="49" hidden="1" customWidth="1"/>
    <col min="3" max="3" width="10.5703125" style="49" hidden="1"/>
    <col min="4" max="4" width="12.85546875" style="49" hidden="1" customWidth="1"/>
    <col min="5" max="5" width="10" style="49" hidden="1" customWidth="1"/>
    <col min="6" max="6" width="8.7109375" style="49" hidden="1" customWidth="1"/>
    <col min="7" max="7" width="7.5703125" style="49" hidden="1" customWidth="1"/>
    <col min="8" max="8" width="11.42578125" style="49" hidden="1" customWidth="1"/>
    <col min="9" max="9" width="12" style="49" hidden="1" customWidth="1"/>
    <col min="10" max="10" width="9.85546875" style="49" hidden="1" customWidth="1"/>
    <col min="11" max="11" width="11.42578125" style="49" hidden="1" customWidth="1"/>
    <col min="12" max="12" width="19.140625" style="107" hidden="1" customWidth="1"/>
    <col min="13" max="14" width="12.28515625" style="57" hidden="1" customWidth="1"/>
    <col min="15" max="15" width="23.42578125" style="57" hidden="1" customWidth="1"/>
    <col min="16" max="16" width="3.7109375" style="57" hidden="1" customWidth="1"/>
    <col min="17" max="17" width="3.7109375" style="436" hidden="1" customWidth="1"/>
    <col min="18" max="18" width="3.7109375" style="389" customWidth="1"/>
    <col min="19" max="19" width="12.7109375" style="254" customWidth="1"/>
    <col min="20" max="20" width="32" style="46" customWidth="1"/>
    <col min="21" max="21" width="0.140625" style="46" customWidth="1"/>
    <col min="22" max="25" width="21.7109375" style="46" hidden="1" customWidth="1"/>
    <col min="26" max="26" width="11.7109375" style="46" hidden="1" customWidth="1"/>
    <col min="27" max="27" width="3.7109375" style="46" hidden="1" customWidth="1"/>
    <col min="28" max="28" width="11.7109375" style="46" hidden="1" customWidth="1"/>
    <col min="29" max="29" width="8.5703125" style="46" hidden="1" customWidth="1"/>
    <col min="30" max="32" width="3.7109375" style="46" customWidth="1"/>
    <col min="33" max="33" width="24.7109375" style="46" customWidth="1"/>
    <col min="34" max="36" width="3.7109375" style="46" customWidth="1"/>
    <col min="37" max="37" width="24.7109375" style="46" customWidth="1"/>
    <col min="38" max="40" width="3.7109375" style="46" customWidth="1"/>
    <col min="41" max="41" width="18.85546875" style="46" customWidth="1"/>
    <col min="42" max="44" width="3.7109375" style="46" customWidth="1"/>
    <col min="45" max="45" width="18.85546875" style="46" customWidth="1"/>
    <col min="46" max="49" width="21.7109375" style="46" customWidth="1"/>
    <col min="50" max="50" width="11.7109375" style="46" customWidth="1"/>
    <col min="51" max="51" width="3.7109375" style="46" customWidth="1"/>
    <col min="52" max="52" width="11.7109375" style="46" customWidth="1"/>
    <col min="53" max="53" width="8.5703125" style="46" hidden="1" customWidth="1"/>
    <col min="54" max="54" width="4.7109375" style="46" customWidth="1"/>
    <col min="55" max="55" width="115.7109375" style="46" customWidth="1"/>
    <col min="56" max="57" width="10.5703125" style="53"/>
    <col min="58" max="58" width="11.140625" style="53" customWidth="1"/>
    <col min="59" max="60" width="10.5703125" style="53"/>
  </cols>
  <sheetData>
    <row r="1" spans="1:60" ht="14.25" hidden="1" customHeight="1"/>
    <row r="2" spans="1:60" ht="21" hidden="1" customHeight="1">
      <c r="A2" s="390"/>
      <c r="B2" s="390"/>
      <c r="C2" s="390"/>
      <c r="D2" s="390"/>
      <c r="E2" s="1153">
        <v>1</v>
      </c>
      <c r="F2" s="390"/>
      <c r="G2" s="390"/>
      <c r="H2" s="390"/>
      <c r="I2" s="390"/>
      <c r="J2" s="390"/>
      <c r="K2" s="390"/>
      <c r="L2" s="391"/>
      <c r="M2" s="392"/>
      <c r="N2" s="392"/>
      <c r="O2" s="392"/>
      <c r="Q2" s="60"/>
      <c r="R2" s="393"/>
      <c r="S2" s="394" t="e">
        <f>INDEX(PT_DIFFERENTIATION_NUM_NTAR,MATCH(A2,PT_DIFFERENTIATION_NTAR_ID,0))</f>
        <v>#N/A</v>
      </c>
      <c r="T2" s="395" t="s">
        <v>119</v>
      </c>
      <c r="U2" s="396"/>
      <c r="V2" s="1177"/>
      <c r="W2" s="1177"/>
      <c r="X2" s="1177"/>
      <c r="Y2" s="1177"/>
      <c r="Z2" s="1177"/>
      <c r="AA2" s="1177"/>
      <c r="AB2" s="1177"/>
      <c r="AC2" s="1177"/>
      <c r="AD2" s="1154" t="e">
        <f>INDEX(PT_DIFFERENTIATION_NTAR,MATCH(A2,PT_DIFFERENTIATION_NTAR_ID,0))</f>
        <v>#N/A</v>
      </c>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1"/>
      <c r="BF2" s="121" t="str">
        <f t="shared" ref="BF2:BF8" si="0">IF(T2="","",T2)</f>
        <v>Наименование тарифа</v>
      </c>
      <c r="BG2" s="121"/>
      <c r="BH2" s="121"/>
    </row>
    <row r="3" spans="1:60" ht="21" hidden="1" customHeight="1">
      <c r="A3" s="390"/>
      <c r="B3" s="390"/>
      <c r="C3" s="390"/>
      <c r="D3" s="390"/>
      <c r="E3" s="1153"/>
      <c r="F3" s="1153">
        <v>1</v>
      </c>
      <c r="G3" s="390"/>
      <c r="H3" s="390"/>
      <c r="I3" s="390"/>
      <c r="J3" s="390"/>
      <c r="K3" s="390"/>
      <c r="L3" s="391"/>
      <c r="M3" s="392"/>
      <c r="N3" s="392"/>
      <c r="O3" s="392"/>
      <c r="P3" s="107"/>
      <c r="Q3" s="485"/>
      <c r="R3" s="399"/>
      <c r="S3" s="394" t="e">
        <f>INDEX(PT_DIFFERENTIATION_NUM_TER,MATCH(B3,PT_DIFFERENTIATION_TER_ID,0))</f>
        <v>#N/A</v>
      </c>
      <c r="T3" s="400" t="s">
        <v>386</v>
      </c>
      <c r="U3" s="396"/>
      <c r="V3" s="1177"/>
      <c r="W3" s="1177"/>
      <c r="X3" s="1177"/>
      <c r="Y3" s="1177"/>
      <c r="Z3" s="1177"/>
      <c r="AA3" s="1177"/>
      <c r="AB3" s="1177"/>
      <c r="AC3" s="1177"/>
      <c r="AD3" s="1154" t="e">
        <f>INDEX(PT_DIFFERENTIATION_TER,MATCH(B3,PT_DIFFERENTIATION_TER_ID,0))</f>
        <v>#N/A</v>
      </c>
      <c r="AE3" s="1154"/>
      <c r="AF3" s="1154"/>
      <c r="AG3" s="1154"/>
      <c r="AH3" s="1154"/>
      <c r="AI3" s="1154"/>
      <c r="AJ3" s="1154"/>
      <c r="AK3" s="1154"/>
      <c r="AL3" s="1154"/>
      <c r="AM3" s="1154"/>
      <c r="AN3" s="1154"/>
      <c r="AO3" s="1154"/>
      <c r="AP3" s="1154"/>
      <c r="AQ3" s="1154"/>
      <c r="AR3" s="1154"/>
      <c r="AS3" s="1154"/>
      <c r="AT3" s="1154"/>
      <c r="AU3" s="1154"/>
      <c r="AV3" s="1154"/>
      <c r="AW3" s="1154"/>
      <c r="AX3" s="1154"/>
      <c r="AY3" s="1154"/>
      <c r="AZ3" s="1154"/>
      <c r="BA3" s="1154"/>
      <c r="BB3" s="1154"/>
      <c r="BC3" s="397" t="s">
        <v>387</v>
      </c>
      <c r="BE3" s="121"/>
      <c r="BF3" s="121" t="str">
        <f t="shared" si="0"/>
        <v>Территория действия тарифа</v>
      </c>
      <c r="BG3" s="121"/>
      <c r="BH3" s="121"/>
    </row>
    <row r="4" spans="1:60" ht="33.75" hidden="1" customHeight="1">
      <c r="A4" s="390"/>
      <c r="B4" s="390"/>
      <c r="C4" s="390"/>
      <c r="D4" s="390"/>
      <c r="E4" s="1153"/>
      <c r="F4" s="1153"/>
      <c r="G4" s="1153">
        <v>1</v>
      </c>
      <c r="H4" s="390"/>
      <c r="I4" s="390"/>
      <c r="J4" s="390"/>
      <c r="K4" s="390"/>
      <c r="L4" s="391"/>
      <c r="M4" s="392"/>
      <c r="N4" s="392"/>
      <c r="O4" s="392"/>
      <c r="P4" s="130"/>
      <c r="Q4" s="485"/>
      <c r="R4" s="399"/>
      <c r="S4" s="394" t="e">
        <f>INDEX(PT_DIFFERENTIATION_NUM_CS,MATCH(C4,PT_DIFFERENTIATION_CS_ID,0))</f>
        <v>#N/A</v>
      </c>
      <c r="T4" s="402" t="s">
        <v>516</v>
      </c>
      <c r="U4" s="396"/>
      <c r="V4" s="1177"/>
      <c r="W4" s="1177"/>
      <c r="X4" s="1177"/>
      <c r="Y4" s="1177"/>
      <c r="Z4" s="1177"/>
      <c r="AA4" s="1177"/>
      <c r="AB4" s="1177"/>
      <c r="AC4" s="1177"/>
      <c r="AD4" s="1154" t="e">
        <f>INDEX(PT_DIFFERENTIATION_CS,MATCH(C4,PT_DIFFERENTIATION_CS_ID,0))</f>
        <v>#N/A</v>
      </c>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1154"/>
      <c r="BA4" s="1154"/>
      <c r="BB4" s="1154"/>
      <c r="BC4" s="397" t="s">
        <v>517</v>
      </c>
      <c r="BE4" s="121"/>
      <c r="BF4" s="121" t="str">
        <f t="shared" si="0"/>
        <v>Наименование централизованной системы горячего водоснабжения</v>
      </c>
      <c r="BG4" s="121"/>
      <c r="BH4" s="121"/>
    </row>
    <row r="5" spans="1:60" s="53" customFormat="1" ht="14.25" hidden="1" customHeight="1">
      <c r="A5" s="125"/>
      <c r="B5" s="125"/>
      <c r="C5" s="125"/>
      <c r="D5" s="125"/>
      <c r="E5" s="1153"/>
      <c r="F5" s="1153"/>
      <c r="G5" s="1153"/>
      <c r="H5" s="1153">
        <v>1</v>
      </c>
      <c r="I5" s="125"/>
      <c r="J5" s="125"/>
      <c r="K5" s="125"/>
      <c r="L5" s="184"/>
      <c r="M5" s="375"/>
      <c r="N5" s="375"/>
      <c r="O5" s="375"/>
      <c r="P5" s="524"/>
      <c r="Q5" s="525"/>
      <c r="R5" s="408"/>
      <c r="S5" s="280"/>
      <c r="T5" s="526"/>
      <c r="U5" s="460"/>
      <c r="V5" s="1178"/>
      <c r="W5" s="1178"/>
      <c r="X5" s="1178"/>
      <c r="Y5" s="1178"/>
      <c r="Z5" s="1178"/>
      <c r="AA5" s="1178"/>
      <c r="AB5" s="1178"/>
      <c r="AC5" s="1178"/>
      <c r="AD5" s="1175"/>
      <c r="AE5" s="1175"/>
      <c r="AF5" s="1175"/>
      <c r="AG5" s="1175"/>
      <c r="AH5" s="1175"/>
      <c r="AI5" s="1175"/>
      <c r="AJ5" s="1175"/>
      <c r="AK5" s="1175"/>
      <c r="AL5" s="1175"/>
      <c r="AM5" s="1175"/>
      <c r="AN5" s="1175"/>
      <c r="AO5" s="1175"/>
      <c r="AP5" s="1175"/>
      <c r="AQ5" s="1175"/>
      <c r="AR5" s="1175"/>
      <c r="AS5" s="1175"/>
      <c r="AT5" s="1175"/>
      <c r="AU5" s="1175"/>
      <c r="AV5" s="1175"/>
      <c r="AW5" s="1175"/>
      <c r="AX5" s="1175"/>
      <c r="AY5" s="1175"/>
      <c r="AZ5" s="1175"/>
      <c r="BA5" s="1175"/>
      <c r="BB5" s="1175"/>
      <c r="BC5" s="461" t="s">
        <v>391</v>
      </c>
      <c r="BE5" s="121"/>
      <c r="BF5" s="121" t="str">
        <f t="shared" si="0"/>
        <v/>
      </c>
      <c r="BG5" s="121"/>
      <c r="BH5" s="121"/>
    </row>
    <row r="6" spans="1:60" s="53" customFormat="1" ht="14.25" hidden="1" customHeight="1">
      <c r="A6" s="125"/>
      <c r="B6" s="125"/>
      <c r="C6" s="125"/>
      <c r="D6" s="125"/>
      <c r="E6" s="1153"/>
      <c r="F6" s="1153"/>
      <c r="G6" s="1153"/>
      <c r="H6" s="1153"/>
      <c r="I6" s="1155" t="str">
        <f>S5&amp;".1"</f>
        <v>.1</v>
      </c>
      <c r="J6" s="125"/>
      <c r="K6" s="125"/>
      <c r="L6" s="184" t="s">
        <v>392</v>
      </c>
      <c r="M6" s="466"/>
      <c r="N6" s="466"/>
      <c r="O6" s="466"/>
      <c r="P6" s="1156">
        <v>1</v>
      </c>
      <c r="Q6" s="124"/>
      <c r="R6" s="405"/>
      <c r="S6" s="280"/>
      <c r="T6" s="459"/>
      <c r="U6" s="460"/>
      <c r="V6" s="1178"/>
      <c r="W6" s="1178"/>
      <c r="X6" s="1178"/>
      <c r="Y6" s="1178"/>
      <c r="Z6" s="1178"/>
      <c r="AA6" s="1178"/>
      <c r="AB6" s="1178"/>
      <c r="AC6" s="1178"/>
      <c r="AD6" s="1175"/>
      <c r="AE6" s="1175"/>
      <c r="AF6" s="1175"/>
      <c r="AG6" s="1175"/>
      <c r="AH6" s="1175"/>
      <c r="AI6" s="1175"/>
      <c r="AJ6" s="1175"/>
      <c r="AK6" s="1175"/>
      <c r="AL6" s="1175"/>
      <c r="AM6" s="1175"/>
      <c r="AN6" s="1175"/>
      <c r="AO6" s="1175"/>
      <c r="AP6" s="1175"/>
      <c r="AQ6" s="1175"/>
      <c r="AR6" s="1175"/>
      <c r="AS6" s="1175"/>
      <c r="AT6" s="1175"/>
      <c r="AU6" s="1175"/>
      <c r="AV6" s="1175"/>
      <c r="AW6" s="1175"/>
      <c r="AX6" s="1175"/>
      <c r="AY6" s="1175"/>
      <c r="AZ6" s="1175"/>
      <c r="BA6" s="1175"/>
      <c r="BB6" s="1175"/>
      <c r="BC6" s="461"/>
      <c r="BE6" s="121"/>
      <c r="BF6" s="121" t="str">
        <f t="shared" si="0"/>
        <v/>
      </c>
      <c r="BG6" s="121"/>
      <c r="BH6" s="121"/>
    </row>
    <row r="7" spans="1:60" s="53" customFormat="1" ht="14.25" hidden="1" customHeight="1">
      <c r="A7" s="125"/>
      <c r="B7" s="125"/>
      <c r="C7" s="125"/>
      <c r="D7" s="125"/>
      <c r="E7" s="1153"/>
      <c r="F7" s="1153"/>
      <c r="G7" s="1153"/>
      <c r="H7" s="1153"/>
      <c r="I7" s="1155"/>
      <c r="J7" s="1155" t="str">
        <f>S5&amp;".1"</f>
        <v>.1</v>
      </c>
      <c r="K7" s="125"/>
      <c r="L7" s="184"/>
      <c r="M7" s="466"/>
      <c r="N7" s="466"/>
      <c r="O7" s="466"/>
      <c r="P7" s="1156"/>
      <c r="Q7" s="1156">
        <v>1</v>
      </c>
      <c r="R7" s="408"/>
      <c r="S7" s="280"/>
      <c r="T7" s="486"/>
      <c r="U7" s="460"/>
      <c r="V7" s="1178"/>
      <c r="W7" s="1178"/>
      <c r="X7" s="1178"/>
      <c r="Y7" s="1178"/>
      <c r="Z7" s="1178"/>
      <c r="AA7" s="1178"/>
      <c r="AB7" s="1178"/>
      <c r="AC7" s="1178"/>
      <c r="AD7" s="1175"/>
      <c r="AE7" s="1175"/>
      <c r="AF7" s="1175"/>
      <c r="AG7" s="1175"/>
      <c r="AH7" s="1175"/>
      <c r="AI7" s="1175"/>
      <c r="AJ7" s="1175"/>
      <c r="AK7" s="1175"/>
      <c r="AL7" s="1175"/>
      <c r="AM7" s="1175"/>
      <c r="AN7" s="1175"/>
      <c r="AO7" s="1175"/>
      <c r="AP7" s="1175"/>
      <c r="AQ7" s="1175"/>
      <c r="AR7" s="1175"/>
      <c r="AS7" s="1175"/>
      <c r="AT7" s="1175"/>
      <c r="AU7" s="1175"/>
      <c r="AV7" s="1175"/>
      <c r="AW7" s="1175"/>
      <c r="AX7" s="1175"/>
      <c r="AY7" s="1175"/>
      <c r="AZ7" s="1175"/>
      <c r="BA7" s="1175"/>
      <c r="BB7" s="1175"/>
      <c r="BC7" s="461"/>
      <c r="BE7" s="121"/>
      <c r="BF7" s="121" t="str">
        <f t="shared" si="0"/>
        <v/>
      </c>
      <c r="BG7" s="121"/>
      <c r="BH7" s="121"/>
    </row>
    <row r="8" spans="1:60" ht="11.25" hidden="1" customHeight="1">
      <c r="A8" s="390"/>
      <c r="B8" s="390"/>
      <c r="C8" s="390"/>
      <c r="D8" s="390"/>
      <c r="E8" s="1153"/>
      <c r="F8" s="1153"/>
      <c r="G8" s="1153"/>
      <c r="H8" s="1153"/>
      <c r="I8" s="1155"/>
      <c r="J8" s="1155"/>
      <c r="K8" s="1155" t="e">
        <f>S4&amp;".1"</f>
        <v>#N/A</v>
      </c>
      <c r="L8" s="391"/>
      <c r="P8" s="1156"/>
      <c r="Q8" s="1156"/>
      <c r="R8" s="1179">
        <v>1</v>
      </c>
      <c r="S8" s="1166" t="e">
        <f>$K8</f>
        <v>#N/A</v>
      </c>
      <c r="T8" s="1192"/>
      <c r="U8" s="396"/>
      <c r="V8" s="411"/>
      <c r="W8" s="413"/>
      <c r="X8" s="411"/>
      <c r="Y8" s="413"/>
      <c r="Z8" s="414"/>
      <c r="AA8" s="191" t="s">
        <v>63</v>
      </c>
      <c r="AB8" s="414"/>
      <c r="AC8" s="191" t="s">
        <v>63</v>
      </c>
      <c r="AD8" s="1105" t="s">
        <v>63</v>
      </c>
      <c r="AE8" s="1181"/>
      <c r="AF8" s="1182">
        <v>1</v>
      </c>
      <c r="AG8" s="1193"/>
      <c r="AH8" s="1105" t="s">
        <v>63</v>
      </c>
      <c r="AI8" s="1181"/>
      <c r="AJ8" s="1182">
        <v>1</v>
      </c>
      <c r="AK8" s="1194"/>
      <c r="AL8" s="1105" t="s">
        <v>63</v>
      </c>
      <c r="AM8" s="1173"/>
      <c r="AN8" s="1182">
        <v>1</v>
      </c>
      <c r="AO8" s="1195"/>
      <c r="AP8" s="1196" t="s">
        <v>63</v>
      </c>
      <c r="AQ8" s="487"/>
      <c r="AR8" s="276">
        <v>1</v>
      </c>
      <c r="AS8" s="87"/>
      <c r="AT8" s="411"/>
      <c r="AU8" s="413"/>
      <c r="AV8" s="411"/>
      <c r="AW8" s="413"/>
      <c r="AX8" s="414"/>
      <c r="AY8" s="191" t="s">
        <v>63</v>
      </c>
      <c r="AZ8" s="414"/>
      <c r="BA8" s="191" t="s">
        <v>63</v>
      </c>
      <c r="BB8" s="454"/>
      <c r="BC8" s="1159" t="s">
        <v>485</v>
      </c>
      <c r="BE8" s="121"/>
      <c r="BF8" s="121" t="str">
        <f t="shared" si="0"/>
        <v/>
      </c>
      <c r="BG8" s="121"/>
      <c r="BH8" s="121"/>
    </row>
    <row r="9" spans="1:60" ht="11.25" hidden="1" customHeight="1">
      <c r="A9" s="390"/>
      <c r="B9" s="390"/>
      <c r="C9" s="390"/>
      <c r="D9" s="390"/>
      <c r="E9" s="1153"/>
      <c r="F9" s="1153"/>
      <c r="G9" s="1153"/>
      <c r="H9" s="1153"/>
      <c r="I9" s="1155"/>
      <c r="J9" s="1155"/>
      <c r="K9" s="1155"/>
      <c r="L9" s="391"/>
      <c r="P9" s="1156"/>
      <c r="Q9" s="1156"/>
      <c r="R9" s="1179"/>
      <c r="S9" s="1166"/>
      <c r="T9" s="1192"/>
      <c r="U9" s="396"/>
      <c r="V9" s="476"/>
      <c r="W9" s="490"/>
      <c r="X9" s="476"/>
      <c r="Y9" s="490"/>
      <c r="Z9" s="476"/>
      <c r="AA9" s="476"/>
      <c r="AB9" s="476"/>
      <c r="AC9" s="476"/>
      <c r="AD9" s="1105"/>
      <c r="AE9" s="1181"/>
      <c r="AF9" s="1182"/>
      <c r="AG9" s="1193"/>
      <c r="AH9" s="1105"/>
      <c r="AI9" s="1181"/>
      <c r="AJ9" s="1182"/>
      <c r="AK9" s="1194"/>
      <c r="AL9" s="1105"/>
      <c r="AM9" s="1173"/>
      <c r="AN9" s="1182"/>
      <c r="AO9" s="1195"/>
      <c r="AP9" s="1196"/>
      <c r="AQ9" s="489"/>
      <c r="AR9" s="168"/>
      <c r="AS9" s="168" t="s">
        <v>486</v>
      </c>
      <c r="AT9" s="476"/>
      <c r="AU9" s="490"/>
      <c r="AV9" s="476"/>
      <c r="AW9" s="490"/>
      <c r="AX9" s="476"/>
      <c r="AY9" s="476"/>
      <c r="AZ9" s="476"/>
      <c r="BA9" s="476"/>
      <c r="BB9" s="488"/>
      <c r="BC9" s="1159"/>
      <c r="BE9" s="121"/>
      <c r="BF9" s="121"/>
      <c r="BG9" s="121"/>
      <c r="BH9" s="121"/>
    </row>
    <row r="10" spans="1:60" ht="11.25" hidden="1" customHeight="1">
      <c r="A10" s="390"/>
      <c r="B10" s="390"/>
      <c r="C10" s="390"/>
      <c r="D10" s="390"/>
      <c r="E10" s="1153"/>
      <c r="F10" s="1153"/>
      <c r="G10" s="1153"/>
      <c r="H10" s="1153"/>
      <c r="I10" s="1155"/>
      <c r="J10" s="1155"/>
      <c r="K10" s="1155"/>
      <c r="L10" s="391"/>
      <c r="P10" s="1156"/>
      <c r="Q10" s="1156"/>
      <c r="R10" s="1179"/>
      <c r="S10" s="1166"/>
      <c r="T10" s="1192"/>
      <c r="U10" s="396"/>
      <c r="V10" s="476"/>
      <c r="W10" s="490"/>
      <c r="X10" s="476"/>
      <c r="Y10" s="490"/>
      <c r="Z10" s="476"/>
      <c r="AA10" s="476"/>
      <c r="AB10" s="476"/>
      <c r="AC10" s="476"/>
      <c r="AD10" s="1105"/>
      <c r="AE10" s="1181"/>
      <c r="AF10" s="1182"/>
      <c r="AG10" s="1193"/>
      <c r="AH10" s="1105"/>
      <c r="AI10" s="1181"/>
      <c r="AJ10" s="1182"/>
      <c r="AK10" s="1194"/>
      <c r="AL10" s="1105"/>
      <c r="AM10" s="489"/>
      <c r="AN10" s="527"/>
      <c r="AO10" s="527" t="s">
        <v>487</v>
      </c>
      <c r="AP10" s="168"/>
      <c r="AQ10" s="168"/>
      <c r="AR10" s="168"/>
      <c r="AS10" s="476"/>
      <c r="AT10" s="476"/>
      <c r="AU10" s="490"/>
      <c r="AV10" s="476"/>
      <c r="AW10" s="490"/>
      <c r="AX10" s="476"/>
      <c r="AY10" s="476"/>
      <c r="AZ10" s="476"/>
      <c r="BA10" s="476"/>
      <c r="BB10" s="488"/>
      <c r="BC10" s="1159"/>
      <c r="BE10" s="121"/>
      <c r="BF10" s="121"/>
      <c r="BG10" s="121"/>
      <c r="BH10" s="121"/>
    </row>
    <row r="11" spans="1:60" ht="11.25" hidden="1" customHeight="1">
      <c r="A11" s="390"/>
      <c r="B11" s="390"/>
      <c r="C11" s="390"/>
      <c r="D11" s="390"/>
      <c r="E11" s="1153"/>
      <c r="F11" s="1153"/>
      <c r="G11" s="1153"/>
      <c r="H11" s="1153"/>
      <c r="I11" s="1155"/>
      <c r="J11" s="1155"/>
      <c r="K11" s="1155"/>
      <c r="L11" s="391"/>
      <c r="P11" s="1156"/>
      <c r="Q11" s="1156"/>
      <c r="R11" s="1179"/>
      <c r="S11" s="1166"/>
      <c r="T11" s="1192"/>
      <c r="U11" s="396"/>
      <c r="V11" s="476"/>
      <c r="W11" s="490"/>
      <c r="X11" s="476"/>
      <c r="Y11" s="490"/>
      <c r="Z11" s="476"/>
      <c r="AA11" s="476"/>
      <c r="AB11" s="476"/>
      <c r="AC11" s="476"/>
      <c r="AD11" s="1105"/>
      <c r="AE11" s="1181"/>
      <c r="AF11" s="1182"/>
      <c r="AG11" s="1193"/>
      <c r="AH11" s="1105"/>
      <c r="AI11" s="492"/>
      <c r="AJ11" s="163"/>
      <c r="AK11" s="357" t="s">
        <v>488</v>
      </c>
      <c r="AL11" s="476"/>
      <c r="AM11" s="476"/>
      <c r="AN11" s="476"/>
      <c r="AO11" s="476"/>
      <c r="AP11" s="476"/>
      <c r="AQ11" s="476"/>
      <c r="AR11" s="476"/>
      <c r="AS11" s="476"/>
      <c r="AT11" s="476"/>
      <c r="AU11" s="490"/>
      <c r="AV11" s="476"/>
      <c r="AW11" s="490"/>
      <c r="AX11" s="476"/>
      <c r="AY11" s="476"/>
      <c r="AZ11" s="476"/>
      <c r="BA11" s="476"/>
      <c r="BB11" s="488"/>
      <c r="BC11" s="1159"/>
      <c r="BE11" s="121"/>
      <c r="BF11" s="121"/>
      <c r="BG11" s="121"/>
      <c r="BH11" s="121"/>
    </row>
    <row r="12" spans="1:60" ht="11.25" hidden="1" customHeight="1">
      <c r="A12" s="390"/>
      <c r="B12" s="390"/>
      <c r="C12" s="390"/>
      <c r="D12" s="390"/>
      <c r="E12" s="1153"/>
      <c r="F12" s="1153"/>
      <c r="G12" s="1153"/>
      <c r="H12" s="1153"/>
      <c r="I12" s="1155"/>
      <c r="J12" s="1155"/>
      <c r="K12" s="1155"/>
      <c r="L12" s="391"/>
      <c r="P12" s="1156"/>
      <c r="Q12" s="1156"/>
      <c r="R12" s="1179"/>
      <c r="S12" s="1166"/>
      <c r="T12" s="1192"/>
      <c r="U12" s="396"/>
      <c r="V12" s="476"/>
      <c r="W12" s="477" t="str">
        <f>Z8&amp;"-"&amp;AB8</f>
        <v>-</v>
      </c>
      <c r="X12" s="476"/>
      <c r="Y12" s="477" t="str">
        <f>AB8&amp;"-"&amp;AD8</f>
        <v>-да</v>
      </c>
      <c r="Z12" s="476"/>
      <c r="AA12" s="476"/>
      <c r="AB12" s="476"/>
      <c r="AC12" s="476"/>
      <c r="AD12" s="1105"/>
      <c r="AE12" s="494"/>
      <c r="AF12" s="495"/>
      <c r="AG12" s="168" t="s">
        <v>489</v>
      </c>
      <c r="AH12" s="476"/>
      <c r="AI12" s="476"/>
      <c r="AJ12" s="476"/>
      <c r="AK12" s="476"/>
      <c r="AL12" s="476"/>
      <c r="AM12" s="476"/>
      <c r="AN12" s="476"/>
      <c r="AO12" s="476"/>
      <c r="AP12" s="476"/>
      <c r="AQ12" s="476"/>
      <c r="AR12" s="476"/>
      <c r="AS12" s="476"/>
      <c r="AT12" s="476"/>
      <c r="AU12" s="477" t="str">
        <f>AX8&amp;"-"&amp;AZ8</f>
        <v>-</v>
      </c>
      <c r="AV12" s="476"/>
      <c r="AW12" s="477" t="str">
        <f>AZ8&amp;"-"&amp;BB8</f>
        <v>-</v>
      </c>
      <c r="AX12" s="476"/>
      <c r="AY12" s="476"/>
      <c r="AZ12" s="476"/>
      <c r="BA12" s="476"/>
      <c r="BB12" s="493" t="str">
        <f>BE8&amp;"-"&amp;BG8</f>
        <v>-</v>
      </c>
      <c r="BC12" s="1159"/>
      <c r="BE12" s="121"/>
      <c r="BF12" s="121" t="str">
        <f t="shared" ref="BF12:BF18" si="1">IF(T12="","",T12)</f>
        <v/>
      </c>
      <c r="BG12" s="121"/>
      <c r="BH12" s="121"/>
    </row>
    <row r="13" spans="1:60" ht="11.25" hidden="1" customHeight="1">
      <c r="A13" s="390"/>
      <c r="B13" s="390"/>
      <c r="C13" s="390"/>
      <c r="D13" s="390"/>
      <c r="E13" s="1153"/>
      <c r="F13" s="1153"/>
      <c r="G13" s="1153"/>
      <c r="H13" s="1153"/>
      <c r="I13" s="1155"/>
      <c r="J13" s="1155"/>
      <c r="K13" s="390"/>
      <c r="L13" s="391"/>
      <c r="P13" s="1156"/>
      <c r="Q13" s="1156"/>
      <c r="R13" s="405"/>
      <c r="S13" s="416"/>
      <c r="T13" s="419" t="s">
        <v>453</v>
      </c>
      <c r="U13" s="186"/>
      <c r="V13" s="186"/>
      <c r="W13" s="186"/>
      <c r="X13" s="186"/>
      <c r="Y13" s="186"/>
      <c r="Z13" s="186"/>
      <c r="AA13" s="186"/>
      <c r="AB13" s="186"/>
      <c r="AC13" s="186"/>
      <c r="AD13" s="514"/>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418"/>
      <c r="BC13" s="1159"/>
      <c r="BE13" s="121"/>
      <c r="BF13" s="121" t="str">
        <f t="shared" si="1"/>
        <v>Добавить строку</v>
      </c>
      <c r="BG13" s="121"/>
      <c r="BH13" s="121"/>
    </row>
    <row r="14" spans="1:60" s="53" customFormat="1" ht="14.25" hidden="1" customHeight="1">
      <c r="A14" s="125"/>
      <c r="B14" s="125"/>
      <c r="C14" s="125"/>
      <c r="D14" s="125"/>
      <c r="E14" s="1153"/>
      <c r="F14" s="1153"/>
      <c r="G14" s="1153"/>
      <c r="H14" s="1153"/>
      <c r="I14" s="1155"/>
      <c r="J14" s="125"/>
      <c r="K14" s="125"/>
      <c r="L14" s="184"/>
      <c r="M14" s="466"/>
      <c r="N14" s="466"/>
      <c r="O14" s="466"/>
      <c r="P14" s="1156"/>
      <c r="Q14" s="124"/>
      <c r="R14" s="405"/>
      <c r="S14" s="462"/>
      <c r="T14" s="463"/>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5"/>
      <c r="BE14" s="121"/>
      <c r="BF14" s="121" t="str">
        <f t="shared" si="1"/>
        <v/>
      </c>
      <c r="BG14" s="121"/>
      <c r="BH14" s="121"/>
    </row>
    <row r="15" spans="1:60" s="53" customFormat="1" ht="14.25" hidden="1" customHeight="1">
      <c r="A15" s="125"/>
      <c r="B15" s="125"/>
      <c r="C15" s="125"/>
      <c r="D15" s="125"/>
      <c r="E15" s="1153"/>
      <c r="F15" s="1153"/>
      <c r="G15" s="1153"/>
      <c r="H15" s="1153"/>
      <c r="I15" s="125"/>
      <c r="J15" s="125"/>
      <c r="K15" s="125"/>
      <c r="L15" s="184"/>
      <c r="M15" s="375"/>
      <c r="N15" s="375"/>
      <c r="P15" s="158"/>
      <c r="Q15" s="424"/>
      <c r="R15" s="496"/>
      <c r="S15" s="462"/>
      <c r="T15" s="463"/>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5"/>
      <c r="BE15" s="121"/>
      <c r="BF15" s="121" t="str">
        <f t="shared" si="1"/>
        <v/>
      </c>
      <c r="BG15" s="121"/>
      <c r="BH15" s="121"/>
    </row>
    <row r="16" spans="1:60" s="53" customFormat="1" ht="14.25" hidden="1" customHeight="1">
      <c r="A16" s="125"/>
      <c r="B16" s="125"/>
      <c r="C16" s="125"/>
      <c r="D16" s="125"/>
      <c r="E16" s="1153"/>
      <c r="F16" s="1153"/>
      <c r="G16" s="1153"/>
      <c r="H16" s="125"/>
      <c r="I16" s="125"/>
      <c r="J16" s="125"/>
      <c r="K16" s="125"/>
      <c r="L16" s="184"/>
      <c r="M16" s="375"/>
      <c r="N16" s="375"/>
      <c r="P16" s="158"/>
      <c r="Q16" s="424"/>
      <c r="R16" s="158"/>
      <c r="S16" s="429"/>
      <c r="T16" s="432"/>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E16" s="121"/>
      <c r="BF16" s="121" t="str">
        <f t="shared" si="1"/>
        <v/>
      </c>
      <c r="BG16" s="121"/>
      <c r="BH16" s="121"/>
    </row>
    <row r="17" spans="1:60" s="53" customFormat="1" ht="14.25" hidden="1" customHeight="1">
      <c r="A17" s="125"/>
      <c r="B17" s="125"/>
      <c r="C17" s="125"/>
      <c r="D17" s="125"/>
      <c r="E17" s="1153"/>
      <c r="F17" s="1153"/>
      <c r="G17" s="125"/>
      <c r="H17" s="125"/>
      <c r="I17" s="125"/>
      <c r="J17" s="125"/>
      <c r="K17" s="125"/>
      <c r="L17" s="184"/>
      <c r="M17" s="428"/>
      <c r="N17" s="428"/>
      <c r="P17" s="158"/>
      <c r="Q17" s="424"/>
      <c r="R17" s="158"/>
      <c r="S17" s="429"/>
      <c r="T17" s="432" t="s">
        <v>253</v>
      </c>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E17" s="121"/>
      <c r="BF17" s="121" t="str">
        <f t="shared" si="1"/>
        <v>Добавить централизованную систему для дифференциации</v>
      </c>
      <c r="BG17" s="121"/>
      <c r="BH17" s="121"/>
    </row>
    <row r="18" spans="1:60" s="53" customFormat="1" ht="14.25" hidden="1" customHeight="1">
      <c r="A18" s="125"/>
      <c r="B18" s="125"/>
      <c r="C18" s="125"/>
      <c r="D18" s="125"/>
      <c r="E18" s="1153"/>
      <c r="F18" s="125"/>
      <c r="G18" s="125"/>
      <c r="H18" s="125"/>
      <c r="I18" s="125"/>
      <c r="J18" s="125"/>
      <c r="K18" s="125"/>
      <c r="L18" s="184"/>
      <c r="M18" s="428"/>
      <c r="N18" s="428"/>
      <c r="P18" s="158"/>
      <c r="Q18" s="424"/>
      <c r="R18" s="158"/>
      <c r="S18" s="429"/>
      <c r="T18" s="432" t="s">
        <v>254</v>
      </c>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E18" s="121"/>
      <c r="BF18" s="121" t="str">
        <f t="shared" si="1"/>
        <v>Добавить территорию для дифференциации</v>
      </c>
      <c r="BG18" s="121"/>
      <c r="BH18" s="121"/>
    </row>
    <row r="19" spans="1:60" ht="14.25" hidden="1" customHeight="1"/>
    <row r="20" spans="1:60" ht="14.25" hidden="1" customHeight="1">
      <c r="AD20" s="431" t="s">
        <v>53</v>
      </c>
      <c r="AE20" s="497"/>
      <c r="AF20" s="431">
        <v>1</v>
      </c>
      <c r="AG20" s="498"/>
      <c r="AH20" s="431" t="s">
        <v>53</v>
      </c>
      <c r="AI20" s="497"/>
      <c r="AJ20" s="431">
        <v>1</v>
      </c>
      <c r="AK20" s="498"/>
      <c r="AL20" s="431" t="s">
        <v>53</v>
      </c>
      <c r="AM20" s="499"/>
      <c r="AN20" s="431">
        <v>1</v>
      </c>
      <c r="AO20" s="126"/>
      <c r="AP20" s="431" t="s">
        <v>53</v>
      </c>
      <c r="AQ20" s="499"/>
      <c r="AR20" s="431">
        <v>1</v>
      </c>
      <c r="AS20" s="126"/>
      <c r="AT20" s="412"/>
      <c r="AU20" s="457"/>
      <c r="AV20" s="412"/>
      <c r="AW20" s="457"/>
      <c r="AX20" s="503"/>
      <c r="AY20" s="225" t="s">
        <v>63</v>
      </c>
      <c r="AZ20" s="503"/>
      <c r="BA20" s="225" t="s">
        <v>63</v>
      </c>
    </row>
    <row r="21" spans="1:60" ht="14.25" hidden="1" customHeight="1">
      <c r="BD21" s="123"/>
      <c r="BE21" s="123"/>
      <c r="BF21" s="123"/>
      <c r="BG21" s="123"/>
      <c r="BH21" s="123"/>
    </row>
    <row r="22" spans="1:60" ht="14.25" hidden="1" customHeight="1">
      <c r="O22" s="435" t="s">
        <v>404</v>
      </c>
      <c r="Z22" s="484"/>
      <c r="AB22" s="484"/>
      <c r="AX22" s="484"/>
      <c r="AZ22" s="484"/>
      <c r="BD22" s="123"/>
      <c r="BE22" s="123"/>
      <c r="BF22" s="123"/>
      <c r="BG22" s="123"/>
      <c r="BH22" s="123"/>
    </row>
    <row r="23" spans="1:60" ht="14.25" hidden="1" customHeight="1">
      <c r="BD23" s="123"/>
      <c r="BE23" s="123"/>
      <c r="BF23" s="123"/>
      <c r="BG23" s="123"/>
      <c r="BH23" s="123"/>
    </row>
    <row r="24" spans="1:60" s="504" customFormat="1" ht="14.25" hidden="1" customHeight="1">
      <c r="M24" s="505"/>
      <c r="N24" s="505"/>
      <c r="O24" s="504" t="s">
        <v>405</v>
      </c>
      <c r="P24" s="505"/>
      <c r="Q24" s="506"/>
      <c r="R24" s="506"/>
      <c r="AA24" s="504" t="s">
        <v>407</v>
      </c>
      <c r="AC24" s="504" t="s">
        <v>408</v>
      </c>
      <c r="AD24" s="504" t="s">
        <v>454</v>
      </c>
      <c r="AH24" s="504" t="s">
        <v>454</v>
      </c>
      <c r="AK24" s="504" t="s">
        <v>490</v>
      </c>
      <c r="AL24" s="504" t="s">
        <v>454</v>
      </c>
      <c r="AP24" s="504" t="s">
        <v>454</v>
      </c>
      <c r="AY24" s="504" t="s">
        <v>407</v>
      </c>
      <c r="BA24" s="504" t="s">
        <v>408</v>
      </c>
      <c r="BD24" s="507"/>
      <c r="BE24" s="507"/>
      <c r="BF24" s="507"/>
      <c r="BG24" s="507"/>
      <c r="BH24" s="507"/>
    </row>
    <row r="25" spans="1:60" ht="14.25" hidden="1" customHeight="1">
      <c r="O25" s="391"/>
      <c r="BD25" s="123"/>
      <c r="BE25" s="123"/>
      <c r="BF25" s="123"/>
      <c r="BG25" s="123"/>
      <c r="BH25" s="123"/>
    </row>
    <row r="26" spans="1:60" ht="14.25" hidden="1" customHeight="1">
      <c r="O26" s="391"/>
      <c r="BD26" s="123"/>
      <c r="BE26" s="123"/>
      <c r="BF26" s="123"/>
      <c r="BG26" s="123"/>
      <c r="BH26" s="123"/>
    </row>
    <row r="27" spans="1:60" ht="14.25" customHeight="1">
      <c r="Q27" s="508"/>
      <c r="R27" s="437"/>
      <c r="S27" s="438"/>
      <c r="T27" s="83"/>
      <c r="U27" s="83"/>
    </row>
    <row r="28" spans="1:60" ht="14.25" customHeight="1">
      <c r="Q28" s="508"/>
      <c r="R28" s="437"/>
      <c r="S28" s="110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106"/>
      <c r="U28" s="1106"/>
      <c r="V28" s="1106"/>
      <c r="W28" s="1106"/>
      <c r="X28" s="1106"/>
      <c r="Y28" s="1106"/>
      <c r="Z28" s="1106"/>
      <c r="AA28" s="1106"/>
      <c r="AB28" s="1106"/>
      <c r="AC28" s="1106"/>
      <c r="AD28" s="1106"/>
      <c r="AE28" s="1106"/>
      <c r="AF28" s="1106"/>
      <c r="AG28" s="1106"/>
      <c r="AH28" s="1106"/>
      <c r="AI28" s="1106"/>
      <c r="AJ28" s="1106"/>
      <c r="AK28" s="1106"/>
      <c r="AL28" s="1106"/>
      <c r="AM28" s="1106"/>
      <c r="AN28" s="1106"/>
      <c r="AO28" s="1106"/>
      <c r="AP28" s="1106"/>
      <c r="AQ28" s="1106"/>
      <c r="AR28" s="1106"/>
      <c r="AS28" s="1106"/>
      <c r="AT28" s="1106"/>
      <c r="AU28" s="1106"/>
      <c r="AV28" s="1106"/>
      <c r="AW28" s="1106"/>
      <c r="AX28" s="1106"/>
      <c r="AY28" s="1106"/>
      <c r="AZ28" s="1106"/>
      <c r="BA28" s="201"/>
    </row>
    <row r="29" spans="1:60" ht="14.25" customHeight="1">
      <c r="Q29" s="508"/>
      <c r="R29" s="437"/>
      <c r="S29" s="1127" t="str">
        <f>IF(org=0,"Не определено",org)</f>
        <v>Филиал ПАО "ОГК-2" - Серовская ГРЭС, г. Серов</v>
      </c>
      <c r="T29" s="1127"/>
      <c r="U29" s="1127"/>
      <c r="V29" s="1127"/>
      <c r="W29" s="1127"/>
      <c r="X29" s="1127"/>
      <c r="Y29" s="1127"/>
      <c r="Z29" s="1127"/>
      <c r="AA29" s="1127"/>
      <c r="AB29" s="1127"/>
      <c r="AC29" s="1127"/>
      <c r="AD29" s="1127"/>
      <c r="AE29" s="1127"/>
      <c r="AF29" s="1127"/>
      <c r="AG29" s="1127"/>
      <c r="AH29" s="1127"/>
      <c r="AI29" s="1127"/>
      <c r="AJ29" s="1127"/>
      <c r="AK29" s="1127"/>
      <c r="AL29" s="1127"/>
      <c r="AM29" s="1127"/>
      <c r="AN29" s="1127"/>
      <c r="AO29" s="1127"/>
      <c r="AP29" s="1127"/>
      <c r="AQ29" s="1127"/>
      <c r="AR29" s="1127"/>
      <c r="AS29" s="1127"/>
      <c r="AT29" s="1127"/>
      <c r="AU29" s="1127"/>
      <c r="AV29" s="1127"/>
      <c r="AW29" s="1127"/>
      <c r="AX29" s="1127"/>
      <c r="AY29" s="1127"/>
      <c r="AZ29" s="1127"/>
      <c r="BA29" s="201"/>
    </row>
    <row r="30" spans="1:60" ht="14.25" customHeight="1">
      <c r="Q30" s="508"/>
      <c r="R30" s="437"/>
      <c r="S30" s="438"/>
      <c r="T30" s="83"/>
      <c r="U30" s="83"/>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row>
    <row r="31" spans="1:60" s="174" customFormat="1" ht="25.5" customHeight="1">
      <c r="A31" s="142"/>
      <c r="B31" s="142"/>
      <c r="C31" s="142"/>
      <c r="D31" s="142"/>
      <c r="E31" s="142"/>
      <c r="F31" s="142"/>
      <c r="G31" s="142"/>
      <c r="H31" s="142"/>
      <c r="I31" s="142"/>
      <c r="J31" s="142"/>
      <c r="K31" s="142"/>
      <c r="L31" s="391"/>
      <c r="M31" s="142"/>
      <c r="N31" s="142"/>
      <c r="O31" s="142"/>
      <c r="P31" s="142"/>
      <c r="Q31" s="142"/>
      <c r="S31" s="1162" t="s">
        <v>37</v>
      </c>
      <c r="T31" s="1162"/>
      <c r="U31" s="441"/>
      <c r="V31" s="1163" t="str">
        <f>IF(TITLE_NAME_OR_PR_CHANGE="",IF(TITLE_NAME_OR_PR="","",TITLE_NAME_OR_PR),TITLE_NAME_OR_PR_CHANGE)</f>
        <v>Региональная энергетическая комиссия Свердловской области</v>
      </c>
      <c r="W31" s="1163"/>
      <c r="X31" s="1163"/>
      <c r="Y31" s="1163"/>
      <c r="Z31" s="1163"/>
      <c r="AA31" s="1163"/>
      <c r="AB31" s="1163"/>
      <c r="AC31" s="46"/>
      <c r="AD31" s="1163" t="str">
        <f>IF(TITLE_NAME_OR_PR_CHANGE="",IF(TITLE_NAME_OR_PR="","",TITLE_NAME_OR_PR),TITLE_NAME_OR_PR_CHANGE)</f>
        <v>Региональная энергетическая комиссия Свердловской области</v>
      </c>
      <c r="AE31" s="1163"/>
      <c r="AF31" s="1163"/>
      <c r="AG31" s="1163"/>
      <c r="AH31" s="1163"/>
      <c r="AI31" s="1163"/>
      <c r="AJ31" s="1163"/>
      <c r="AK31" s="1163"/>
      <c r="AL31" s="1163"/>
      <c r="AM31" s="1163"/>
      <c r="AN31" s="1163"/>
      <c r="AO31" s="1163"/>
      <c r="AP31" s="1163"/>
      <c r="AQ31" s="1163"/>
      <c r="AR31" s="1163"/>
      <c r="AS31" s="1163"/>
      <c r="AT31" s="1163"/>
      <c r="AU31" s="1163"/>
      <c r="AV31" s="1163"/>
      <c r="AW31" s="1163"/>
      <c r="AX31" s="1163"/>
      <c r="AY31" s="1163"/>
      <c r="AZ31" s="1163"/>
      <c r="BA31" s="46"/>
      <c r="BB31" s="46"/>
      <c r="BC31" s="442"/>
      <c r="BD31" s="121"/>
      <c r="BE31" s="121"/>
      <c r="BF31" s="121"/>
      <c r="BG31" s="121"/>
      <c r="BH31" s="121"/>
    </row>
    <row r="32" spans="1:60" s="174" customFormat="1" ht="18.75" customHeight="1">
      <c r="A32" s="142"/>
      <c r="B32" s="142"/>
      <c r="C32" s="142"/>
      <c r="D32" s="142"/>
      <c r="E32" s="142"/>
      <c r="F32" s="142"/>
      <c r="G32" s="142"/>
      <c r="H32" s="142"/>
      <c r="I32" s="142"/>
      <c r="J32" s="142"/>
      <c r="K32" s="142"/>
      <c r="L32" s="391"/>
      <c r="M32" s="142"/>
      <c r="N32" s="142"/>
      <c r="O32" s="142"/>
      <c r="P32" s="142"/>
      <c r="Q32" s="142"/>
      <c r="S32" s="1162" t="s">
        <v>410</v>
      </c>
      <c r="T32" s="1162"/>
      <c r="U32" s="441"/>
      <c r="V32" s="1164">
        <f>IF(TITLE_DATE_PR_CHANGE="",IF(TITLE_DATE_PR="","",TITLE_DATE_PR),TITLE_DATE_PR_CHANGE)</f>
        <v>45266.462974536997</v>
      </c>
      <c r="W32" s="1164"/>
      <c r="X32" s="1164"/>
      <c r="Y32" s="1164"/>
      <c r="Z32" s="1164"/>
      <c r="AA32" s="1164"/>
      <c r="AB32" s="1164"/>
      <c r="AC32" s="46"/>
      <c r="AD32" s="1164">
        <f>IF(TITLE_DATE_PR_CHANGE="",IF(TITLE_DATE_PR="","",TITLE_DATE_PR),TITLE_DATE_PR_CHANGE)</f>
        <v>45266.462974536997</v>
      </c>
      <c r="AE32" s="1164"/>
      <c r="AF32" s="1164"/>
      <c r="AG32" s="1164"/>
      <c r="AH32" s="1164"/>
      <c r="AI32" s="1164"/>
      <c r="AJ32" s="1164"/>
      <c r="AK32" s="1164"/>
      <c r="AL32" s="1164"/>
      <c r="AM32" s="1164"/>
      <c r="AN32" s="1164"/>
      <c r="AO32" s="1164"/>
      <c r="AP32" s="1164"/>
      <c r="AQ32" s="1164"/>
      <c r="AR32" s="1164"/>
      <c r="AS32" s="1164"/>
      <c r="AT32" s="1164"/>
      <c r="AU32" s="1164"/>
      <c r="AV32" s="1164"/>
      <c r="AW32" s="1164"/>
      <c r="AX32" s="1164"/>
      <c r="AY32" s="1164"/>
      <c r="AZ32" s="1164"/>
      <c r="BA32" s="46"/>
      <c r="BB32" s="46"/>
      <c r="BC32" s="442"/>
      <c r="BD32" s="121"/>
      <c r="BE32" s="121"/>
      <c r="BF32" s="121"/>
      <c r="BG32" s="121"/>
      <c r="BH32" s="121"/>
    </row>
    <row r="33" spans="1:60" s="174" customFormat="1" ht="18.75" customHeight="1">
      <c r="A33" s="142"/>
      <c r="B33" s="142"/>
      <c r="C33" s="142"/>
      <c r="D33" s="142"/>
      <c r="E33" s="142"/>
      <c r="F33" s="142"/>
      <c r="G33" s="142"/>
      <c r="H33" s="142"/>
      <c r="I33" s="142"/>
      <c r="J33" s="142"/>
      <c r="K33" s="142"/>
      <c r="L33" s="391"/>
      <c r="M33" s="142"/>
      <c r="N33" s="142"/>
      <c r="O33" s="142"/>
      <c r="P33" s="142"/>
      <c r="Q33" s="142"/>
      <c r="S33" s="1162" t="s">
        <v>411</v>
      </c>
      <c r="T33" s="1162"/>
      <c r="U33" s="441"/>
      <c r="V33" s="1163" t="str">
        <f>IF(TITLE_NUMBER_PR_CHANGE="",IF(TITLE_NUMBER_PR="","",TITLE_NUMBER_PR),TITLE_NUMBER_PR_CHANGE)</f>
        <v>216-ПК</v>
      </c>
      <c r="W33" s="1163"/>
      <c r="X33" s="1163"/>
      <c r="Y33" s="1163"/>
      <c r="Z33" s="1163"/>
      <c r="AA33" s="1163"/>
      <c r="AB33" s="1163"/>
      <c r="AC33" s="46"/>
      <c r="AD33" s="1163" t="str">
        <f>IF(TITLE_NUMBER_PR_CHANGE="",IF(TITLE_NUMBER_PR="","",TITLE_NUMBER_PR),TITLE_NUMBER_PR_CHANGE)</f>
        <v>216-ПК</v>
      </c>
      <c r="AE33" s="1163"/>
      <c r="AF33" s="1163"/>
      <c r="AG33" s="1163"/>
      <c r="AH33" s="1163"/>
      <c r="AI33" s="1163"/>
      <c r="AJ33" s="1163"/>
      <c r="AK33" s="1163"/>
      <c r="AL33" s="1163"/>
      <c r="AM33" s="1163"/>
      <c r="AN33" s="1163"/>
      <c r="AO33" s="1163"/>
      <c r="AP33" s="1163"/>
      <c r="AQ33" s="1163"/>
      <c r="AR33" s="1163"/>
      <c r="AS33" s="1163"/>
      <c r="AT33" s="1163"/>
      <c r="AU33" s="1163"/>
      <c r="AV33" s="1163"/>
      <c r="AW33" s="1163"/>
      <c r="AX33" s="1163"/>
      <c r="AY33" s="1163"/>
      <c r="AZ33" s="1163"/>
      <c r="BA33" s="46"/>
      <c r="BB33" s="46"/>
      <c r="BC33" s="442"/>
      <c r="BD33" s="121"/>
      <c r="BE33" s="121"/>
      <c r="BF33" s="121"/>
      <c r="BG33" s="121"/>
      <c r="BH33" s="121"/>
    </row>
    <row r="34" spans="1:60" s="174" customFormat="1" ht="18.75" customHeight="1">
      <c r="A34" s="142"/>
      <c r="B34" s="142"/>
      <c r="C34" s="142"/>
      <c r="D34" s="142"/>
      <c r="E34" s="142"/>
      <c r="F34" s="142"/>
      <c r="G34" s="142"/>
      <c r="H34" s="142"/>
      <c r="I34" s="142"/>
      <c r="J34" s="142"/>
      <c r="K34" s="142"/>
      <c r="L34" s="391"/>
      <c r="M34" s="142"/>
      <c r="N34" s="142"/>
      <c r="O34" s="142"/>
      <c r="P34" s="142"/>
      <c r="Q34" s="142"/>
      <c r="S34" s="1162" t="s">
        <v>39</v>
      </c>
      <c r="T34" s="1162"/>
      <c r="U34" s="441"/>
      <c r="V34" s="1163" t="str">
        <f>IF(TITLE_IST_PUB_CHANGE="",IF(TITLE_IST_PUB="","",TITLE_IST_PUB),TITLE_IST_PUB_CHANGE)</f>
        <v>Региональная энергетическая комиссия Свердловской области</v>
      </c>
      <c r="W34" s="1163"/>
      <c r="X34" s="1163"/>
      <c r="Y34" s="1163"/>
      <c r="Z34" s="1163"/>
      <c r="AA34" s="1163"/>
      <c r="AB34" s="1163"/>
      <c r="AC34" s="46"/>
      <c r="AD34" s="1163" t="str">
        <f>IF(TITLE_IST_PUB_CHANGE="",IF(TITLE_IST_PUB="","",TITLE_IST_PUB),TITLE_IST_PUB_CHANGE)</f>
        <v>Региональная энергетическая комиссия Свердловской области</v>
      </c>
      <c r="AE34" s="1163"/>
      <c r="AF34" s="1163"/>
      <c r="AG34" s="1163"/>
      <c r="AH34" s="1163"/>
      <c r="AI34" s="1163"/>
      <c r="AJ34" s="1163"/>
      <c r="AK34" s="1163"/>
      <c r="AL34" s="1163"/>
      <c r="AM34" s="1163"/>
      <c r="AN34" s="1163"/>
      <c r="AO34" s="1163"/>
      <c r="AP34" s="1163"/>
      <c r="AQ34" s="1163"/>
      <c r="AR34" s="1163"/>
      <c r="AS34" s="1163"/>
      <c r="AT34" s="1163"/>
      <c r="AU34" s="1163"/>
      <c r="AV34" s="1163"/>
      <c r="AW34" s="1163"/>
      <c r="AX34" s="1163"/>
      <c r="AY34" s="1163"/>
      <c r="AZ34" s="1163"/>
      <c r="BA34" s="46"/>
      <c r="BB34" s="46"/>
      <c r="BC34" s="442"/>
      <c r="BD34" s="121"/>
      <c r="BE34" s="121"/>
      <c r="BF34" s="121"/>
      <c r="BG34" s="121"/>
      <c r="BH34" s="121"/>
    </row>
    <row r="35" spans="1:60" ht="14.25" hidden="1" customHeight="1">
      <c r="Q35" s="508"/>
      <c r="R35" s="437"/>
      <c r="S35" s="438"/>
      <c r="T35" s="83"/>
      <c r="U35" s="83"/>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39"/>
    </row>
    <row r="36" spans="1:60" s="174" customFormat="1" ht="18.75" hidden="1" customHeight="1">
      <c r="A36" s="142"/>
      <c r="B36" s="142"/>
      <c r="C36" s="142"/>
      <c r="D36" s="142"/>
      <c r="E36" s="142"/>
      <c r="F36" s="142"/>
      <c r="G36" s="142"/>
      <c r="H36" s="142"/>
      <c r="I36" s="142"/>
      <c r="J36" s="142"/>
      <c r="K36" s="142"/>
      <c r="L36" s="391"/>
      <c r="M36" s="142"/>
      <c r="N36" s="142"/>
      <c r="O36" s="142"/>
      <c r="P36" s="142"/>
      <c r="Q36" s="142"/>
      <c r="S36" s="1162" t="s">
        <v>410</v>
      </c>
      <c r="T36" s="1162"/>
      <c r="U36" s="441"/>
      <c r="V36" s="1164">
        <f>IF(TITLE_DATE_PR_CHANGE="",IF(TITLE_DATE_PR="","",TITLE_DATE_PR),TITLE_DATE_PR_CHANGE)</f>
        <v>45266.462974536997</v>
      </c>
      <c r="W36" s="1164"/>
      <c r="X36" s="1164"/>
      <c r="Y36" s="1164"/>
      <c r="Z36" s="1164"/>
      <c r="AA36" s="1164"/>
      <c r="AB36" s="1164"/>
      <c r="AC36" s="46"/>
      <c r="AD36" s="1164">
        <f>IF(TITLE_DATE_PR_CHANGE="",IF(TITLE_DATE_PR="","",TITLE_DATE_PR),TITLE_DATE_PR_CHANGE)</f>
        <v>45266.462974536997</v>
      </c>
      <c r="AE36" s="1164"/>
      <c r="AF36" s="1164"/>
      <c r="AG36" s="1164"/>
      <c r="AH36" s="1164"/>
      <c r="AI36" s="1164"/>
      <c r="AJ36" s="1164"/>
      <c r="AK36" s="1164"/>
      <c r="AL36" s="1164"/>
      <c r="AM36" s="1164"/>
      <c r="AN36" s="1164"/>
      <c r="AO36" s="1164"/>
      <c r="AP36" s="1164"/>
      <c r="AQ36" s="1164"/>
      <c r="AR36" s="1164"/>
      <c r="AS36" s="1164"/>
      <c r="AT36" s="1164"/>
      <c r="AU36" s="1164"/>
      <c r="AV36" s="1164"/>
      <c r="AW36" s="1164"/>
      <c r="AX36" s="1164"/>
      <c r="AY36" s="1164"/>
      <c r="AZ36" s="1164"/>
      <c r="BA36" s="46"/>
      <c r="BB36" s="46"/>
      <c r="BC36" s="442"/>
      <c r="BD36" s="121"/>
      <c r="BE36" s="121"/>
      <c r="BF36" s="121"/>
      <c r="BG36" s="121"/>
      <c r="BH36" s="121"/>
    </row>
    <row r="37" spans="1:60" s="174" customFormat="1" ht="18.75" hidden="1" customHeight="1">
      <c r="A37" s="142"/>
      <c r="B37" s="142"/>
      <c r="C37" s="142"/>
      <c r="D37" s="142"/>
      <c r="E37" s="142"/>
      <c r="F37" s="142"/>
      <c r="G37" s="142"/>
      <c r="H37" s="142"/>
      <c r="I37" s="142"/>
      <c r="J37" s="142"/>
      <c r="K37" s="142"/>
      <c r="L37" s="391"/>
      <c r="M37" s="142"/>
      <c r="N37" s="142"/>
      <c r="O37" s="142"/>
      <c r="P37" s="142"/>
      <c r="Q37" s="142"/>
      <c r="S37" s="1162" t="s">
        <v>411</v>
      </c>
      <c r="T37" s="1162"/>
      <c r="U37" s="441"/>
      <c r="V37" s="1163" t="str">
        <f>IF(TITLE_NUMBER_PR_CHANGE="",IF(TITLE_NUMBER_PR="","",TITLE_NUMBER_PR),TITLE_NUMBER_PR_CHANGE)</f>
        <v>216-ПК</v>
      </c>
      <c r="W37" s="1163"/>
      <c r="X37" s="1163"/>
      <c r="Y37" s="1163"/>
      <c r="Z37" s="1163"/>
      <c r="AA37" s="1163"/>
      <c r="AB37" s="1163"/>
      <c r="AC37" s="46"/>
      <c r="AD37" s="1163" t="str">
        <f>IF(TITLE_NUMBER_PR_CHANGE="",IF(TITLE_NUMBER_PR="","",TITLE_NUMBER_PR),TITLE_NUMBER_PR_CHANGE)</f>
        <v>216-ПК</v>
      </c>
      <c r="AE37" s="1163"/>
      <c r="AF37" s="1163"/>
      <c r="AG37" s="1163"/>
      <c r="AH37" s="1163"/>
      <c r="AI37" s="1163"/>
      <c r="AJ37" s="1163"/>
      <c r="AK37" s="1163"/>
      <c r="AL37" s="1163"/>
      <c r="AM37" s="1163"/>
      <c r="AN37" s="1163"/>
      <c r="AO37" s="1163"/>
      <c r="AP37" s="1163"/>
      <c r="AQ37" s="1163"/>
      <c r="AR37" s="1163"/>
      <c r="AS37" s="1163"/>
      <c r="AT37" s="1163"/>
      <c r="AU37" s="1163"/>
      <c r="AV37" s="1163"/>
      <c r="AW37" s="1163"/>
      <c r="AX37" s="1163"/>
      <c r="AY37" s="1163"/>
      <c r="AZ37" s="1163"/>
      <c r="BA37" s="46"/>
      <c r="BB37" s="46"/>
      <c r="BC37" s="442"/>
      <c r="BD37" s="121"/>
      <c r="BE37" s="121"/>
      <c r="BF37" s="121"/>
      <c r="BG37" s="121"/>
      <c r="BH37" s="121"/>
    </row>
    <row r="38" spans="1:60" s="174" customFormat="1" ht="11.25">
      <c r="A38" s="142"/>
      <c r="B38" s="142"/>
      <c r="C38" s="142"/>
      <c r="D38" s="142"/>
      <c r="E38" s="142"/>
      <c r="F38" s="142"/>
      <c r="G38" s="142"/>
      <c r="H38" s="142"/>
      <c r="I38" s="142"/>
      <c r="J38" s="142"/>
      <c r="K38" s="142"/>
      <c r="L38" s="391"/>
      <c r="M38" s="142"/>
      <c r="N38" s="142"/>
      <c r="O38" s="142"/>
      <c r="P38" s="142"/>
      <c r="Q38" s="142"/>
      <c r="S38" s="46"/>
      <c r="T38" s="46"/>
      <c r="U38" s="131"/>
      <c r="V38" s="46"/>
      <c r="W38" s="46"/>
      <c r="X38" s="46"/>
      <c r="Y38" s="46"/>
      <c r="Z38" s="46"/>
      <c r="AA38" s="46"/>
      <c r="AB38" s="46"/>
      <c r="AC38" s="53" t="s">
        <v>414</v>
      </c>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53" t="s">
        <v>414</v>
      </c>
      <c r="BD38" s="121"/>
      <c r="BE38" s="121"/>
      <c r="BF38" s="121"/>
      <c r="BG38" s="121"/>
      <c r="BH38" s="121"/>
    </row>
    <row r="39" spans="1:60" ht="14.25" customHeight="1">
      <c r="Q39" s="508"/>
      <c r="R39" s="437"/>
      <c r="S39" s="438"/>
      <c r="T39" s="83"/>
      <c r="U39" s="443"/>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row>
    <row r="40" spans="1:60" ht="14.25" customHeight="1">
      <c r="Q40" s="508"/>
      <c r="R40" s="437"/>
      <c r="S40" s="1087" t="s">
        <v>287</v>
      </c>
      <c r="T40" s="1087"/>
      <c r="U40" s="1087"/>
      <c r="V40" s="1087"/>
      <c r="W40" s="1087"/>
      <c r="X40" s="1087"/>
      <c r="Y40" s="1087"/>
      <c r="Z40" s="1087"/>
      <c r="AA40" s="1087"/>
      <c r="AB40" s="1087"/>
      <c r="AC40" s="1087"/>
      <c r="AD40" s="1087"/>
      <c r="AE40" s="1087"/>
      <c r="AF40" s="1087"/>
      <c r="AG40" s="1087"/>
      <c r="AH40" s="1087"/>
      <c r="AI40" s="1087"/>
      <c r="AJ40" s="1087"/>
      <c r="AK40" s="1087"/>
      <c r="AL40" s="1087"/>
      <c r="AM40" s="1087"/>
      <c r="AN40" s="1087"/>
      <c r="AO40" s="1087"/>
      <c r="AP40" s="1087"/>
      <c r="AQ40" s="1087"/>
      <c r="AR40" s="1087"/>
      <c r="AS40" s="1087"/>
      <c r="AT40" s="1087"/>
      <c r="AU40" s="1087"/>
      <c r="AV40" s="1087"/>
      <c r="AW40" s="1087"/>
      <c r="AX40" s="1087"/>
      <c r="AY40" s="1087"/>
      <c r="AZ40" s="1087"/>
      <c r="BA40" s="1087"/>
      <c r="BB40" s="1087"/>
      <c r="BC40" s="1087" t="s">
        <v>288</v>
      </c>
    </row>
    <row r="41" spans="1:60" ht="14.25" customHeight="1">
      <c r="Q41" s="508"/>
      <c r="R41" s="437"/>
      <c r="S41" s="1166" t="s">
        <v>84</v>
      </c>
      <c r="T41" s="1167" t="s">
        <v>491</v>
      </c>
      <c r="U41" s="444"/>
      <c r="V41" s="1140" t="s">
        <v>416</v>
      </c>
      <c r="W41" s="1140"/>
      <c r="X41" s="1140"/>
      <c r="Y41" s="1140"/>
      <c r="Z41" s="1140"/>
      <c r="AA41" s="1140"/>
      <c r="AB41" s="1140"/>
      <c r="AC41" s="1167" t="s">
        <v>417</v>
      </c>
      <c r="AD41" s="1140" t="s">
        <v>492</v>
      </c>
      <c r="AE41" s="1140"/>
      <c r="AF41" s="1140"/>
      <c r="AG41" s="1140"/>
      <c r="AH41" s="1140" t="s">
        <v>493</v>
      </c>
      <c r="AI41" s="1140"/>
      <c r="AJ41" s="1140"/>
      <c r="AK41" s="1140"/>
      <c r="AL41" s="1140" t="s">
        <v>494</v>
      </c>
      <c r="AM41" s="1140"/>
      <c r="AN41" s="1140"/>
      <c r="AO41" s="1140"/>
      <c r="AP41" s="1140" t="s">
        <v>495</v>
      </c>
      <c r="AQ41" s="1140"/>
      <c r="AR41" s="1140"/>
      <c r="AS41" s="1140"/>
      <c r="AT41" s="1140" t="s">
        <v>416</v>
      </c>
      <c r="AU41" s="1140"/>
      <c r="AV41" s="1140"/>
      <c r="AW41" s="1140"/>
      <c r="AX41" s="1140"/>
      <c r="AY41" s="1140"/>
      <c r="AZ41" s="1140"/>
      <c r="BA41" s="1167" t="s">
        <v>417</v>
      </c>
      <c r="BB41" s="1168" t="s">
        <v>419</v>
      </c>
      <c r="BC41" s="1087"/>
    </row>
    <row r="42" spans="1:60" ht="33.75" customHeight="1">
      <c r="Q42" s="508"/>
      <c r="R42" s="437"/>
      <c r="S42" s="1166"/>
      <c r="T42" s="1167"/>
      <c r="U42" s="445"/>
      <c r="V42" s="1169" t="s">
        <v>496</v>
      </c>
      <c r="W42" s="1169"/>
      <c r="X42" s="1169" t="s">
        <v>497</v>
      </c>
      <c r="Y42" s="1169"/>
      <c r="Z42" s="1087" t="s">
        <v>498</v>
      </c>
      <c r="AA42" s="1087"/>
      <c r="AB42" s="1087"/>
      <c r="AC42" s="1167"/>
      <c r="AD42" s="1140"/>
      <c r="AE42" s="1140"/>
      <c r="AF42" s="1140"/>
      <c r="AG42" s="1140"/>
      <c r="AH42" s="1140"/>
      <c r="AI42" s="1140"/>
      <c r="AJ42" s="1140"/>
      <c r="AK42" s="1140"/>
      <c r="AL42" s="1140"/>
      <c r="AM42" s="1140"/>
      <c r="AN42" s="1140"/>
      <c r="AO42" s="1140"/>
      <c r="AP42" s="1140"/>
      <c r="AQ42" s="1140"/>
      <c r="AR42" s="1140"/>
      <c r="AS42" s="1140"/>
      <c r="AT42" s="1169" t="s">
        <v>496</v>
      </c>
      <c r="AU42" s="1169"/>
      <c r="AV42" s="1169" t="s">
        <v>497</v>
      </c>
      <c r="AW42" s="1169"/>
      <c r="AX42" s="1087" t="s">
        <v>498</v>
      </c>
      <c r="AY42" s="1087"/>
      <c r="AZ42" s="1087"/>
      <c r="BA42" s="1167"/>
      <c r="BB42" s="1168"/>
      <c r="BC42" s="1087"/>
    </row>
    <row r="43" spans="1:60" ht="14.25" customHeight="1">
      <c r="Q43" s="508"/>
      <c r="R43" s="437"/>
      <c r="S43" s="1166"/>
      <c r="T43" s="1167"/>
      <c r="U43" s="445"/>
      <c r="V43" s="1169"/>
      <c r="W43" s="1169"/>
      <c r="X43" s="1169"/>
      <c r="Y43" s="1169"/>
      <c r="Z43" s="1087"/>
      <c r="AA43" s="1087"/>
      <c r="AB43" s="1087"/>
      <c r="AC43" s="1167"/>
      <c r="AD43" s="1140"/>
      <c r="AE43" s="1140"/>
      <c r="AF43" s="1140"/>
      <c r="AG43" s="1140"/>
      <c r="AH43" s="1140"/>
      <c r="AI43" s="1140"/>
      <c r="AJ43" s="1140"/>
      <c r="AK43" s="1140"/>
      <c r="AL43" s="1140"/>
      <c r="AM43" s="1140"/>
      <c r="AN43" s="1140"/>
      <c r="AO43" s="1140"/>
      <c r="AP43" s="1140"/>
      <c r="AQ43" s="1140"/>
      <c r="AR43" s="1140"/>
      <c r="AS43" s="1140"/>
      <c r="AT43" s="1169"/>
      <c r="AU43" s="1169"/>
      <c r="AV43" s="1169"/>
      <c r="AW43" s="1169"/>
      <c r="AX43" s="1087"/>
      <c r="AY43" s="1087"/>
      <c r="AZ43" s="1087"/>
      <c r="BA43" s="1167"/>
      <c r="BB43" s="1168"/>
      <c r="BC43" s="1087"/>
    </row>
    <row r="44" spans="1:60" ht="14.25" customHeight="1">
      <c r="A44" s="142"/>
      <c r="B44" s="142" t="s">
        <v>131</v>
      </c>
      <c r="C44" s="142" t="s">
        <v>132</v>
      </c>
      <c r="D44" s="142" t="s">
        <v>133</v>
      </c>
      <c r="E44" s="391" t="s">
        <v>424</v>
      </c>
      <c r="F44" s="391" t="s">
        <v>425</v>
      </c>
      <c r="G44" s="391" t="s">
        <v>426</v>
      </c>
      <c r="H44" s="391" t="s">
        <v>427</v>
      </c>
      <c r="I44" s="391" t="s">
        <v>428</v>
      </c>
      <c r="J44" s="391" t="s">
        <v>429</v>
      </c>
      <c r="K44" s="391" t="s">
        <v>430</v>
      </c>
      <c r="L44" s="391" t="s">
        <v>405</v>
      </c>
      <c r="Q44" s="508"/>
      <c r="R44" s="437"/>
      <c r="S44" s="1166"/>
      <c r="T44" s="1167"/>
      <c r="U44" s="446"/>
      <c r="V44" s="368" t="s">
        <v>464</v>
      </c>
      <c r="W44" s="368" t="s">
        <v>465</v>
      </c>
      <c r="X44" s="368" t="s">
        <v>464</v>
      </c>
      <c r="Y44" s="368" t="s">
        <v>465</v>
      </c>
      <c r="Z44" s="203" t="s">
        <v>433</v>
      </c>
      <c r="AA44" s="1108" t="s">
        <v>434</v>
      </c>
      <c r="AB44" s="1108"/>
      <c r="AC44" s="1167"/>
      <c r="AD44" s="1140"/>
      <c r="AE44" s="1140"/>
      <c r="AF44" s="1140"/>
      <c r="AG44" s="1140"/>
      <c r="AH44" s="1140"/>
      <c r="AI44" s="1140"/>
      <c r="AJ44" s="1140"/>
      <c r="AK44" s="1140"/>
      <c r="AL44" s="1140"/>
      <c r="AM44" s="1140"/>
      <c r="AN44" s="1140"/>
      <c r="AO44" s="1140"/>
      <c r="AP44" s="1140"/>
      <c r="AQ44" s="1140"/>
      <c r="AR44" s="1140"/>
      <c r="AS44" s="1140"/>
      <c r="AT44" s="368" t="s">
        <v>464</v>
      </c>
      <c r="AU44" s="368" t="s">
        <v>465</v>
      </c>
      <c r="AV44" s="368" t="s">
        <v>464</v>
      </c>
      <c r="AW44" s="368" t="s">
        <v>465</v>
      </c>
      <c r="AX44" s="203" t="s">
        <v>433</v>
      </c>
      <c r="AY44" s="1108" t="s">
        <v>434</v>
      </c>
      <c r="AZ44" s="1108"/>
      <c r="BA44" s="1167"/>
      <c r="BB44" s="1168"/>
      <c r="BC44" s="1087"/>
    </row>
    <row r="45" spans="1:60" s="123" customFormat="1" ht="11.25">
      <c r="A45" s="142"/>
      <c r="B45" s="142"/>
      <c r="C45" s="142"/>
      <c r="D45" s="142"/>
      <c r="E45" s="142"/>
      <c r="F45" s="142"/>
      <c r="G45" s="142"/>
      <c r="H45" s="142"/>
      <c r="I45" s="142"/>
      <c r="J45" s="142"/>
      <c r="K45" s="142"/>
      <c r="L45" s="391"/>
      <c r="M45" s="57"/>
      <c r="N45" s="57"/>
      <c r="O45" s="57"/>
      <c r="P45" s="466"/>
      <c r="Q45" s="449"/>
      <c r="R45" s="449">
        <v>1</v>
      </c>
      <c r="S45" s="450" t="s">
        <v>105</v>
      </c>
      <c r="T45" s="451" t="s">
        <v>106</v>
      </c>
      <c r="U45" s="452" t="str">
        <f ca="1">OFFSET(U45,0,-1)</f>
        <v>2</v>
      </c>
      <c r="V45" s="453">
        <f t="shared" ref="V45:AA45" ca="1" si="2">OFFSET(V45,0,-1)+1</f>
        <v>3</v>
      </c>
      <c r="W45" s="453">
        <f t="shared" ca="1" si="2"/>
        <v>4</v>
      </c>
      <c r="X45" s="453">
        <f t="shared" ca="1" si="2"/>
        <v>5</v>
      </c>
      <c r="Y45" s="453">
        <f t="shared" ca="1" si="2"/>
        <v>6</v>
      </c>
      <c r="Z45" s="453">
        <f t="shared" ca="1" si="2"/>
        <v>7</v>
      </c>
      <c r="AA45" s="1170">
        <f t="shared" ca="1" si="2"/>
        <v>8</v>
      </c>
      <c r="AB45" s="1170"/>
      <c r="AC45" s="453">
        <f ca="1">OFFSET(AC45,0,-2)+1</f>
        <v>9</v>
      </c>
      <c r="AD45" s="453">
        <f ca="1">OFFSET(AD45,0,-1)+1</f>
        <v>10</v>
      </c>
      <c r="AE45" s="453"/>
      <c r="AF45" s="453"/>
      <c r="AG45" s="453"/>
      <c r="AH45" s="453"/>
      <c r="AI45" s="453"/>
      <c r="AJ45" s="453"/>
      <c r="AK45" s="453"/>
      <c r="AL45" s="453"/>
      <c r="AM45" s="453"/>
      <c r="AN45" s="453"/>
      <c r="AO45" s="453"/>
      <c r="AP45" s="453"/>
      <c r="AQ45" s="453"/>
      <c r="AR45" s="453"/>
      <c r="AS45" s="453"/>
      <c r="AT45" s="453"/>
      <c r="AU45" s="453"/>
      <c r="AV45" s="453"/>
      <c r="AW45" s="453">
        <f ca="1">OFFSET(AW45,0,-1)+1</f>
        <v>1</v>
      </c>
      <c r="AX45" s="453">
        <f ca="1">OFFSET(AX45,0,-1)+1</f>
        <v>2</v>
      </c>
      <c r="AY45" s="1170">
        <f ca="1">OFFSET(AY45,0,-1)+1</f>
        <v>3</v>
      </c>
      <c r="AZ45" s="1170"/>
      <c r="BA45" s="453">
        <f ca="1">OFFSET(BA45,0,-2)+1</f>
        <v>4</v>
      </c>
      <c r="BB45" s="452">
        <f ca="1">OFFSET(BB45,0,-1)</f>
        <v>4</v>
      </c>
      <c r="BC45" s="453">
        <f ca="1">OFFSET(BC45,0,-1)+1</f>
        <v>5</v>
      </c>
      <c r="BD45" s="53"/>
      <c r="BE45" s="53"/>
      <c r="BF45" s="53"/>
      <c r="BG45" s="53"/>
      <c r="BH45" s="53"/>
    </row>
    <row r="46" spans="1:60" ht="21" customHeight="1">
      <c r="A46" s="390" t="s">
        <v>243</v>
      </c>
      <c r="B46" s="390"/>
      <c r="C46" s="390"/>
      <c r="D46" s="390"/>
      <c r="E46" s="1153">
        <v>1</v>
      </c>
      <c r="F46" s="390"/>
      <c r="G46" s="390"/>
      <c r="H46" s="390"/>
      <c r="I46" s="390"/>
      <c r="J46" s="390"/>
      <c r="K46" s="390"/>
      <c r="L46" s="391"/>
      <c r="M46" s="392"/>
      <c r="N46" s="392"/>
      <c r="O46" s="392"/>
      <c r="Q46" s="60"/>
      <c r="R46" s="393"/>
      <c r="S46" s="394">
        <f>INDEX(PT_DIFFERENTIATION_NUM_NTAR,MATCH(A46,PT_DIFFERENTIATION_NTAR_ID,0))</f>
        <v>0</v>
      </c>
      <c r="T46" s="395" t="s">
        <v>119</v>
      </c>
      <c r="U46" s="396"/>
      <c r="V46" s="1177"/>
      <c r="W46" s="1177"/>
      <c r="X46" s="1177"/>
      <c r="Y46" s="1177"/>
      <c r="Z46" s="1177"/>
      <c r="AA46" s="1177"/>
      <c r="AB46" s="1177"/>
      <c r="AC46" s="1177"/>
      <c r="AD46" s="1154" t="str">
        <f>INDEX(PT_DIFFERENTIATION_NTAR,MATCH(A46,PT_DIFFERENTIATION_NTAR_ID,0))</f>
        <v/>
      </c>
      <c r="AE46" s="1154"/>
      <c r="AF46" s="1154"/>
      <c r="AG46" s="1154"/>
      <c r="AH46" s="1154"/>
      <c r="AI46" s="1154"/>
      <c r="AJ46" s="1154"/>
      <c r="AK46" s="1154"/>
      <c r="AL46" s="1154"/>
      <c r="AM46" s="1154"/>
      <c r="AN46" s="1154"/>
      <c r="AO46" s="1154"/>
      <c r="AP46" s="1154"/>
      <c r="AQ46" s="1154"/>
      <c r="AR46" s="1154"/>
      <c r="AS46" s="1154"/>
      <c r="AT46" s="1154"/>
      <c r="AU46" s="1154"/>
      <c r="AV46" s="1154"/>
      <c r="AW46" s="1154"/>
      <c r="AX46" s="1154"/>
      <c r="AY46" s="1154"/>
      <c r="AZ46" s="1154"/>
      <c r="BA46" s="1154"/>
      <c r="BB46" s="1154"/>
      <c r="BC46" s="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1"/>
      <c r="BF46" s="121" t="str">
        <f t="shared" ref="BF46:BF52" si="3">IF(T46="","",T46)</f>
        <v>Наименование тарифа</v>
      </c>
      <c r="BG46" s="121"/>
      <c r="BH46" s="121"/>
    </row>
    <row r="47" spans="1:60" ht="21" customHeight="1">
      <c r="A47" s="390" t="s">
        <v>243</v>
      </c>
      <c r="B47" s="390" t="s">
        <v>244</v>
      </c>
      <c r="C47" s="390"/>
      <c r="D47" s="390"/>
      <c r="E47" s="1153"/>
      <c r="F47" s="1153">
        <v>1</v>
      </c>
      <c r="G47" s="390"/>
      <c r="H47" s="390"/>
      <c r="I47" s="390"/>
      <c r="J47" s="390"/>
      <c r="K47" s="390"/>
      <c r="L47" s="391"/>
      <c r="M47" s="392"/>
      <c r="N47" s="392"/>
      <c r="O47" s="392"/>
      <c r="P47" s="107"/>
      <c r="Q47" s="485"/>
      <c r="R47" s="399"/>
      <c r="S47" s="394" t="str">
        <f>INDEX(PT_DIFFERENTIATION_NUM_TER,MATCH(B47,PT_DIFFERENTIATION_TER_ID,0))</f>
        <v>.</v>
      </c>
      <c r="T47" s="400" t="s">
        <v>386</v>
      </c>
      <c r="U47" s="396"/>
      <c r="V47" s="1177"/>
      <c r="W47" s="1177"/>
      <c r="X47" s="1177"/>
      <c r="Y47" s="1177"/>
      <c r="Z47" s="1177"/>
      <c r="AA47" s="1177"/>
      <c r="AB47" s="1177"/>
      <c r="AC47" s="1177"/>
      <c r="AD47" s="1154" t="str">
        <f>INDEX(PT_DIFFERENTIATION_TER,MATCH(B47,PT_DIFFERENTIATION_TER_ID,0))</f>
        <v/>
      </c>
      <c r="AE47" s="1154"/>
      <c r="AF47" s="1154"/>
      <c r="AG47" s="1154"/>
      <c r="AH47" s="1154"/>
      <c r="AI47" s="1154"/>
      <c r="AJ47" s="1154"/>
      <c r="AK47" s="1154"/>
      <c r="AL47" s="1154"/>
      <c r="AM47" s="1154"/>
      <c r="AN47" s="1154"/>
      <c r="AO47" s="1154"/>
      <c r="AP47" s="1154"/>
      <c r="AQ47" s="1154"/>
      <c r="AR47" s="1154"/>
      <c r="AS47" s="1154"/>
      <c r="AT47" s="1154"/>
      <c r="AU47" s="1154"/>
      <c r="AV47" s="1154"/>
      <c r="AW47" s="1154"/>
      <c r="AX47" s="1154"/>
      <c r="AY47" s="1154"/>
      <c r="AZ47" s="1154"/>
      <c r="BA47" s="1154"/>
      <c r="BB47" s="1154"/>
      <c r="BC47" s="397" t="s">
        <v>387</v>
      </c>
      <c r="BE47" s="121"/>
      <c r="BF47" s="121" t="str">
        <f t="shared" si="3"/>
        <v>Территория действия тарифа</v>
      </c>
      <c r="BG47" s="121"/>
      <c r="BH47" s="121"/>
    </row>
    <row r="48" spans="1:60" ht="33.75" customHeight="1">
      <c r="A48" s="390" t="s">
        <v>243</v>
      </c>
      <c r="B48" s="390" t="s">
        <v>244</v>
      </c>
      <c r="C48" s="390" t="s">
        <v>245</v>
      </c>
      <c r="D48" s="390"/>
      <c r="E48" s="1153"/>
      <c r="F48" s="1153"/>
      <c r="G48" s="1153">
        <v>1</v>
      </c>
      <c r="H48" s="390"/>
      <c r="I48" s="390"/>
      <c r="J48" s="390"/>
      <c r="K48" s="390"/>
      <c r="L48" s="391"/>
      <c r="M48" s="392"/>
      <c r="N48" s="392"/>
      <c r="O48" s="392"/>
      <c r="P48" s="130"/>
      <c r="Q48" s="485"/>
      <c r="R48" s="399"/>
      <c r="S48" s="394" t="str">
        <f>INDEX(PT_DIFFERENTIATION_NUM_CS,MATCH(C48,PT_DIFFERENTIATION_CS_ID,0))</f>
        <v>..</v>
      </c>
      <c r="T48" s="402" t="s">
        <v>516</v>
      </c>
      <c r="U48" s="396"/>
      <c r="V48" s="1177"/>
      <c r="W48" s="1177"/>
      <c r="X48" s="1177"/>
      <c r="Y48" s="1177"/>
      <c r="Z48" s="1177"/>
      <c r="AA48" s="1177"/>
      <c r="AB48" s="1177"/>
      <c r="AC48" s="1177"/>
      <c r="AD48" s="1154" t="str">
        <f>INDEX(PT_DIFFERENTIATION_CS,MATCH(C48,PT_DIFFERENTIATION_CS_ID,0))</f>
        <v/>
      </c>
      <c r="AE48" s="1154"/>
      <c r="AF48" s="1154"/>
      <c r="AG48" s="1154"/>
      <c r="AH48" s="1154"/>
      <c r="AI48" s="1154"/>
      <c r="AJ48" s="1154"/>
      <c r="AK48" s="1154"/>
      <c r="AL48" s="1154"/>
      <c r="AM48" s="1154"/>
      <c r="AN48" s="1154"/>
      <c r="AO48" s="1154"/>
      <c r="AP48" s="1154"/>
      <c r="AQ48" s="1154"/>
      <c r="AR48" s="1154"/>
      <c r="AS48" s="1154"/>
      <c r="AT48" s="1154"/>
      <c r="AU48" s="1154"/>
      <c r="AV48" s="1154"/>
      <c r="AW48" s="1154"/>
      <c r="AX48" s="1154"/>
      <c r="AY48" s="1154"/>
      <c r="AZ48" s="1154"/>
      <c r="BA48" s="1154"/>
      <c r="BB48" s="1154"/>
      <c r="BC48" s="397" t="s">
        <v>517</v>
      </c>
      <c r="BE48" s="121"/>
      <c r="BF48" s="121" t="str">
        <f t="shared" si="3"/>
        <v>Наименование централизованной системы горячего водоснабжения</v>
      </c>
      <c r="BG48" s="121"/>
      <c r="BH48" s="121"/>
    </row>
    <row r="49" spans="1:60" s="53" customFormat="1" ht="10.5">
      <c r="A49" s="125" t="s">
        <v>243</v>
      </c>
      <c r="B49" s="125" t="s">
        <v>244</v>
      </c>
      <c r="C49" s="125" t="s">
        <v>245</v>
      </c>
      <c r="D49" s="125" t="s">
        <v>524</v>
      </c>
      <c r="E49" s="1153"/>
      <c r="F49" s="1153"/>
      <c r="G49" s="1153"/>
      <c r="H49" s="1153">
        <v>1</v>
      </c>
      <c r="I49" s="125"/>
      <c r="J49" s="125"/>
      <c r="K49" s="125"/>
      <c r="L49" s="184"/>
      <c r="M49" s="375"/>
      <c r="N49" s="375"/>
      <c r="O49" s="375"/>
      <c r="P49" s="524"/>
      <c r="Q49" s="525"/>
      <c r="R49" s="408"/>
      <c r="S49" s="280"/>
      <c r="T49" s="526"/>
      <c r="U49" s="460"/>
      <c r="V49" s="1178"/>
      <c r="W49" s="1178"/>
      <c r="X49" s="1178"/>
      <c r="Y49" s="1178"/>
      <c r="Z49" s="1178"/>
      <c r="AA49" s="1178"/>
      <c r="AB49" s="1178"/>
      <c r="AC49" s="1178"/>
      <c r="AD49" s="1175"/>
      <c r="AE49" s="1175"/>
      <c r="AF49" s="1175"/>
      <c r="AG49" s="1175"/>
      <c r="AH49" s="1175"/>
      <c r="AI49" s="1175"/>
      <c r="AJ49" s="1175"/>
      <c r="AK49" s="1175"/>
      <c r="AL49" s="1175"/>
      <c r="AM49" s="1175"/>
      <c r="AN49" s="1175"/>
      <c r="AO49" s="1175"/>
      <c r="AP49" s="1175"/>
      <c r="AQ49" s="1175"/>
      <c r="AR49" s="1175"/>
      <c r="AS49" s="1175"/>
      <c r="AT49" s="1175"/>
      <c r="AU49" s="1175"/>
      <c r="AV49" s="1175"/>
      <c r="AW49" s="1175"/>
      <c r="AX49" s="1175"/>
      <c r="AY49" s="1175"/>
      <c r="AZ49" s="1175"/>
      <c r="BA49" s="1175"/>
      <c r="BB49" s="1175"/>
      <c r="BC49" s="461" t="s">
        <v>391</v>
      </c>
      <c r="BE49" s="121"/>
      <c r="BF49" s="121" t="str">
        <f t="shared" si="3"/>
        <v/>
      </c>
      <c r="BG49" s="121"/>
      <c r="BH49" s="121"/>
    </row>
    <row r="50" spans="1:60" s="53" customFormat="1" ht="5.25">
      <c r="A50" s="125" t="s">
        <v>243</v>
      </c>
      <c r="B50" s="125" t="s">
        <v>244</v>
      </c>
      <c r="C50" s="125" t="s">
        <v>245</v>
      </c>
      <c r="D50" s="125" t="s">
        <v>524</v>
      </c>
      <c r="E50" s="1153"/>
      <c r="F50" s="1153"/>
      <c r="G50" s="1153"/>
      <c r="H50" s="1153"/>
      <c r="I50" s="1155" t="str">
        <f>S49&amp;".1"</f>
        <v>.1</v>
      </c>
      <c r="J50" s="125"/>
      <c r="K50" s="125"/>
      <c r="L50" s="184" t="s">
        <v>392</v>
      </c>
      <c r="M50" s="466"/>
      <c r="N50" s="466"/>
      <c r="O50" s="466"/>
      <c r="P50" s="1156">
        <v>1</v>
      </c>
      <c r="Q50" s="124"/>
      <c r="R50" s="405"/>
      <c r="S50" s="280"/>
      <c r="T50" s="459"/>
      <c r="U50" s="460"/>
      <c r="V50" s="1178"/>
      <c r="W50" s="1178"/>
      <c r="X50" s="1178"/>
      <c r="Y50" s="1178"/>
      <c r="Z50" s="1178"/>
      <c r="AA50" s="1178"/>
      <c r="AB50" s="1178"/>
      <c r="AC50" s="1178"/>
      <c r="AD50" s="1175"/>
      <c r="AE50" s="1175"/>
      <c r="AF50" s="1175"/>
      <c r="AG50" s="1175"/>
      <c r="AH50" s="1175"/>
      <c r="AI50" s="1175"/>
      <c r="AJ50" s="1175"/>
      <c r="AK50" s="1175"/>
      <c r="AL50" s="1175"/>
      <c r="AM50" s="1175"/>
      <c r="AN50" s="1175"/>
      <c r="AO50" s="1175"/>
      <c r="AP50" s="1175"/>
      <c r="AQ50" s="1175"/>
      <c r="AR50" s="1175"/>
      <c r="AS50" s="1175"/>
      <c r="AT50" s="1175"/>
      <c r="AU50" s="1175"/>
      <c r="AV50" s="1175"/>
      <c r="AW50" s="1175"/>
      <c r="AX50" s="1175"/>
      <c r="AY50" s="1175"/>
      <c r="AZ50" s="1175"/>
      <c r="BA50" s="1175"/>
      <c r="BB50" s="1175"/>
      <c r="BC50" s="461"/>
      <c r="BE50" s="121"/>
      <c r="BF50" s="121" t="str">
        <f t="shared" si="3"/>
        <v/>
      </c>
      <c r="BG50" s="121"/>
      <c r="BH50" s="121"/>
    </row>
    <row r="51" spans="1:60" s="53" customFormat="1" ht="5.25">
      <c r="A51" s="125" t="s">
        <v>243</v>
      </c>
      <c r="B51" s="125" t="s">
        <v>244</v>
      </c>
      <c r="C51" s="125" t="s">
        <v>245</v>
      </c>
      <c r="D51" s="125" t="s">
        <v>524</v>
      </c>
      <c r="E51" s="1153"/>
      <c r="F51" s="1153"/>
      <c r="G51" s="1153"/>
      <c r="H51" s="1153"/>
      <c r="I51" s="1155"/>
      <c r="J51" s="1155" t="str">
        <f>S49&amp;".1"</f>
        <v>.1</v>
      </c>
      <c r="K51" s="125"/>
      <c r="L51" s="184"/>
      <c r="M51" s="466"/>
      <c r="N51" s="466"/>
      <c r="O51" s="466"/>
      <c r="P51" s="1156"/>
      <c r="Q51" s="1156">
        <v>1</v>
      </c>
      <c r="R51" s="408"/>
      <c r="S51" s="280"/>
      <c r="T51" s="486"/>
      <c r="U51" s="460"/>
      <c r="V51" s="1178"/>
      <c r="W51" s="1178"/>
      <c r="X51" s="1178"/>
      <c r="Y51" s="1178"/>
      <c r="Z51" s="1178"/>
      <c r="AA51" s="1178"/>
      <c r="AB51" s="1178"/>
      <c r="AC51" s="1178"/>
      <c r="AD51" s="1175"/>
      <c r="AE51" s="1175"/>
      <c r="AF51" s="1175"/>
      <c r="AG51" s="1175"/>
      <c r="AH51" s="1175"/>
      <c r="AI51" s="1175"/>
      <c r="AJ51" s="1175"/>
      <c r="AK51" s="1175"/>
      <c r="AL51" s="1175"/>
      <c r="AM51" s="1175"/>
      <c r="AN51" s="1175"/>
      <c r="AO51" s="1175"/>
      <c r="AP51" s="1175"/>
      <c r="AQ51" s="1175"/>
      <c r="AR51" s="1175"/>
      <c r="AS51" s="1175"/>
      <c r="AT51" s="1175"/>
      <c r="AU51" s="1175"/>
      <c r="AV51" s="1175"/>
      <c r="AW51" s="1175"/>
      <c r="AX51" s="1175"/>
      <c r="AY51" s="1175"/>
      <c r="AZ51" s="1175"/>
      <c r="BA51" s="1175"/>
      <c r="BB51" s="1175"/>
      <c r="BC51" s="461"/>
      <c r="BE51" s="121"/>
      <c r="BF51" s="121" t="str">
        <f t="shared" si="3"/>
        <v/>
      </c>
      <c r="BG51" s="121"/>
      <c r="BH51" s="121"/>
    </row>
    <row r="52" spans="1:60" ht="11.25" customHeight="1">
      <c r="A52" s="390" t="s">
        <v>243</v>
      </c>
      <c r="B52" s="390" t="s">
        <v>244</v>
      </c>
      <c r="C52" s="390" t="s">
        <v>245</v>
      </c>
      <c r="D52" s="390" t="s">
        <v>524</v>
      </c>
      <c r="E52" s="1153"/>
      <c r="F52" s="1153"/>
      <c r="G52" s="1153"/>
      <c r="H52" s="1153"/>
      <c r="I52" s="1155"/>
      <c r="J52" s="1155"/>
      <c r="K52" s="1155" t="str">
        <f>S48&amp;".1"</f>
        <v>...1</v>
      </c>
      <c r="L52" s="391"/>
      <c r="P52" s="1156"/>
      <c r="Q52" s="1156"/>
      <c r="R52" s="408">
        <v>1</v>
      </c>
      <c r="S52" s="1166" t="str">
        <f>$K52</f>
        <v>...1</v>
      </c>
      <c r="T52" s="1192"/>
      <c r="U52" s="396"/>
      <c r="V52" s="411"/>
      <c r="W52" s="413"/>
      <c r="X52" s="411"/>
      <c r="Y52" s="413"/>
      <c r="Z52" s="414"/>
      <c r="AA52" s="191" t="s">
        <v>63</v>
      </c>
      <c r="AB52" s="414"/>
      <c r="AC52" s="191" t="s">
        <v>63</v>
      </c>
      <c r="AD52" s="1105" t="s">
        <v>63</v>
      </c>
      <c r="AE52" s="1181"/>
      <c r="AF52" s="1182">
        <v>1</v>
      </c>
      <c r="AG52" s="1193"/>
      <c r="AH52" s="1105" t="s">
        <v>63</v>
      </c>
      <c r="AI52" s="1181"/>
      <c r="AJ52" s="1182">
        <v>1</v>
      </c>
      <c r="AK52" s="1194"/>
      <c r="AL52" s="1105" t="s">
        <v>63</v>
      </c>
      <c r="AM52" s="1173"/>
      <c r="AN52" s="1182">
        <v>1</v>
      </c>
      <c r="AO52" s="1195"/>
      <c r="AP52" s="1196" t="s">
        <v>63</v>
      </c>
      <c r="AQ52" s="487"/>
      <c r="AR52" s="276">
        <v>1</v>
      </c>
      <c r="AS52" s="87"/>
      <c r="AT52" s="411"/>
      <c r="AU52" s="413"/>
      <c r="AV52" s="411"/>
      <c r="AW52" s="413"/>
      <c r="AX52" s="414"/>
      <c r="AY52" s="191" t="s">
        <v>63</v>
      </c>
      <c r="AZ52" s="414"/>
      <c r="BA52" s="191" t="s">
        <v>63</v>
      </c>
      <c r="BB52" s="454"/>
      <c r="BC52" s="1159" t="s">
        <v>485</v>
      </c>
      <c r="BE52" s="121"/>
      <c r="BF52" s="121" t="str">
        <f t="shared" si="3"/>
        <v/>
      </c>
      <c r="BG52" s="121"/>
      <c r="BH52" s="121"/>
    </row>
    <row r="53" spans="1:60" ht="11.25" customHeight="1">
      <c r="A53" s="390"/>
      <c r="B53" s="390"/>
      <c r="C53" s="390"/>
      <c r="D53" s="390"/>
      <c r="E53" s="1153"/>
      <c r="F53" s="1153"/>
      <c r="G53" s="1153"/>
      <c r="H53" s="1153"/>
      <c r="I53" s="1155"/>
      <c r="J53" s="1155"/>
      <c r="K53" s="1155"/>
      <c r="L53" s="391"/>
      <c r="P53" s="1156"/>
      <c r="Q53" s="1156"/>
      <c r="R53" s="408"/>
      <c r="S53" s="1166"/>
      <c r="T53" s="1192"/>
      <c r="U53" s="396"/>
      <c r="V53" s="476"/>
      <c r="W53" s="490"/>
      <c r="X53" s="476"/>
      <c r="Y53" s="490"/>
      <c r="Z53" s="476"/>
      <c r="AA53" s="476"/>
      <c r="AB53" s="476"/>
      <c r="AC53" s="476"/>
      <c r="AD53" s="1105"/>
      <c r="AE53" s="1181"/>
      <c r="AF53" s="1182"/>
      <c r="AG53" s="1193"/>
      <c r="AH53" s="1105"/>
      <c r="AI53" s="1181"/>
      <c r="AJ53" s="1182"/>
      <c r="AK53" s="1194"/>
      <c r="AL53" s="1105"/>
      <c r="AM53" s="1173"/>
      <c r="AN53" s="1182"/>
      <c r="AO53" s="1195"/>
      <c r="AP53" s="1196"/>
      <c r="AQ53" s="489"/>
      <c r="AR53" s="168"/>
      <c r="AS53" s="168" t="s">
        <v>486</v>
      </c>
      <c r="AT53" s="476"/>
      <c r="AU53" s="490"/>
      <c r="AV53" s="476"/>
      <c r="AW53" s="490"/>
      <c r="AX53" s="476"/>
      <c r="AY53" s="476"/>
      <c r="AZ53" s="476"/>
      <c r="BA53" s="476"/>
      <c r="BB53" s="488"/>
      <c r="BC53" s="1159"/>
      <c r="BE53" s="121"/>
      <c r="BF53" s="121"/>
      <c r="BG53" s="121"/>
      <c r="BH53" s="121"/>
    </row>
    <row r="54" spans="1:60" ht="11.25" customHeight="1">
      <c r="A54" s="390" t="s">
        <v>243</v>
      </c>
      <c r="B54" s="390"/>
      <c r="C54" s="390"/>
      <c r="D54" s="390"/>
      <c r="E54" s="1153"/>
      <c r="F54" s="1153"/>
      <c r="G54" s="1153"/>
      <c r="H54" s="1153"/>
      <c r="I54" s="1155"/>
      <c r="J54" s="1155"/>
      <c r="K54" s="1155"/>
      <c r="L54" s="391"/>
      <c r="P54" s="1156"/>
      <c r="Q54" s="1156"/>
      <c r="R54" s="408"/>
      <c r="S54" s="1166"/>
      <c r="T54" s="1192"/>
      <c r="U54" s="396"/>
      <c r="V54" s="476"/>
      <c r="W54" s="490"/>
      <c r="X54" s="476"/>
      <c r="Y54" s="490"/>
      <c r="Z54" s="476"/>
      <c r="AA54" s="476"/>
      <c r="AB54" s="476"/>
      <c r="AC54" s="476"/>
      <c r="AD54" s="1105"/>
      <c r="AE54" s="1181"/>
      <c r="AF54" s="1182"/>
      <c r="AG54" s="1193"/>
      <c r="AH54" s="1105"/>
      <c r="AI54" s="1181"/>
      <c r="AJ54" s="1182"/>
      <c r="AK54" s="1194"/>
      <c r="AL54" s="1105"/>
      <c r="AM54" s="489"/>
      <c r="AN54" s="527"/>
      <c r="AO54" s="527" t="s">
        <v>487</v>
      </c>
      <c r="AP54" s="168"/>
      <c r="AQ54" s="168"/>
      <c r="AR54" s="168"/>
      <c r="AS54" s="476"/>
      <c r="AT54" s="476"/>
      <c r="AU54" s="490"/>
      <c r="AV54" s="476"/>
      <c r="AW54" s="490"/>
      <c r="AX54" s="476"/>
      <c r="AY54" s="476"/>
      <c r="AZ54" s="476"/>
      <c r="BA54" s="476"/>
      <c r="BB54" s="488"/>
      <c r="BC54" s="1159"/>
      <c r="BE54" s="121"/>
      <c r="BF54" s="121"/>
      <c r="BG54" s="121"/>
      <c r="BH54" s="121"/>
    </row>
    <row r="55" spans="1:60" ht="11.25" customHeight="1">
      <c r="A55" s="390" t="s">
        <v>243</v>
      </c>
      <c r="B55" s="390"/>
      <c r="C55" s="390"/>
      <c r="D55" s="390"/>
      <c r="E55" s="1153"/>
      <c r="F55" s="1153"/>
      <c r="G55" s="1153"/>
      <c r="H55" s="1153"/>
      <c r="I55" s="1155"/>
      <c r="J55" s="1155"/>
      <c r="K55" s="1155"/>
      <c r="L55" s="391"/>
      <c r="P55" s="1156"/>
      <c r="Q55" s="1156"/>
      <c r="R55" s="408"/>
      <c r="S55" s="1166"/>
      <c r="T55" s="1192"/>
      <c r="U55" s="396"/>
      <c r="V55" s="476"/>
      <c r="W55" s="490"/>
      <c r="X55" s="476"/>
      <c r="Y55" s="490"/>
      <c r="Z55" s="476"/>
      <c r="AA55" s="476"/>
      <c r="AB55" s="476"/>
      <c r="AC55" s="476"/>
      <c r="AD55" s="1105"/>
      <c r="AE55" s="1181"/>
      <c r="AF55" s="1182"/>
      <c r="AG55" s="1193"/>
      <c r="AH55" s="1105"/>
      <c r="AI55" s="492"/>
      <c r="AJ55" s="163"/>
      <c r="AK55" s="357" t="s">
        <v>488</v>
      </c>
      <c r="AL55" s="476"/>
      <c r="AM55" s="476"/>
      <c r="AN55" s="476"/>
      <c r="AO55" s="476"/>
      <c r="AP55" s="476"/>
      <c r="AQ55" s="476"/>
      <c r="AR55" s="476"/>
      <c r="AS55" s="476"/>
      <c r="AT55" s="476"/>
      <c r="AU55" s="490"/>
      <c r="AV55" s="476"/>
      <c r="AW55" s="490"/>
      <c r="AX55" s="476"/>
      <c r="AY55" s="476"/>
      <c r="AZ55" s="476"/>
      <c r="BA55" s="476"/>
      <c r="BB55" s="488"/>
      <c r="BC55" s="1159"/>
      <c r="BE55" s="121"/>
      <c r="BF55" s="121"/>
      <c r="BG55" s="121"/>
      <c r="BH55" s="121"/>
    </row>
    <row r="56" spans="1:60" ht="11.25" customHeight="1">
      <c r="A56" s="390" t="s">
        <v>243</v>
      </c>
      <c r="B56" s="390" t="s">
        <v>244</v>
      </c>
      <c r="C56" s="390" t="s">
        <v>245</v>
      </c>
      <c r="D56" s="390" t="s">
        <v>524</v>
      </c>
      <c r="E56" s="1153"/>
      <c r="F56" s="1153"/>
      <c r="G56" s="1153"/>
      <c r="H56" s="1153"/>
      <c r="I56" s="1155"/>
      <c r="J56" s="1155"/>
      <c r="K56" s="1155"/>
      <c r="L56" s="391"/>
      <c r="P56" s="1156"/>
      <c r="Q56" s="1156"/>
      <c r="R56" s="408"/>
      <c r="S56" s="1166"/>
      <c r="T56" s="1192"/>
      <c r="U56" s="396"/>
      <c r="V56" s="476"/>
      <c r="W56" s="477" t="str">
        <f>Z52&amp;"-"&amp;AB52</f>
        <v>-</v>
      </c>
      <c r="X56" s="476"/>
      <c r="Y56" s="477" t="str">
        <f>AB52&amp;"-"&amp;AD52</f>
        <v>-да</v>
      </c>
      <c r="Z56" s="476"/>
      <c r="AA56" s="476"/>
      <c r="AB56" s="476"/>
      <c r="AC56" s="476"/>
      <c r="AD56" s="1105"/>
      <c r="AE56" s="494"/>
      <c r="AF56" s="495"/>
      <c r="AG56" s="168" t="s">
        <v>489</v>
      </c>
      <c r="AH56" s="476"/>
      <c r="AI56" s="476"/>
      <c r="AJ56" s="476"/>
      <c r="AK56" s="476"/>
      <c r="AL56" s="476"/>
      <c r="AM56" s="476"/>
      <c r="AN56" s="476"/>
      <c r="AO56" s="476"/>
      <c r="AP56" s="476"/>
      <c r="AQ56" s="476"/>
      <c r="AR56" s="476"/>
      <c r="AS56" s="476"/>
      <c r="AT56" s="476"/>
      <c r="AU56" s="477" t="str">
        <f>AX52&amp;"-"&amp;AZ52</f>
        <v>-</v>
      </c>
      <c r="AV56" s="476"/>
      <c r="AW56" s="477" t="str">
        <f>AZ52&amp;"-"&amp;BB52</f>
        <v>-</v>
      </c>
      <c r="AX56" s="476"/>
      <c r="AY56" s="476"/>
      <c r="AZ56" s="476"/>
      <c r="BA56" s="476"/>
      <c r="BB56" s="493" t="str">
        <f>BE52&amp;"-"&amp;BG52</f>
        <v>-</v>
      </c>
      <c r="BC56" s="1159"/>
      <c r="BE56" s="121"/>
      <c r="BF56" s="121" t="str">
        <f t="shared" ref="BF56:BF63" si="4">IF(T56="","",T56)</f>
        <v/>
      </c>
      <c r="BG56" s="121"/>
      <c r="BH56" s="121"/>
    </row>
    <row r="57" spans="1:60" ht="11.25" customHeight="1">
      <c r="A57" s="390" t="s">
        <v>243</v>
      </c>
      <c r="B57" s="390" t="s">
        <v>244</v>
      </c>
      <c r="C57" s="390" t="s">
        <v>245</v>
      </c>
      <c r="D57" s="390" t="s">
        <v>524</v>
      </c>
      <c r="E57" s="1153"/>
      <c r="F57" s="1153"/>
      <c r="G57" s="1153"/>
      <c r="H57" s="1153"/>
      <c r="I57" s="1155"/>
      <c r="J57" s="1155"/>
      <c r="K57" s="390"/>
      <c r="L57" s="391"/>
      <c r="P57" s="1156"/>
      <c r="Q57" s="1156"/>
      <c r="R57" s="405"/>
      <c r="S57" s="416"/>
      <c r="T57" s="419" t="s">
        <v>453</v>
      </c>
      <c r="U57" s="186"/>
      <c r="V57" s="186"/>
      <c r="W57" s="186"/>
      <c r="X57" s="186"/>
      <c r="Y57" s="186"/>
      <c r="Z57" s="186"/>
      <c r="AA57" s="186"/>
      <c r="AB57" s="186"/>
      <c r="AC57" s="418"/>
      <c r="AD57" s="514"/>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418"/>
      <c r="BC57" s="1159"/>
      <c r="BE57" s="121"/>
      <c r="BF57" s="121" t="str">
        <f t="shared" si="4"/>
        <v>Добавить строку</v>
      </c>
      <c r="BG57" s="121"/>
      <c r="BH57" s="121"/>
    </row>
    <row r="58" spans="1:60" s="53" customFormat="1" ht="5.25">
      <c r="A58" s="125" t="s">
        <v>243</v>
      </c>
      <c r="B58" s="125" t="s">
        <v>244</v>
      </c>
      <c r="C58" s="125" t="s">
        <v>245</v>
      </c>
      <c r="D58" s="125" t="s">
        <v>524</v>
      </c>
      <c r="E58" s="1153"/>
      <c r="F58" s="1153"/>
      <c r="G58" s="1153"/>
      <c r="H58" s="1153"/>
      <c r="I58" s="1155"/>
      <c r="J58" s="125"/>
      <c r="K58" s="125"/>
      <c r="L58" s="184"/>
      <c r="M58" s="466"/>
      <c r="N58" s="466"/>
      <c r="O58" s="466"/>
      <c r="P58" s="1156"/>
      <c r="Q58" s="124"/>
      <c r="R58" s="405"/>
      <c r="S58" s="462"/>
      <c r="T58" s="463"/>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5"/>
      <c r="BE58" s="121"/>
      <c r="BF58" s="121" t="str">
        <f t="shared" si="4"/>
        <v/>
      </c>
      <c r="BG58" s="121"/>
      <c r="BH58" s="121"/>
    </row>
    <row r="59" spans="1:60" s="53" customFormat="1" ht="5.25">
      <c r="A59" s="125" t="s">
        <v>243</v>
      </c>
      <c r="B59" s="125" t="s">
        <v>244</v>
      </c>
      <c r="C59" s="125" t="s">
        <v>245</v>
      </c>
      <c r="D59" s="125" t="s">
        <v>524</v>
      </c>
      <c r="E59" s="1153"/>
      <c r="F59" s="1153"/>
      <c r="G59" s="1153"/>
      <c r="H59" s="1153"/>
      <c r="I59" s="125"/>
      <c r="J59" s="125"/>
      <c r="K59" s="125"/>
      <c r="L59" s="184"/>
      <c r="M59" s="375"/>
      <c r="N59" s="375"/>
      <c r="P59" s="158"/>
      <c r="Q59" s="424"/>
      <c r="R59" s="496"/>
      <c r="S59" s="462"/>
      <c r="T59" s="463"/>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5"/>
      <c r="BE59" s="121"/>
      <c r="BF59" s="121" t="str">
        <f t="shared" si="4"/>
        <v/>
      </c>
      <c r="BG59" s="121"/>
      <c r="BH59" s="121"/>
    </row>
    <row r="60" spans="1:60" s="53" customFormat="1" ht="5.25">
      <c r="A60" s="125" t="s">
        <v>243</v>
      </c>
      <c r="B60" s="125" t="s">
        <v>244</v>
      </c>
      <c r="C60" s="125" t="s">
        <v>245</v>
      </c>
      <c r="D60" s="125"/>
      <c r="E60" s="1153"/>
      <c r="F60" s="1153"/>
      <c r="G60" s="1153"/>
      <c r="H60" s="125"/>
      <c r="I60" s="125"/>
      <c r="J60" s="125"/>
      <c r="K60" s="125"/>
      <c r="L60" s="184"/>
      <c r="M60" s="375"/>
      <c r="N60" s="375"/>
      <c r="P60" s="158"/>
      <c r="Q60" s="424"/>
      <c r="R60" s="158"/>
      <c r="S60" s="429"/>
      <c r="T60" s="432"/>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E60" s="121"/>
      <c r="BF60" s="121" t="str">
        <f t="shared" si="4"/>
        <v/>
      </c>
      <c r="BG60" s="121"/>
      <c r="BH60" s="121"/>
    </row>
    <row r="61" spans="1:60" s="53" customFormat="1" ht="5.25">
      <c r="A61" s="125" t="s">
        <v>243</v>
      </c>
      <c r="B61" s="125" t="s">
        <v>244</v>
      </c>
      <c r="C61" s="125"/>
      <c r="D61" s="125"/>
      <c r="E61" s="1153"/>
      <c r="F61" s="1153"/>
      <c r="G61" s="125"/>
      <c r="H61" s="125"/>
      <c r="I61" s="125"/>
      <c r="J61" s="125"/>
      <c r="K61" s="125"/>
      <c r="L61" s="184"/>
      <c r="M61" s="428"/>
      <c r="N61" s="428"/>
      <c r="P61" s="158"/>
      <c r="Q61" s="424"/>
      <c r="R61" s="158"/>
      <c r="S61" s="429"/>
      <c r="T61" s="432" t="s">
        <v>253</v>
      </c>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E61" s="121"/>
      <c r="BF61" s="121" t="str">
        <f t="shared" si="4"/>
        <v>Добавить централизованную систему для дифференциации</v>
      </c>
      <c r="BG61" s="121"/>
      <c r="BH61" s="121"/>
    </row>
    <row r="62" spans="1:60" s="53" customFormat="1" ht="5.25">
      <c r="A62" s="125" t="s">
        <v>243</v>
      </c>
      <c r="B62" s="125"/>
      <c r="C62" s="125"/>
      <c r="D62" s="125"/>
      <c r="E62" s="1153"/>
      <c r="F62" s="125"/>
      <c r="G62" s="125"/>
      <c r="H62" s="125"/>
      <c r="I62" s="125"/>
      <c r="J62" s="125"/>
      <c r="K62" s="125"/>
      <c r="L62" s="184"/>
      <c r="M62" s="428"/>
      <c r="N62" s="428"/>
      <c r="P62" s="158"/>
      <c r="Q62" s="424"/>
      <c r="R62" s="158"/>
      <c r="S62" s="429"/>
      <c r="T62" s="432" t="s">
        <v>254</v>
      </c>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431"/>
      <c r="BC62" s="431"/>
      <c r="BE62" s="121"/>
      <c r="BF62" s="121" t="str">
        <f t="shared" si="4"/>
        <v>Добавить территорию для дифференциации</v>
      </c>
      <c r="BG62" s="121"/>
      <c r="BH62" s="121"/>
    </row>
    <row r="63" spans="1:60" s="53" customFormat="1" ht="5.25">
      <c r="A63" s="125"/>
      <c r="B63" s="125"/>
      <c r="C63" s="125"/>
      <c r="D63" s="125"/>
      <c r="E63" s="125"/>
      <c r="F63" s="125"/>
      <c r="G63" s="125"/>
      <c r="H63" s="125"/>
      <c r="I63" s="125"/>
      <c r="J63" s="125"/>
      <c r="K63" s="125"/>
      <c r="L63" s="184"/>
      <c r="M63" s="428"/>
      <c r="N63" s="428"/>
      <c r="P63" s="158"/>
      <c r="Q63" s="424"/>
      <c r="R63" s="158"/>
      <c r="S63" s="429"/>
      <c r="T63" s="432" t="s">
        <v>255</v>
      </c>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E63" s="121"/>
      <c r="BF63" s="121" t="str">
        <f t="shared" si="4"/>
        <v>Добавить наименование тарифа</v>
      </c>
      <c r="BG63" s="121"/>
      <c r="BH63" s="121"/>
    </row>
    <row r="64" spans="1:60" ht="11.25" customHeight="1">
      <c r="M64" s="49"/>
      <c r="N64" s="49"/>
      <c r="O64" s="49"/>
      <c r="P64" s="49"/>
      <c r="Q64" s="49"/>
      <c r="R64" s="46"/>
      <c r="S64" s="46"/>
      <c r="BD64" s="46"/>
      <c r="BE64" s="46"/>
      <c r="BF64" s="46"/>
      <c r="BG64" s="46"/>
      <c r="BH64" s="46"/>
    </row>
    <row r="65" spans="15:55" ht="18.75" customHeight="1">
      <c r="O65" s="49"/>
      <c r="S65" s="387"/>
      <c r="T65" s="1171"/>
      <c r="U65" s="1171"/>
      <c r="V65" s="1171"/>
      <c r="W65" s="1171"/>
      <c r="X65" s="1171"/>
      <c r="Y65" s="1171"/>
      <c r="Z65" s="1171"/>
      <c r="AA65" s="1171"/>
      <c r="AB65" s="1171"/>
      <c r="AC65" s="1171"/>
      <c r="AD65" s="1171"/>
      <c r="AE65" s="1171"/>
      <c r="AF65" s="1171"/>
      <c r="AG65" s="1171"/>
      <c r="AH65" s="1171"/>
      <c r="AI65" s="1171"/>
      <c r="AJ65" s="1171"/>
      <c r="AK65" s="1171"/>
      <c r="AL65" s="1171"/>
      <c r="AM65" s="1171"/>
      <c r="AN65" s="1171"/>
      <c r="AO65" s="1171"/>
      <c r="AP65" s="1171"/>
      <c r="AQ65" s="1171"/>
      <c r="AR65" s="1171"/>
      <c r="AS65" s="1171"/>
      <c r="AT65" s="1171"/>
      <c r="AU65" s="1171"/>
      <c r="AV65" s="1171"/>
      <c r="AW65" s="1171"/>
      <c r="AX65" s="1171"/>
      <c r="AY65" s="1171"/>
      <c r="AZ65" s="1171"/>
      <c r="BA65" s="1171"/>
      <c r="BB65" s="1171"/>
      <c r="BC65" s="1171"/>
    </row>
    <row r="66" spans="15:55" ht="14.25" customHeight="1">
      <c r="O66" s="49"/>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row>
    <row r="67" spans="15:55" ht="18.75" customHeight="1">
      <c r="O67" s="49"/>
      <c r="S67" s="387"/>
      <c r="T67" s="1171"/>
      <c r="U67" s="1171"/>
      <c r="V67" s="1171"/>
      <c r="W67" s="1171"/>
      <c r="X67" s="1171"/>
      <c r="Y67" s="1171"/>
      <c r="Z67" s="1171"/>
      <c r="AA67" s="1171"/>
      <c r="AB67" s="1171"/>
      <c r="AC67" s="1171"/>
      <c r="AD67" s="1171"/>
      <c r="AE67" s="1171"/>
      <c r="AF67" s="1171"/>
      <c r="AG67" s="1171"/>
      <c r="AH67" s="1171"/>
      <c r="AI67" s="1171"/>
      <c r="AJ67" s="1171"/>
      <c r="AK67" s="1171"/>
      <c r="AL67" s="1171"/>
      <c r="AM67" s="1171"/>
      <c r="AN67" s="1171"/>
      <c r="AO67" s="1171"/>
      <c r="AP67" s="1171"/>
      <c r="AQ67" s="1171"/>
      <c r="AR67" s="1171"/>
      <c r="AS67" s="1171"/>
      <c r="AT67" s="1171"/>
      <c r="AU67" s="1171"/>
      <c r="AV67" s="1171"/>
      <c r="AW67" s="1171"/>
      <c r="AX67" s="1171"/>
      <c r="AY67" s="1171"/>
      <c r="AZ67" s="1171"/>
      <c r="BA67" s="1171"/>
      <c r="BB67" s="1171"/>
      <c r="BC67" s="1171"/>
    </row>
    <row r="68" spans="15:55" ht="14.25" customHeight="1">
      <c r="O68" s="49"/>
    </row>
  </sheetData>
  <mergeCells count="122">
    <mergeCell ref="AL52:AL54"/>
    <mergeCell ref="AM52:AM53"/>
    <mergeCell ref="AN52:AN53"/>
    <mergeCell ref="AO52:AO53"/>
    <mergeCell ref="AP52:AP53"/>
    <mergeCell ref="BC52:BC57"/>
    <mergeCell ref="T65:BC65"/>
    <mergeCell ref="T67:BC67"/>
    <mergeCell ref="T52:T56"/>
    <mergeCell ref="AD52:AD56"/>
    <mergeCell ref="AE52:AE55"/>
    <mergeCell ref="AF52:AF55"/>
    <mergeCell ref="AG52:AG55"/>
    <mergeCell ref="AH52:AH55"/>
    <mergeCell ref="AI52:AI54"/>
    <mergeCell ref="AJ52:AJ54"/>
    <mergeCell ref="AK52:AK5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S36:T36"/>
    <mergeCell ref="V36:AB36"/>
    <mergeCell ref="AD36:AZ36"/>
    <mergeCell ref="S37:T37"/>
    <mergeCell ref="V37:AB37"/>
    <mergeCell ref="AD37:AZ37"/>
    <mergeCell ref="V39:AC39"/>
    <mergeCell ref="AD39:BA39"/>
    <mergeCell ref="S40:BB40"/>
    <mergeCell ref="S32:T32"/>
    <mergeCell ref="V32:AB32"/>
    <mergeCell ref="AD32:AZ32"/>
    <mergeCell ref="S33:T33"/>
    <mergeCell ref="V33:AB33"/>
    <mergeCell ref="AD33:AZ33"/>
    <mergeCell ref="S34:T34"/>
    <mergeCell ref="V34:AB34"/>
    <mergeCell ref="AD34:AZ34"/>
    <mergeCell ref="AM8:AM9"/>
    <mergeCell ref="AN8:AN9"/>
    <mergeCell ref="AO8:AO9"/>
    <mergeCell ref="AP8:AP9"/>
    <mergeCell ref="BC8:BC13"/>
    <mergeCell ref="S28:AZ28"/>
    <mergeCell ref="S29:AZ29"/>
    <mergeCell ref="S31:T31"/>
    <mergeCell ref="V31:AB31"/>
    <mergeCell ref="AD31:AZ31"/>
    <mergeCell ref="AD8:AD12"/>
    <mergeCell ref="AE8:AE11"/>
    <mergeCell ref="AF8:AF11"/>
    <mergeCell ref="AG8:AG11"/>
    <mergeCell ref="AH8:AH11"/>
    <mergeCell ref="AI8:AI10"/>
    <mergeCell ref="AJ8:AJ10"/>
    <mergeCell ref="AK8:AK10"/>
    <mergeCell ref="AL8:AL10"/>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s>
  <dataValidations count="5">
    <dataValidation allowBlank="1" showInputMessage="1" showErrorMessage="1" prompt="Для выбора выполните двойной щелчок левой клавиши мыши по соответствующей ячейке." sqref="AA8 AC8:AD8 AH8:AH9 AK8:AL9 AP8 AY8 BA8 AD20 AG20:AH20 AK20:AL20 AP20 AY20 BA20 AA52 AC52:AD52 AH52:AH53 AK52:AL53 AP52 AY52 BA52">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AB8 AX8 AZ8 AX20 AZ20 Z52 AB52 AX52 AZ52">
      <formula1>0</formula1>
      <formula2>0</formula2>
    </dataValidation>
    <dataValidation type="textLength" operator="lessThanOrEqual" allowBlank="1" showInputMessage="1" showErrorMessage="1" errorTitle="Ошибка" error="Допускается ввод не более 900 символов!" sqref="T8:T9 AS8 T10:T12 T52:T53 AS52 T54:T56">
      <formula1>900</formula1>
      <formula2>0</formula2>
    </dataValidation>
    <dataValidation allowBlank="1" promptTitle="checkPeriodRange" sqref="W12 Y12 AU12 AW12 BB12 W56 Y56 AU56 AW56 BB56">
      <formula1>0</formula1>
      <formula2>0</formula2>
    </dataValidation>
    <dataValidation type="decimal" allowBlank="1" showErrorMessage="1" errorTitle="Ошибка" error="Допускается ввод только действительных чисел!" sqref="AG8:AG10 AO8:AO9 AG11 AG52:AG54 AO52:AO53 AG55">
      <formula1>-9.99999999999999E+23</formula1>
      <formula2>9.99999999999999E+23</formula2>
    </dataValidation>
  </dataValidations>
  <pageMargins left="0.7" right="0.7" top="0.625" bottom="0.625" header="0.3" footer="0.3"/>
  <pageSetup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E302"/>
  <sheetViews>
    <sheetView showGridLines="0" topLeftCell="D20" zoomScale="90" zoomScaleNormal="90" workbookViewId="0"/>
  </sheetViews>
  <sheetFormatPr defaultColWidth="9.140625" defaultRowHeight="11.25"/>
  <cols>
    <col min="1" max="1" width="10.7109375" style="529" hidden="1" customWidth="1"/>
    <col min="2" max="2" width="16.85546875" style="49" hidden="1" customWidth="1"/>
    <col min="3" max="3" width="5.5703125" style="53" hidden="1" customWidth="1"/>
    <col min="4" max="4" width="3.7109375" style="46" customWidth="1"/>
    <col min="5" max="5" width="7.7109375" style="46" customWidth="1"/>
    <col min="6" max="6" width="54.5703125" style="46" customWidth="1"/>
    <col min="7" max="7" width="10.42578125" style="46" customWidth="1"/>
    <col min="8" max="8" width="40.7109375" style="46" hidden="1" customWidth="1"/>
    <col min="9" max="9" width="40.7109375" style="46" customWidth="1"/>
    <col min="10" max="10" width="102.85546875" style="46" customWidth="1"/>
    <col min="11" max="11" width="9.7109375" style="49" customWidth="1"/>
    <col min="12" max="12" width="5.28515625" style="53" customWidth="1"/>
    <col min="13" max="13" width="3.7109375" style="53" customWidth="1"/>
    <col min="14" max="17" width="3.7109375" style="49" customWidth="1"/>
    <col min="18" max="18" width="10.5703125" style="53" customWidth="1"/>
    <col min="19" max="19" width="34.7109375" style="49" customWidth="1"/>
    <col min="20" max="20" width="9.42578125" style="49" customWidth="1"/>
    <col min="21" max="21" width="9.140625" style="530"/>
    <col min="22" max="26" width="9.140625" style="49"/>
    <col min="27" max="31" width="9.140625" style="52"/>
  </cols>
  <sheetData>
    <row r="1" spans="1:31" ht="11.25" hidden="1" customHeight="1"/>
    <row r="2" spans="1:31" ht="23.25" hidden="1" customHeight="1">
      <c r="B2" s="1089"/>
      <c r="C2" s="431" t="s">
        <v>525</v>
      </c>
      <c r="D2" s="117"/>
      <c r="E2" s="531">
        <f>B2</f>
        <v>0</v>
      </c>
      <c r="F2" s="532"/>
      <c r="G2" s="148" t="s">
        <v>526</v>
      </c>
      <c r="H2" s="148" t="s">
        <v>526</v>
      </c>
      <c r="I2" s="148" t="s">
        <v>526</v>
      </c>
      <c r="J2" s="533" t="s">
        <v>527</v>
      </c>
      <c r="K2" s="534"/>
    </row>
    <row r="3" spans="1:31" s="53" customFormat="1" ht="0.75" hidden="1" customHeight="1">
      <c r="B3" s="1089"/>
      <c r="C3" s="431"/>
      <c r="D3" s="431"/>
      <c r="E3" s="535"/>
      <c r="F3" s="536" t="s">
        <v>528</v>
      </c>
      <c r="G3" s="149"/>
      <c r="H3" s="149">
        <f>H4*H5+H7</f>
        <v>0</v>
      </c>
      <c r="I3" s="149">
        <f>I4*I5+I6</f>
        <v>0</v>
      </c>
      <c r="J3" s="279"/>
    </row>
    <row r="4" spans="1:31" ht="23.25" hidden="1" customHeight="1">
      <c r="B4" s="1089"/>
      <c r="C4" s="431"/>
      <c r="D4" s="117"/>
      <c r="E4" s="531" t="str">
        <f>B2&amp;".1"</f>
        <v>.1</v>
      </c>
      <c r="F4" s="537" t="s">
        <v>529</v>
      </c>
      <c r="G4" s="538"/>
      <c r="H4" s="411"/>
      <c r="I4" s="411"/>
      <c r="J4" s="533" t="s">
        <v>530</v>
      </c>
      <c r="K4" s="534"/>
    </row>
    <row r="5" spans="1:31" ht="18.75" hidden="1" customHeight="1">
      <c r="B5" s="1089"/>
      <c r="C5" s="431"/>
      <c r="D5" s="117"/>
      <c r="E5" s="531" t="str">
        <f>B2&amp;".2"</f>
        <v>.2</v>
      </c>
      <c r="F5" s="537" t="s">
        <v>531</v>
      </c>
      <c r="G5" s="148" t="s">
        <v>532</v>
      </c>
      <c r="H5" s="411"/>
      <c r="I5" s="411"/>
      <c r="J5" s="395"/>
      <c r="K5" s="534"/>
    </row>
    <row r="6" spans="1:31" ht="18.75" hidden="1" customHeight="1">
      <c r="B6" s="1089"/>
      <c r="C6" s="431"/>
      <c r="D6" s="117"/>
      <c r="E6" s="531" t="str">
        <f>B2&amp;".3"</f>
        <v>.3</v>
      </c>
      <c r="F6" s="537" t="s">
        <v>533</v>
      </c>
      <c r="G6" s="148" t="s">
        <v>532</v>
      </c>
      <c r="H6" s="411"/>
      <c r="I6" s="411"/>
      <c r="J6" s="395"/>
      <c r="K6" s="534"/>
    </row>
    <row r="7" spans="1:31" ht="18.75" hidden="1" customHeight="1">
      <c r="B7" s="1089"/>
      <c r="C7" s="431"/>
      <c r="D7" s="117"/>
      <c r="E7" s="531" t="str">
        <f>B2&amp;".4"</f>
        <v>.4</v>
      </c>
      <c r="F7" s="537" t="s">
        <v>534</v>
      </c>
      <c r="G7" s="148" t="s">
        <v>526</v>
      </c>
      <c r="H7" s="516"/>
      <c r="I7" s="516"/>
      <c r="J7" s="395"/>
      <c r="K7" s="534"/>
    </row>
    <row r="8" spans="1:31" s="49" customFormat="1" ht="11.25" hidden="1" customHeight="1">
      <c r="A8" s="529"/>
      <c r="C8" s="53"/>
      <c r="H8" s="49">
        <v>4</v>
      </c>
      <c r="I8" s="49">
        <v>4</v>
      </c>
      <c r="L8" s="53"/>
      <c r="M8" s="53"/>
      <c r="R8" s="53"/>
    </row>
    <row r="9" spans="1:31" s="49" customFormat="1" ht="22.5" hidden="1" customHeight="1">
      <c r="A9" s="529"/>
      <c r="C9" s="53"/>
      <c r="D9" s="539"/>
      <c r="E9" s="148"/>
      <c r="F9" s="150"/>
      <c r="G9" s="148" t="s">
        <v>532</v>
      </c>
      <c r="H9" s="411"/>
      <c r="I9" s="411"/>
      <c r="J9" s="540" t="s">
        <v>535</v>
      </c>
      <c r="K9" s="534"/>
      <c r="L9" s="53"/>
      <c r="M9" s="53"/>
      <c r="R9" s="53"/>
      <c r="U9" s="530"/>
      <c r="AA9" s="52"/>
      <c r="AB9" s="52"/>
      <c r="AC9" s="52"/>
      <c r="AD9" s="52"/>
      <c r="AE9" s="52"/>
    </row>
    <row r="10" spans="1:31" ht="11.25" hidden="1" customHeight="1"/>
    <row r="11" spans="1:31" ht="18.75" hidden="1" customHeight="1">
      <c r="D11" s="117"/>
      <c r="E11" s="531"/>
      <c r="F11" s="150"/>
      <c r="G11" s="148" t="s">
        <v>536</v>
      </c>
      <c r="H11" s="411"/>
      <c r="I11" s="411"/>
      <c r="J11" s="395" t="s">
        <v>537</v>
      </c>
      <c r="K11" s="534"/>
    </row>
    <row r="12" spans="1:31" ht="11.25" hidden="1" customHeight="1"/>
    <row r="13" spans="1:31" ht="22.5" hidden="1" customHeight="1">
      <c r="D13" s="117"/>
      <c r="E13" s="531"/>
      <c r="F13" s="150"/>
      <c r="G13" s="458" t="s">
        <v>538</v>
      </c>
      <c r="H13" s="541"/>
      <c r="I13" s="541"/>
      <c r="J13" s="542" t="s">
        <v>539</v>
      </c>
      <c r="K13" s="534"/>
    </row>
    <row r="14" spans="1:31" ht="11.25" hidden="1" customHeight="1"/>
    <row r="15" spans="1:31" ht="22.5" hidden="1" customHeight="1">
      <c r="D15" s="117"/>
      <c r="E15" s="531"/>
      <c r="F15" s="150"/>
      <c r="G15" s="148" t="s">
        <v>540</v>
      </c>
      <c r="H15" s="541"/>
      <c r="I15" s="541"/>
      <c r="J15" s="395" t="s">
        <v>541</v>
      </c>
      <c r="K15" s="534"/>
    </row>
    <row r="16" spans="1:31" ht="11.25" hidden="1" customHeight="1"/>
    <row r="17" spans="1:26" ht="22.5" hidden="1" customHeight="1">
      <c r="D17" s="117"/>
      <c r="E17" s="531"/>
      <c r="F17" s="150"/>
      <c r="G17" s="148" t="s">
        <v>542</v>
      </c>
      <c r="H17" s="541"/>
      <c r="I17" s="541"/>
      <c r="J17" s="395" t="s">
        <v>543</v>
      </c>
      <c r="K17" s="534"/>
    </row>
    <row r="18" spans="1:26" ht="11.25" hidden="1" customHeight="1"/>
    <row r="19" spans="1:26" s="52" customFormat="1" ht="11.25" hidden="1" customHeight="1">
      <c r="A19" s="529"/>
      <c r="B19" s="49"/>
      <c r="C19" s="53"/>
      <c r="J19" s="52">
        <v>4</v>
      </c>
      <c r="K19" s="49"/>
      <c r="L19" s="53"/>
      <c r="M19" s="53"/>
      <c r="N19" s="49"/>
      <c r="O19" s="49"/>
      <c r="P19" s="49"/>
      <c r="Q19" s="49"/>
      <c r="R19" s="53"/>
      <c r="S19" s="49"/>
      <c r="T19" s="49"/>
      <c r="U19" s="530"/>
      <c r="V19" s="49"/>
      <c r="W19" s="49"/>
      <c r="X19" s="49"/>
      <c r="Y19" s="49"/>
      <c r="Z19" s="49"/>
    </row>
    <row r="21" spans="1:26" ht="24" customHeight="1">
      <c r="E21" s="110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106"/>
      <c r="G21" s="1106"/>
      <c r="H21" s="1106"/>
      <c r="I21" s="1106"/>
      <c r="J21" s="201"/>
    </row>
    <row r="22" spans="1:26" ht="24" customHeight="1">
      <c r="E22" s="1127" t="str">
        <f>IF(org=0,"Не определено",org)</f>
        <v>Филиал ПАО "ОГК-2" - Серовская ГРЭС, г. Серов</v>
      </c>
      <c r="F22" s="1127"/>
      <c r="G22" s="1127"/>
      <c r="H22" s="1127"/>
      <c r="I22" s="1127"/>
    </row>
    <row r="23" spans="1:26" ht="11.25" customHeight="1">
      <c r="E23" s="543"/>
      <c r="F23" s="543"/>
      <c r="G23" s="543"/>
      <c r="H23" s="543"/>
      <c r="I23" s="543"/>
    </row>
    <row r="24" spans="1:26" s="53" customFormat="1" ht="0.75" customHeight="1">
      <c r="A24" s="431"/>
      <c r="H24" s="544"/>
      <c r="I24" s="544" t="s">
        <v>113</v>
      </c>
    </row>
    <row r="25" spans="1:26" ht="11.25" customHeight="1">
      <c r="E25" s="545"/>
      <c r="F25" s="1197" t="s">
        <v>101</v>
      </c>
      <c r="G25" s="1197"/>
      <c r="H25" s="547" t="str">
        <f>IF(H24="","",INDEX(DIFFERENTIATION_UNMERGE_VD,MATCH(H24,DIFFERENTIATION_ID_DIFF,0)))</f>
        <v/>
      </c>
      <c r="I25" s="547">
        <f>IF(I24="","",INDEX(DIFFERENTIATION_UNMERGE_VD,MATCH(I24,DIFFERENTIATION_ID_DIFF,0)))</f>
        <v>0</v>
      </c>
      <c r="J25" s="1087"/>
    </row>
    <row r="26" spans="1:26" ht="11.25" customHeight="1">
      <c r="E26" s="545"/>
      <c r="F26" s="1197" t="s">
        <v>544</v>
      </c>
      <c r="G26" s="1197"/>
      <c r="H26" s="547" t="str">
        <f>IF(H24="","",INDEX(DIFFERENTIATION_UNMERGE_AREA,MATCH(H24,DIFFERENTIATION_ID_DIFF,0)))</f>
        <v/>
      </c>
      <c r="I26" s="547" t="str">
        <f>IF(I24="","",INDEX(DIFFERENTIATION_UNMERGE_AREA,MATCH(I24,DIFFERENTIATION_ID_DIFF,0)))</f>
        <v/>
      </c>
      <c r="J26" s="1087"/>
    </row>
    <row r="27" spans="1:26" ht="11.25" customHeight="1">
      <c r="E27" s="545"/>
      <c r="F27" s="1197" t="s">
        <v>545</v>
      </c>
      <c r="G27" s="1197"/>
      <c r="H27" s="547" t="str">
        <f>IF(H24="","",INDEX(DIFFERENTIATION_UNMERGE_SYSTEM,MATCH(H24,DIFFERENTIATION_ID_DIFF,0)))</f>
        <v/>
      </c>
      <c r="I27" s="547" t="str">
        <f>IF(I24="","",INDEX(DIFFERENTIATION_UNMERGE_SYSTEM,MATCH(I24,DIFFERENTIATION_ID_DIFF,0)))</f>
        <v>без дифференциации</v>
      </c>
      <c r="J27" s="1087"/>
    </row>
    <row r="28" spans="1:26" ht="11.25" customHeight="1">
      <c r="E28" s="1198" t="s">
        <v>287</v>
      </c>
      <c r="F28" s="1198"/>
      <c r="G28" s="1198"/>
      <c r="H28" s="548"/>
      <c r="I28" s="548"/>
      <c r="J28" s="1087"/>
    </row>
    <row r="29" spans="1:26" ht="22.5" customHeight="1">
      <c r="E29" s="148" t="s">
        <v>84</v>
      </c>
      <c r="F29" s="148" t="s">
        <v>289</v>
      </c>
      <c r="G29" s="148" t="s">
        <v>546</v>
      </c>
      <c r="H29" s="148" t="s">
        <v>290</v>
      </c>
      <c r="I29" s="148" t="s">
        <v>290</v>
      </c>
      <c r="J29" s="1087"/>
    </row>
    <row r="30" spans="1:26" ht="18.75" customHeight="1">
      <c r="D30" s="117"/>
      <c r="E30" s="531">
        <f>FHD_NUM_P_1</f>
        <v>1</v>
      </c>
      <c r="F30" s="549" t="str">
        <f>FHD_P_1</f>
        <v>Выручка от регулируемых видов деятельности в сфере водоотведения</v>
      </c>
      <c r="G30" s="148" t="s">
        <v>532</v>
      </c>
      <c r="H30" s="550"/>
      <c r="I30" s="550"/>
      <c r="J30" s="395" t="str">
        <f>FHD_NOTE_P_1</f>
        <v>Указывается выручка с распределением по видам деятельности.</v>
      </c>
      <c r="K30" s="534"/>
    </row>
    <row r="31" spans="1:26" ht="11.25" customHeight="1">
      <c r="D31" s="117"/>
      <c r="E31" s="531">
        <f>FHD_NUM_P_2</f>
        <v>2</v>
      </c>
      <c r="F31" s="549" t="str">
        <f>FHD_P_2</f>
        <v>Себестоимость производимых товаров (оказываемых услуг) по регулируемым видам деятельности в сфере водоотведения, включая:</v>
      </c>
      <c r="G31" s="148" t="s">
        <v>532</v>
      </c>
      <c r="H31" s="551">
        <f>SUMIF($K33:$K71,$K31,H33:H71)</f>
        <v>0</v>
      </c>
      <c r="I31" s="551">
        <f>SUMIF($K33:$K71,$K31,I33:I71)</f>
        <v>0</v>
      </c>
      <c r="J31" s="395" t="str">
        <f>FHD_NOTE_P_2</f>
        <v>Указывается суммарная себестоимость производимых товаров.</v>
      </c>
      <c r="K31" s="53" t="s">
        <v>547</v>
      </c>
    </row>
    <row r="32" spans="1:26" ht="11.25" customHeight="1">
      <c r="D32" s="117"/>
      <c r="E32" s="531" t="str">
        <f>FHD_NUM_P_3</f>
        <v>2.1</v>
      </c>
      <c r="F32" s="513" t="str">
        <f>FHD_P_3</f>
        <v>Расходы на оплату услуг по приему, транспортировке и очистке сточных вод другими организациями</v>
      </c>
      <c r="G32" s="148" t="s">
        <v>532</v>
      </c>
      <c r="H32" s="550"/>
      <c r="I32" s="550"/>
      <c r="J32" s="395" t="str">
        <f>FHD_NOTE_P_3</f>
        <v/>
      </c>
      <c r="K32" s="53" t="str">
        <f t="shared" ref="K32:K70" si="0">IF((LEN(E32)-LEN(SUBSTITUTE(E32,".","")))/LEN(".")=1,"p","")</f>
        <v>p</v>
      </c>
    </row>
    <row r="33" spans="1:31" ht="11.25" hidden="1" customHeight="1">
      <c r="A33" s="1199" t="s">
        <v>548</v>
      </c>
      <c r="D33" s="117"/>
      <c r="E33" s="531" t="str">
        <f>FHD_NUM_P_4</f>
        <v/>
      </c>
      <c r="F33" s="513" t="str">
        <f>FHD_P_4</f>
        <v/>
      </c>
      <c r="G33" s="148" t="s">
        <v>532</v>
      </c>
      <c r="H33" s="551">
        <f>SUMIF($F34:$F40,$F3,H34:H40)</f>
        <v>0</v>
      </c>
      <c r="I33" s="551">
        <f>SUMIF($F34:$F40,$F3,I34:I40)</f>
        <v>0</v>
      </c>
      <c r="J33" s="395" t="str">
        <f>FHD_NOTE_P_4</f>
        <v/>
      </c>
      <c r="K33" s="53" t="str">
        <f t="shared" si="0"/>
        <v/>
      </c>
    </row>
    <row r="34" spans="1:31" s="123" customFormat="1" ht="0.75" hidden="1" customHeight="1">
      <c r="A34" s="1199"/>
      <c r="B34" s="1200" t="str">
        <f>E33&amp;".0"</f>
        <v>.0</v>
      </c>
      <c r="C34" s="431"/>
      <c r="D34" s="552"/>
      <c r="E34" s="553"/>
      <c r="F34" s="554"/>
      <c r="G34" s="555"/>
      <c r="H34" s="345"/>
      <c r="I34" s="345"/>
      <c r="J34" s="556"/>
      <c r="K34" s="53" t="str">
        <f t="shared" si="0"/>
        <v/>
      </c>
      <c r="L34" s="53"/>
      <c r="M34" s="53"/>
      <c r="N34" s="53"/>
      <c r="O34" s="53"/>
      <c r="P34" s="53"/>
      <c r="Q34" s="53"/>
      <c r="R34" s="53"/>
      <c r="S34" s="53"/>
      <c r="T34" s="53"/>
      <c r="U34" s="557"/>
      <c r="V34" s="53"/>
      <c r="W34" s="53"/>
      <c r="X34" s="53"/>
      <c r="Y34" s="53"/>
      <c r="Z34" s="53"/>
      <c r="AA34" s="51"/>
      <c r="AB34" s="51"/>
      <c r="AC34" s="51"/>
      <c r="AD34" s="51"/>
      <c r="AE34" s="51"/>
    </row>
    <row r="35" spans="1:31" s="123" customFormat="1" ht="0.75" hidden="1" customHeight="1">
      <c r="A35" s="1199"/>
      <c r="B35" s="1200"/>
      <c r="C35" s="431"/>
      <c r="D35" s="552"/>
      <c r="E35" s="558"/>
      <c r="F35" s="559"/>
      <c r="G35" s="555"/>
      <c r="H35" s="560"/>
      <c r="I35" s="560"/>
      <c r="J35" s="556"/>
      <c r="K35" s="53" t="str">
        <f t="shared" si="0"/>
        <v/>
      </c>
      <c r="L35" s="53"/>
      <c r="M35" s="53"/>
      <c r="N35" s="53"/>
      <c r="O35" s="53"/>
      <c r="P35" s="53"/>
      <c r="Q35" s="53"/>
      <c r="R35" s="53"/>
      <c r="S35" s="53"/>
      <c r="T35" s="53"/>
      <c r="U35" s="557"/>
      <c r="V35" s="53"/>
      <c r="W35" s="53"/>
      <c r="X35" s="53"/>
      <c r="Y35" s="53"/>
      <c r="Z35" s="53"/>
      <c r="AA35" s="51"/>
      <c r="AB35" s="51"/>
      <c r="AC35" s="51"/>
      <c r="AD35" s="51"/>
      <c r="AE35" s="51"/>
    </row>
    <row r="36" spans="1:31" s="123" customFormat="1" ht="0.75" hidden="1" customHeight="1">
      <c r="A36" s="1199"/>
      <c r="B36" s="1200"/>
      <c r="C36" s="431"/>
      <c r="D36" s="552"/>
      <c r="E36" s="558"/>
      <c r="F36" s="559"/>
      <c r="G36" s="555"/>
      <c r="H36" s="560"/>
      <c r="I36" s="560"/>
      <c r="J36" s="556"/>
      <c r="K36" s="53" t="str">
        <f t="shared" si="0"/>
        <v/>
      </c>
      <c r="L36" s="53"/>
      <c r="M36" s="53"/>
      <c r="N36" s="53"/>
      <c r="O36" s="53"/>
      <c r="P36" s="53"/>
      <c r="Q36" s="53"/>
      <c r="R36" s="53"/>
      <c r="S36" s="53"/>
      <c r="T36" s="53"/>
      <c r="U36" s="557"/>
      <c r="V36" s="53"/>
      <c r="W36" s="53"/>
      <c r="X36" s="53"/>
      <c r="Y36" s="53"/>
      <c r="Z36" s="53"/>
      <c r="AA36" s="51"/>
      <c r="AB36" s="51"/>
      <c r="AC36" s="51"/>
      <c r="AD36" s="51"/>
      <c r="AE36" s="51"/>
    </row>
    <row r="37" spans="1:31" s="123" customFormat="1" ht="0.75" hidden="1" customHeight="1">
      <c r="A37" s="1199"/>
      <c r="B37" s="1200"/>
      <c r="C37" s="431"/>
      <c r="D37" s="552"/>
      <c r="E37" s="558"/>
      <c r="F37" s="559"/>
      <c r="G37" s="555"/>
      <c r="H37" s="560"/>
      <c r="I37" s="560"/>
      <c r="J37" s="556"/>
      <c r="K37" s="53" t="str">
        <f t="shared" si="0"/>
        <v/>
      </c>
      <c r="L37" s="53"/>
      <c r="M37" s="53"/>
      <c r="N37" s="53"/>
      <c r="O37" s="53"/>
      <c r="P37" s="53"/>
      <c r="Q37" s="53"/>
      <c r="R37" s="53"/>
      <c r="S37" s="53"/>
      <c r="T37" s="53"/>
      <c r="U37" s="557"/>
      <c r="V37" s="53"/>
      <c r="W37" s="53"/>
      <c r="X37" s="53"/>
      <c r="Y37" s="53"/>
      <c r="Z37" s="53"/>
      <c r="AA37" s="51"/>
      <c r="AB37" s="51"/>
      <c r="AC37" s="51"/>
      <c r="AD37" s="51"/>
      <c r="AE37" s="51"/>
    </row>
    <row r="38" spans="1:31" s="123" customFormat="1" ht="0.75" hidden="1" customHeight="1">
      <c r="A38" s="1199"/>
      <c r="B38" s="1200"/>
      <c r="C38" s="431"/>
      <c r="D38" s="552"/>
      <c r="E38" s="558"/>
      <c r="F38" s="559"/>
      <c r="G38" s="555"/>
      <c r="H38" s="560"/>
      <c r="I38" s="560"/>
      <c r="J38" s="556"/>
      <c r="K38" s="53" t="str">
        <f t="shared" si="0"/>
        <v/>
      </c>
      <c r="L38" s="53"/>
      <c r="M38" s="53"/>
      <c r="N38" s="53"/>
      <c r="O38" s="53"/>
      <c r="P38" s="53"/>
      <c r="Q38" s="53"/>
      <c r="R38" s="53"/>
      <c r="S38" s="53"/>
      <c r="T38" s="53"/>
      <c r="U38" s="557"/>
      <c r="V38" s="53"/>
      <c r="W38" s="53"/>
      <c r="X38" s="53"/>
      <c r="Y38" s="53"/>
      <c r="Z38" s="53"/>
      <c r="AA38" s="51"/>
      <c r="AB38" s="51"/>
      <c r="AC38" s="51"/>
      <c r="AD38" s="51"/>
      <c r="AE38" s="51"/>
    </row>
    <row r="39" spans="1:31" s="123" customFormat="1" ht="0.75" hidden="1" customHeight="1">
      <c r="A39" s="1199"/>
      <c r="B39" s="1200"/>
      <c r="C39" s="431"/>
      <c r="D39" s="552"/>
      <c r="E39" s="558"/>
      <c r="F39" s="559"/>
      <c r="G39" s="555"/>
      <c r="H39" s="345"/>
      <c r="I39" s="345"/>
      <c r="J39" s="556"/>
      <c r="K39" s="53" t="str">
        <f t="shared" si="0"/>
        <v/>
      </c>
      <c r="L39" s="53"/>
      <c r="M39" s="53"/>
      <c r="N39" s="53"/>
      <c r="O39" s="53"/>
      <c r="P39" s="53"/>
      <c r="Q39" s="53"/>
      <c r="R39" s="53"/>
      <c r="S39" s="53"/>
      <c r="T39" s="53"/>
      <c r="U39" s="557"/>
      <c r="V39" s="53"/>
      <c r="W39" s="53"/>
      <c r="X39" s="53"/>
      <c r="Y39" s="53"/>
      <c r="Z39" s="53"/>
      <c r="AA39" s="51"/>
      <c r="AB39" s="51"/>
      <c r="AC39" s="51"/>
      <c r="AD39" s="51"/>
      <c r="AE39" s="51"/>
    </row>
    <row r="40" spans="1:31" s="49" customFormat="1" ht="15" hidden="1" customHeight="1">
      <c r="A40" s="1199"/>
      <c r="C40" s="53"/>
      <c r="D40" s="120"/>
      <c r="E40" s="561"/>
      <c r="F40" s="199" t="s">
        <v>549</v>
      </c>
      <c r="G40" s="562"/>
      <c r="H40" s="563"/>
      <c r="I40" s="563"/>
      <c r="J40" s="444"/>
      <c r="K40" s="53" t="str">
        <f t="shared" si="0"/>
        <v/>
      </c>
      <c r="L40" s="53"/>
      <c r="M40" s="53"/>
      <c r="R40" s="53"/>
      <c r="U40" s="530"/>
      <c r="AA40" s="52"/>
      <c r="AB40" s="52"/>
      <c r="AC40" s="52"/>
      <c r="AD40" s="52"/>
      <c r="AE40" s="52"/>
    </row>
    <row r="41" spans="1:31" ht="11.25" hidden="1" customHeight="1">
      <c r="A41" s="1199" t="s">
        <v>550</v>
      </c>
      <c r="D41" s="117"/>
      <c r="E41" s="531" t="str">
        <f>FHD_NUM_P_5</f>
        <v/>
      </c>
      <c r="F41" s="513" t="str">
        <f>FHD_P_5</f>
        <v/>
      </c>
      <c r="G41" s="148" t="s">
        <v>532</v>
      </c>
      <c r="H41" s="550"/>
      <c r="I41" s="550"/>
      <c r="J41" s="395" t="str">
        <f>FHD_NOTE_P_5</f>
        <v/>
      </c>
      <c r="K41" s="53" t="str">
        <f t="shared" si="0"/>
        <v/>
      </c>
    </row>
    <row r="42" spans="1:31" ht="11.25" hidden="1" customHeight="1">
      <c r="A42" s="1199"/>
      <c r="D42" s="117"/>
      <c r="E42" s="531" t="str">
        <f>FHD_NUM_P_6</f>
        <v/>
      </c>
      <c r="F42" s="513" t="str">
        <f>FHD_P_6</f>
        <v/>
      </c>
      <c r="G42" s="148" t="s">
        <v>532</v>
      </c>
      <c r="H42" s="550"/>
      <c r="I42" s="550"/>
      <c r="J42" s="395" t="str">
        <f>FHD_NOTE_P_6</f>
        <v/>
      </c>
      <c r="K42" s="53" t="str">
        <f t="shared" si="0"/>
        <v/>
      </c>
    </row>
    <row r="43" spans="1:31" ht="11.25" hidden="1" customHeight="1">
      <c r="A43" s="1199"/>
      <c r="D43" s="117"/>
      <c r="E43" s="531" t="str">
        <f>FHD_NUM_P_7</f>
        <v/>
      </c>
      <c r="F43" s="513" t="str">
        <f>FHD_P_7</f>
        <v/>
      </c>
      <c r="G43" s="148" t="s">
        <v>532</v>
      </c>
      <c r="H43" s="550"/>
      <c r="I43" s="550"/>
      <c r="J43" s="395" t="str">
        <f>FHD_NOTE_P_7</f>
        <v/>
      </c>
      <c r="K43" s="53" t="str">
        <f t="shared" si="0"/>
        <v/>
      </c>
    </row>
    <row r="44" spans="1:31" ht="11.25" customHeight="1">
      <c r="D44" s="117"/>
      <c r="E44" s="531" t="str">
        <f>FHD_NUM_P_8</f>
        <v>2.2</v>
      </c>
      <c r="F44" s="513" t="str">
        <f>FHD_P_8</f>
        <v>Расходы на приобретаемую электрическую энергию (мощность), используемую в технологическом процессе</v>
      </c>
      <c r="G44" s="148" t="s">
        <v>532</v>
      </c>
      <c r="H44" s="550"/>
      <c r="I44" s="550"/>
      <c r="J44" s="395" t="str">
        <f>FHD_NOTE_P_8</f>
        <v/>
      </c>
      <c r="K44" s="53" t="str">
        <f t="shared" si="0"/>
        <v>p</v>
      </c>
    </row>
    <row r="45" spans="1:31" ht="11.25" customHeight="1">
      <c r="D45" s="117"/>
      <c r="E45" s="531" t="str">
        <f>FHD_NUM_P_9</f>
        <v>2.2.1</v>
      </c>
      <c r="F45" s="564" t="str">
        <f>FHD_P_9</f>
        <v>Средневзвешенная стоимость 1 кВт.ч (с учетом мощности)</v>
      </c>
      <c r="G45" s="148" t="s">
        <v>551</v>
      </c>
      <c r="H45" s="550"/>
      <c r="I45" s="550"/>
      <c r="J45" s="395" t="str">
        <f>FHD_NOTE_P_9</f>
        <v/>
      </c>
      <c r="K45" s="53" t="str">
        <f t="shared" si="0"/>
        <v/>
      </c>
    </row>
    <row r="46" spans="1:31" s="49" customFormat="1" ht="11.25" customHeight="1">
      <c r="A46" s="529"/>
      <c r="C46" s="53"/>
      <c r="D46" s="565"/>
      <c r="E46" s="531" t="str">
        <f>FHD_NUM_P_10</f>
        <v>2.2.2</v>
      </c>
      <c r="F46" s="564" t="str">
        <f>FHD_P_10</f>
        <v>Объём приобретения электрической энергии</v>
      </c>
      <c r="G46" s="148" t="s">
        <v>552</v>
      </c>
      <c r="H46" s="550"/>
      <c r="I46" s="550"/>
      <c r="J46" s="395" t="str">
        <f>FHD_NOTE_P_10</f>
        <v/>
      </c>
      <c r="K46" s="53" t="str">
        <f t="shared" si="0"/>
        <v/>
      </c>
      <c r="L46" s="53"/>
      <c r="M46" s="53"/>
      <c r="R46" s="53"/>
      <c r="U46" s="530"/>
      <c r="AA46" s="52"/>
      <c r="AB46" s="52"/>
      <c r="AC46" s="52"/>
      <c r="AD46" s="52"/>
      <c r="AE46" s="52"/>
    </row>
    <row r="47" spans="1:31" s="49" customFormat="1" ht="11.25" hidden="1" customHeight="1">
      <c r="A47" s="566" t="s">
        <v>553</v>
      </c>
      <c r="C47" s="53"/>
      <c r="D47" s="567"/>
      <c r="E47" s="531" t="str">
        <f>FHD_NUM_P_11</f>
        <v/>
      </c>
      <c r="F47" s="513" t="str">
        <f>FHD_P_11</f>
        <v/>
      </c>
      <c r="G47" s="148" t="s">
        <v>532</v>
      </c>
      <c r="H47" s="550"/>
      <c r="I47" s="550"/>
      <c r="J47" s="395" t="str">
        <f>FHD_NOTE_P_11</f>
        <v/>
      </c>
      <c r="K47" s="53" t="str">
        <f t="shared" si="0"/>
        <v/>
      </c>
      <c r="L47" s="53"/>
      <c r="M47" s="53"/>
      <c r="R47" s="53"/>
      <c r="U47" s="530"/>
      <c r="AA47" s="52"/>
      <c r="AB47" s="52"/>
      <c r="AC47" s="52"/>
      <c r="AD47" s="52"/>
      <c r="AE47" s="52"/>
    </row>
    <row r="48" spans="1:31" s="49" customFormat="1" ht="18" customHeight="1">
      <c r="A48" s="566" t="s">
        <v>554</v>
      </c>
      <c r="C48" s="53"/>
      <c r="D48" s="117"/>
      <c r="E48" s="531" t="str">
        <f>FHD_NUM_P_12</f>
        <v>2.3</v>
      </c>
      <c r="F48" s="513" t="str">
        <f>FHD_P_12</f>
        <v>Расходы на химические реагенты, используемые в технологическом процессе</v>
      </c>
      <c r="G48" s="148" t="s">
        <v>532</v>
      </c>
      <c r="H48" s="568"/>
      <c r="I48" s="568"/>
      <c r="J48" s="395" t="str">
        <f>FHD_NOTE_P_12</f>
        <v/>
      </c>
      <c r="K48" s="53" t="str">
        <f t="shared" si="0"/>
        <v>p</v>
      </c>
      <c r="L48" s="53"/>
      <c r="M48" s="53"/>
      <c r="R48" s="53"/>
      <c r="U48" s="530"/>
      <c r="AA48" s="52"/>
      <c r="AB48" s="52"/>
      <c r="AC48" s="52"/>
      <c r="AD48" s="52"/>
      <c r="AE48" s="52"/>
    </row>
    <row r="49" spans="1:31" s="392" customFormat="1" ht="11.25" customHeight="1">
      <c r="A49" s="569"/>
      <c r="C49" s="375"/>
      <c r="D49" s="255"/>
      <c r="E49" s="531" t="str">
        <f>FHD_NUM_P_13</f>
        <v>2.4</v>
      </c>
      <c r="F49" s="5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8" t="s">
        <v>532</v>
      </c>
      <c r="H49" s="550"/>
      <c r="I49" s="550"/>
      <c r="J49" s="395" t="str">
        <f>FHD_NOTE_P_13</f>
        <v>Указывается общая сумма расходов на оплату труда и отчислений на социальные нужды основного производственного персонала.</v>
      </c>
      <c r="K49" s="53" t="str">
        <f t="shared" si="0"/>
        <v>p</v>
      </c>
      <c r="L49" s="375"/>
      <c r="M49" s="375"/>
      <c r="R49" s="375"/>
      <c r="U49" s="570"/>
      <c r="AA49" s="44"/>
      <c r="AB49" s="44"/>
      <c r="AC49" s="44"/>
      <c r="AD49" s="44"/>
      <c r="AE49" s="44"/>
    </row>
    <row r="50" spans="1:31" s="392" customFormat="1" ht="11.25" customHeight="1">
      <c r="A50" s="569"/>
      <c r="C50" s="375"/>
      <c r="D50" s="255"/>
      <c r="E50" s="531" t="str">
        <f>FHD_NUM_P_14</f>
        <v>2.4.1</v>
      </c>
      <c r="F50" s="564" t="str">
        <f>FHD_P_14</f>
        <v>Расходы на оплату труда основного производственного персонала</v>
      </c>
      <c r="G50" s="148" t="s">
        <v>532</v>
      </c>
      <c r="H50" s="550"/>
      <c r="I50" s="550"/>
      <c r="J50" s="395" t="str">
        <f>FHD_NOTE_P_14</f>
        <v/>
      </c>
      <c r="K50" s="53" t="str">
        <f t="shared" si="0"/>
        <v/>
      </c>
      <c r="L50" s="375"/>
      <c r="M50" s="375"/>
      <c r="R50" s="375"/>
      <c r="U50" s="570"/>
      <c r="AA50" s="44"/>
      <c r="AB50" s="44"/>
      <c r="AC50" s="44"/>
      <c r="AD50" s="44"/>
      <c r="AE50" s="44"/>
    </row>
    <row r="51" spans="1:31" s="392" customFormat="1" ht="11.25" customHeight="1">
      <c r="A51" s="569"/>
      <c r="C51" s="375"/>
      <c r="D51" s="255"/>
      <c r="E51" s="531" t="str">
        <f>FHD_NUM_P_15</f>
        <v>2.4.2</v>
      </c>
      <c r="F51" s="564" t="str">
        <f>FHD_P_15</f>
        <v>Страховые взносы на обязательное социальное страхование, выплачиваемые из фонда оплаты труда основного производственного персонала</v>
      </c>
      <c r="G51" s="148" t="s">
        <v>532</v>
      </c>
      <c r="H51" s="550"/>
      <c r="I51" s="550"/>
      <c r="J51" s="395" t="str">
        <f>FHD_NOTE_P_15</f>
        <v/>
      </c>
      <c r="K51" s="53" t="str">
        <f t="shared" si="0"/>
        <v/>
      </c>
      <c r="L51" s="375"/>
      <c r="M51" s="375"/>
      <c r="R51" s="375"/>
      <c r="U51" s="570"/>
      <c r="AA51" s="44"/>
      <c r="AB51" s="44"/>
      <c r="AC51" s="44"/>
      <c r="AD51" s="44"/>
      <c r="AE51" s="44"/>
    </row>
    <row r="52" spans="1:31" s="49" customFormat="1" ht="11.25" customHeight="1">
      <c r="A52" s="529"/>
      <c r="C52" s="53"/>
      <c r="D52" s="117"/>
      <c r="E52" s="531" t="str">
        <f>FHD_NUM_P_16</f>
        <v>2.5</v>
      </c>
      <c r="F52" s="5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48" t="s">
        <v>532</v>
      </c>
      <c r="H52" s="550"/>
      <c r="I52" s="550"/>
      <c r="J52" s="395" t="str">
        <f>FHD_NOTE_P_16</f>
        <v>Указывается общая сумма расходов на оплату труда и отчислений на социальные нужды административно-управленческого персонала.</v>
      </c>
      <c r="K52" s="53" t="str">
        <f t="shared" si="0"/>
        <v>p</v>
      </c>
      <c r="L52" s="53"/>
      <c r="M52" s="53"/>
      <c r="R52" s="53"/>
      <c r="U52" s="530"/>
      <c r="AA52" s="52"/>
      <c r="AB52" s="52"/>
      <c r="AC52" s="52"/>
      <c r="AD52" s="52"/>
      <c r="AE52" s="52"/>
    </row>
    <row r="53" spans="1:31" s="49" customFormat="1" ht="11.25" customHeight="1">
      <c r="A53" s="529"/>
      <c r="C53" s="53"/>
      <c r="D53" s="117"/>
      <c r="E53" s="531" t="str">
        <f>FHD_NUM_P_17</f>
        <v>2.5.1</v>
      </c>
      <c r="F53" s="564" t="str">
        <f>FHD_P_17</f>
        <v>Расходы на оплату труда административно-управленческого персонала, в том числе:</v>
      </c>
      <c r="G53" s="148" t="s">
        <v>532</v>
      </c>
      <c r="H53" s="550"/>
      <c r="I53" s="550"/>
      <c r="J53" s="395" t="str">
        <f>FHD_NOTE_P_17</f>
        <v/>
      </c>
      <c r="K53" s="53" t="str">
        <f t="shared" si="0"/>
        <v/>
      </c>
      <c r="L53" s="53"/>
      <c r="M53" s="53"/>
      <c r="R53" s="53"/>
      <c r="U53" s="530"/>
      <c r="AA53" s="52"/>
      <c r="AB53" s="52"/>
      <c r="AC53" s="52"/>
      <c r="AD53" s="52"/>
      <c r="AE53" s="52"/>
    </row>
    <row r="54" spans="1:31" s="49" customFormat="1" ht="11.25" customHeight="1">
      <c r="A54" s="529"/>
      <c r="C54" s="53"/>
      <c r="D54" s="117"/>
      <c r="E54" s="531" t="str">
        <f>FHD_NUM_P_18</f>
        <v>2.5.2</v>
      </c>
      <c r="F54" s="56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48" t="s">
        <v>532</v>
      </c>
      <c r="H54" s="550"/>
      <c r="I54" s="550"/>
      <c r="J54" s="395" t="str">
        <f>FHD_NOTE_P_18</f>
        <v/>
      </c>
      <c r="K54" s="53" t="str">
        <f t="shared" si="0"/>
        <v/>
      </c>
      <c r="L54" s="53"/>
      <c r="M54" s="53"/>
      <c r="R54" s="53"/>
      <c r="U54" s="530"/>
      <c r="AA54" s="52"/>
      <c r="AB54" s="52"/>
      <c r="AC54" s="52"/>
      <c r="AD54" s="52"/>
      <c r="AE54" s="52"/>
    </row>
    <row r="55" spans="1:31" s="49" customFormat="1" ht="11.25" customHeight="1">
      <c r="A55" s="529"/>
      <c r="C55" s="53"/>
      <c r="D55" s="567"/>
      <c r="E55" s="531" t="str">
        <f>FHD_NUM_P_19</f>
        <v>2.6</v>
      </c>
      <c r="F55" s="513" t="str">
        <f>FHD_P_19</f>
        <v>Расходы на амортизацию основных средств и нематериальных активов</v>
      </c>
      <c r="G55" s="148" t="s">
        <v>532</v>
      </c>
      <c r="H55" s="550"/>
      <c r="I55" s="550"/>
      <c r="J55" s="395" t="str">
        <f>FHD_NOTE_P_19</f>
        <v/>
      </c>
      <c r="K55" s="53" t="str">
        <f t="shared" si="0"/>
        <v>p</v>
      </c>
      <c r="L55" s="53"/>
      <c r="M55" s="53"/>
      <c r="R55" s="53"/>
      <c r="U55" s="530"/>
      <c r="AA55" s="52"/>
      <c r="AB55" s="52"/>
      <c r="AC55" s="52"/>
      <c r="AD55" s="52"/>
      <c r="AE55" s="52"/>
    </row>
    <row r="56" spans="1:31" s="49" customFormat="1" ht="11.25" customHeight="1">
      <c r="A56" s="529"/>
      <c r="C56" s="53"/>
      <c r="D56" s="567"/>
      <c r="E56" s="531" t="str">
        <f>FHD_NUM_P_20</f>
        <v>2.6.1</v>
      </c>
      <c r="F56" s="564" t="str">
        <f>FHD_P_20</f>
        <v>Расходы на амортизацию основных средств</v>
      </c>
      <c r="G56" s="148" t="s">
        <v>532</v>
      </c>
      <c r="H56" s="550"/>
      <c r="I56" s="550"/>
      <c r="J56" s="395" t="str">
        <f>FHD_NOTE_P_20</f>
        <v/>
      </c>
      <c r="K56" s="53" t="str">
        <f t="shared" si="0"/>
        <v/>
      </c>
      <c r="L56" s="53"/>
      <c r="M56" s="53"/>
      <c r="R56" s="53"/>
      <c r="U56" s="530"/>
      <c r="AA56" s="52"/>
      <c r="AB56" s="52"/>
      <c r="AC56" s="52"/>
      <c r="AD56" s="52"/>
      <c r="AE56" s="52"/>
    </row>
    <row r="57" spans="1:31" s="49" customFormat="1" ht="11.25" customHeight="1">
      <c r="A57" s="529"/>
      <c r="C57" s="53"/>
      <c r="D57" s="567"/>
      <c r="E57" s="531" t="str">
        <f>FHD_NUM_P_21</f>
        <v>2.6.2</v>
      </c>
      <c r="F57" s="564" t="str">
        <f>FHD_P_21</f>
        <v>Расходы на амортизацию нематериальных активов</v>
      </c>
      <c r="G57" s="148" t="s">
        <v>532</v>
      </c>
      <c r="H57" s="550"/>
      <c r="I57" s="550"/>
      <c r="J57" s="395" t="str">
        <f>FHD_NOTE_P_21</f>
        <v/>
      </c>
      <c r="K57" s="53" t="str">
        <f t="shared" si="0"/>
        <v/>
      </c>
      <c r="L57" s="53"/>
      <c r="M57" s="53"/>
      <c r="R57" s="53"/>
      <c r="U57" s="530"/>
      <c r="AA57" s="52"/>
      <c r="AB57" s="52"/>
      <c r="AC57" s="52"/>
      <c r="AD57" s="52"/>
      <c r="AE57" s="52"/>
    </row>
    <row r="58" spans="1:31" s="49" customFormat="1" ht="11.25" customHeight="1">
      <c r="A58" s="529"/>
      <c r="C58" s="53"/>
      <c r="D58" s="117"/>
      <c r="E58" s="531" t="str">
        <f>FHD_NUM_P_22</f>
        <v>2.7</v>
      </c>
      <c r="F58" s="513" t="str">
        <f>FHD_P_22</f>
        <v>Расходы на аренду имущества, используемого для осуществления регулируемых видов деятельности в сфере водоотведения</v>
      </c>
      <c r="G58" s="148" t="s">
        <v>532</v>
      </c>
      <c r="H58" s="550"/>
      <c r="I58" s="550"/>
      <c r="J58" s="395" t="str">
        <f>FHD_NOTE_P_22</f>
        <v/>
      </c>
      <c r="K58" s="53" t="str">
        <f t="shared" si="0"/>
        <v>p</v>
      </c>
      <c r="L58" s="53"/>
      <c r="M58" s="53"/>
      <c r="R58" s="53"/>
      <c r="U58" s="530"/>
      <c r="AA58" s="52"/>
      <c r="AB58" s="52"/>
      <c r="AC58" s="52"/>
      <c r="AD58" s="52"/>
      <c r="AE58" s="52"/>
    </row>
    <row r="59" spans="1:31" s="49" customFormat="1" ht="11.25" customHeight="1">
      <c r="A59" s="529"/>
      <c r="C59" s="53"/>
      <c r="D59" s="567"/>
      <c r="E59" s="531" t="str">
        <f>FHD_NUM_P_23</f>
        <v>2.8</v>
      </c>
      <c r="F59" s="513" t="str">
        <f>FHD_P_23</f>
        <v>Общепроизводственные расходы, в том числе:</v>
      </c>
      <c r="G59" s="148" t="s">
        <v>532</v>
      </c>
      <c r="H59" s="550"/>
      <c r="I59" s="550"/>
      <c r="J59" s="395" t="str">
        <f>FHD_NOTE_P_23</f>
        <v>Указывается общая сумма общепроизводственных расходов.</v>
      </c>
      <c r="K59" s="53" t="str">
        <f t="shared" si="0"/>
        <v>p</v>
      </c>
      <c r="L59" s="53"/>
      <c r="M59" s="53"/>
      <c r="R59" s="53"/>
      <c r="U59" s="530"/>
      <c r="AA59" s="52"/>
      <c r="AB59" s="52"/>
      <c r="AC59" s="52"/>
      <c r="AD59" s="52"/>
      <c r="AE59" s="52"/>
    </row>
    <row r="60" spans="1:31" s="49" customFormat="1" ht="11.25" customHeight="1">
      <c r="A60" s="529"/>
      <c r="C60" s="53"/>
      <c r="D60" s="567"/>
      <c r="E60" s="531" t="str">
        <f>FHD_NUM_P_24</f>
        <v>2.8.1</v>
      </c>
      <c r="F60" s="564" t="str">
        <f>FHD_P_24</f>
        <v>Расходы на текущий ремонт</v>
      </c>
      <c r="G60" s="148" t="s">
        <v>532</v>
      </c>
      <c r="H60" s="550"/>
      <c r="I60" s="550"/>
      <c r="J60" s="395" t="str">
        <f>FHD_NOTE_P_24</f>
        <v>Указываются расходы на текущий ремонт, отнесенные к общепроизводственным расходам.</v>
      </c>
      <c r="K60" s="53" t="str">
        <f t="shared" si="0"/>
        <v/>
      </c>
      <c r="L60" s="53"/>
      <c r="M60" s="53"/>
      <c r="R60" s="53"/>
      <c r="U60" s="530"/>
      <c r="AA60" s="52"/>
      <c r="AB60" s="52"/>
      <c r="AC60" s="52"/>
      <c r="AD60" s="52"/>
      <c r="AE60" s="52"/>
    </row>
    <row r="61" spans="1:31" s="49" customFormat="1" ht="11.25" customHeight="1">
      <c r="A61" s="529"/>
      <c r="C61" s="53"/>
      <c r="D61" s="567"/>
      <c r="E61" s="531" t="str">
        <f>FHD_NUM_P_25</f>
        <v>2.8.2</v>
      </c>
      <c r="F61" s="564" t="str">
        <f>FHD_P_25</f>
        <v>Расходы на капитальный ремонт</v>
      </c>
      <c r="G61" s="148" t="s">
        <v>532</v>
      </c>
      <c r="H61" s="550"/>
      <c r="I61" s="550"/>
      <c r="J61" s="395" t="str">
        <f>FHD_NOTE_P_25</f>
        <v>Указываются расходы на капитальный ремонт, отнесенные к общепроизводственным расходам.</v>
      </c>
      <c r="K61" s="53" t="str">
        <f t="shared" si="0"/>
        <v/>
      </c>
      <c r="L61" s="53"/>
      <c r="M61" s="53"/>
      <c r="R61" s="53"/>
      <c r="U61" s="530"/>
      <c r="AA61" s="52"/>
      <c r="AB61" s="52"/>
      <c r="AC61" s="52"/>
      <c r="AD61" s="52"/>
      <c r="AE61" s="52"/>
    </row>
    <row r="62" spans="1:31" s="49" customFormat="1" ht="11.25" customHeight="1">
      <c r="A62" s="529"/>
      <c r="C62" s="53"/>
      <c r="D62" s="117"/>
      <c r="E62" s="531" t="str">
        <f>FHD_NUM_P_26</f>
        <v>2.9</v>
      </c>
      <c r="F62" s="513" t="str">
        <f>FHD_P_26</f>
        <v>Общехозяйственные расходы, в том числе:</v>
      </c>
      <c r="G62" s="148" t="s">
        <v>532</v>
      </c>
      <c r="H62" s="550"/>
      <c r="I62" s="550"/>
      <c r="J62" s="395" t="str">
        <f>FHD_NOTE_P_26</f>
        <v>Указывается общая сумма общехозяйственных расходов.</v>
      </c>
      <c r="K62" s="53" t="str">
        <f t="shared" si="0"/>
        <v>p</v>
      </c>
      <c r="L62" s="53"/>
      <c r="M62" s="53"/>
      <c r="R62" s="53"/>
      <c r="U62" s="530"/>
      <c r="AA62" s="52"/>
      <c r="AB62" s="52"/>
      <c r="AC62" s="52"/>
      <c r="AD62" s="52"/>
      <c r="AE62" s="52"/>
    </row>
    <row r="63" spans="1:31" s="49" customFormat="1" ht="11.25" customHeight="1">
      <c r="A63" s="529"/>
      <c r="C63" s="53"/>
      <c r="D63" s="117"/>
      <c r="E63" s="531" t="str">
        <f>FHD_NUM_P_27</f>
        <v>2.9.1</v>
      </c>
      <c r="F63" s="564" t="str">
        <f>FHD_P_27</f>
        <v>Расходы на текущий ремонт</v>
      </c>
      <c r="G63" s="148" t="s">
        <v>532</v>
      </c>
      <c r="H63" s="550"/>
      <c r="I63" s="550"/>
      <c r="J63" s="395" t="str">
        <f>FHD_NOTE_P_27</f>
        <v>Указываются расходы на текущий ремонт, отнесенные к общехозяйственным расходам.</v>
      </c>
      <c r="K63" s="53" t="str">
        <f t="shared" si="0"/>
        <v/>
      </c>
      <c r="L63" s="53"/>
      <c r="M63" s="53"/>
      <c r="R63" s="53"/>
      <c r="U63" s="530"/>
      <c r="AA63" s="52"/>
      <c r="AB63" s="52"/>
      <c r="AC63" s="52"/>
      <c r="AD63" s="52"/>
      <c r="AE63" s="52"/>
    </row>
    <row r="64" spans="1:31" s="49" customFormat="1" ht="11.25" customHeight="1">
      <c r="A64" s="529"/>
      <c r="C64" s="53"/>
      <c r="D64" s="117"/>
      <c r="E64" s="531" t="str">
        <f>FHD_NUM_P_28</f>
        <v>2.9.2</v>
      </c>
      <c r="F64" s="564" t="str">
        <f>FHD_P_28</f>
        <v>Расходы на капитальный ремонт</v>
      </c>
      <c r="G64" s="148" t="s">
        <v>532</v>
      </c>
      <c r="H64" s="550"/>
      <c r="I64" s="550"/>
      <c r="J64" s="395" t="str">
        <f>FHD_NOTE_P_28</f>
        <v>Указываются расходы на капитальный ремонт, отнесенные к общехозяйственным расходам.</v>
      </c>
      <c r="K64" s="53" t="str">
        <f t="shared" si="0"/>
        <v/>
      </c>
      <c r="L64" s="53"/>
      <c r="M64" s="53"/>
      <c r="R64" s="53"/>
      <c r="U64" s="530"/>
      <c r="AA64" s="52"/>
      <c r="AB64" s="52"/>
      <c r="AC64" s="52"/>
      <c r="AD64" s="52"/>
      <c r="AE64" s="52"/>
    </row>
    <row r="65" spans="1:31" s="49" customFormat="1" ht="11.25" customHeight="1">
      <c r="A65" s="529"/>
      <c r="C65" s="53"/>
      <c r="D65" s="117"/>
      <c r="E65" s="531" t="str">
        <f>FHD_NUM_P_29</f>
        <v>2.10</v>
      </c>
      <c r="F65" s="513" t="str">
        <f>FHD_P_29</f>
        <v>Расходы на капитальный и текущий ремонт основных средств</v>
      </c>
      <c r="G65" s="148" t="s">
        <v>532</v>
      </c>
      <c r="H65" s="550"/>
      <c r="I65" s="550"/>
      <c r="J65" s="3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53" t="str">
        <f t="shared" si="0"/>
        <v>p</v>
      </c>
      <c r="L65" s="53"/>
      <c r="M65" s="53"/>
      <c r="R65" s="53"/>
      <c r="U65" s="530"/>
      <c r="AA65" s="52"/>
      <c r="AB65" s="52"/>
      <c r="AC65" s="52"/>
      <c r="AD65" s="52"/>
      <c r="AE65" s="52"/>
    </row>
    <row r="66" spans="1:31" s="49" customFormat="1" ht="11.25" customHeight="1">
      <c r="A66" s="529"/>
      <c r="C66" s="53"/>
      <c r="D66" s="117"/>
      <c r="E66" s="531" t="str">
        <f>FHD_NUM_P_30</f>
        <v>2.10.1</v>
      </c>
      <c r="F66" s="56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8" t="s">
        <v>293</v>
      </c>
      <c r="H66" s="309" t="s">
        <v>555</v>
      </c>
      <c r="I66" s="309" t="s">
        <v>555</v>
      </c>
      <c r="J66" s="395" t="str">
        <f>FHD_NOTE_P_30</f>
        <v/>
      </c>
      <c r="K66" s="53" t="str">
        <f t="shared" si="0"/>
        <v/>
      </c>
      <c r="L66" s="53">
        <f>IFERROR(MATCH("есть",B_FHD_FLAG_INDEX_1,0),0)</f>
        <v>0</v>
      </c>
      <c r="M66" s="53"/>
      <c r="R66" s="53"/>
      <c r="U66" s="530"/>
      <c r="AA66" s="52"/>
      <c r="AB66" s="52"/>
      <c r="AC66" s="52"/>
      <c r="AD66" s="52"/>
      <c r="AE66" s="52"/>
    </row>
    <row r="67" spans="1:31" s="49" customFormat="1" ht="22.5" customHeight="1">
      <c r="A67" s="1199" t="s">
        <v>556</v>
      </c>
      <c r="C67" s="53"/>
      <c r="D67" s="117"/>
      <c r="E67" s="531" t="str">
        <f>FHD_NUM_P_31</f>
        <v>2.11</v>
      </c>
      <c r="F67" s="5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48" t="s">
        <v>532</v>
      </c>
      <c r="H67" s="550"/>
      <c r="I67" s="550"/>
      <c r="J67" s="3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53" t="str">
        <f t="shared" si="0"/>
        <v>p</v>
      </c>
      <c r="L67" s="53"/>
      <c r="M67" s="53"/>
      <c r="R67" s="53"/>
      <c r="U67" s="530"/>
      <c r="AA67" s="52"/>
      <c r="AB67" s="52"/>
      <c r="AC67" s="52"/>
      <c r="AD67" s="52"/>
      <c r="AE67" s="52"/>
    </row>
    <row r="68" spans="1:31" s="49" customFormat="1" ht="45" customHeight="1">
      <c r="A68" s="1199"/>
      <c r="C68" s="53"/>
      <c r="D68" s="117"/>
      <c r="E68" s="531" t="str">
        <f>FHD_NUM_P_32</f>
        <v>2.11.1</v>
      </c>
      <c r="F68" s="56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48" t="s">
        <v>293</v>
      </c>
      <c r="H68" s="309" t="s">
        <v>555</v>
      </c>
      <c r="I68" s="309" t="s">
        <v>555</v>
      </c>
      <c r="J68" s="395" t="str">
        <f>FHD_NOTE_P_32</f>
        <v/>
      </c>
      <c r="K68" s="53" t="str">
        <f t="shared" si="0"/>
        <v/>
      </c>
      <c r="L68" s="53">
        <f>IFERROR(MATCH("есть",B_FHD_FLAG_INDEX_2,0),0)</f>
        <v>0</v>
      </c>
      <c r="M68" s="53"/>
      <c r="R68" s="53"/>
      <c r="U68" s="530"/>
      <c r="AA68" s="52"/>
      <c r="AB68" s="52"/>
      <c r="AC68" s="52"/>
      <c r="AD68" s="52"/>
      <c r="AE68" s="52"/>
    </row>
    <row r="69" spans="1:31" s="49" customFormat="1" ht="11.25" customHeight="1">
      <c r="A69" s="529"/>
      <c r="C69" s="53"/>
      <c r="D69" s="117"/>
      <c r="E69" s="531" t="str">
        <f>FHD_NUM_P_33</f>
        <v>2.12</v>
      </c>
      <c r="F69" s="51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42" t="s">
        <v>532</v>
      </c>
      <c r="H69" s="571">
        <f>SUM(H70:H71)</f>
        <v>0</v>
      </c>
      <c r="I69" s="571">
        <f>SUM(I70:I71)</f>
        <v>0</v>
      </c>
      <c r="J69" s="3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53" t="str">
        <f t="shared" si="0"/>
        <v>p</v>
      </c>
      <c r="L69" s="53"/>
      <c r="M69" s="53"/>
      <c r="R69" s="53"/>
      <c r="U69" s="530"/>
      <c r="AA69" s="52"/>
      <c r="AB69" s="52"/>
      <c r="AC69" s="52"/>
      <c r="AD69" s="52"/>
      <c r="AE69" s="52"/>
    </row>
    <row r="70" spans="1:31" s="53" customFormat="1" ht="0.75" customHeight="1">
      <c r="A70" s="431"/>
      <c r="D70" s="431"/>
      <c r="E70" s="149" t="str">
        <f>E69&amp;".0"</f>
        <v>2.12.0</v>
      </c>
      <c r="F70" s="572"/>
      <c r="G70" s="149"/>
      <c r="H70" s="573"/>
      <c r="I70" s="573"/>
      <c r="J70" s="574"/>
      <c r="K70" s="53" t="str">
        <f t="shared" si="0"/>
        <v/>
      </c>
    </row>
    <row r="71" spans="1:31" s="49" customFormat="1" ht="14.25" customHeight="1">
      <c r="A71" s="529"/>
      <c r="C71" s="53"/>
      <c r="D71" s="120"/>
      <c r="E71" s="561"/>
      <c r="F71" s="199" t="s">
        <v>557</v>
      </c>
      <c r="G71" s="562"/>
      <c r="H71" s="563"/>
      <c r="I71" s="563"/>
      <c r="J71" s="444"/>
      <c r="K71" s="53"/>
      <c r="L71" s="53"/>
      <c r="M71" s="53"/>
      <c r="R71" s="53"/>
      <c r="U71" s="530"/>
      <c r="AA71" s="52"/>
      <c r="AB71" s="52"/>
      <c r="AC71" s="52"/>
      <c r="AD71" s="52"/>
      <c r="AE71" s="52"/>
    </row>
    <row r="72" spans="1:31" s="49" customFormat="1" ht="18.75" hidden="1" customHeight="1">
      <c r="A72" s="566" t="s">
        <v>558</v>
      </c>
      <c r="C72" s="53"/>
      <c r="D72" s="117"/>
      <c r="E72" s="531" t="str">
        <f>FHD_NUM_P_34</f>
        <v/>
      </c>
      <c r="F72" s="549" t="str">
        <f>FHD_P_34</f>
        <v/>
      </c>
      <c r="G72" s="148" t="s">
        <v>532</v>
      </c>
      <c r="H72" s="550"/>
      <c r="I72" s="550"/>
      <c r="J72" s="395" t="str">
        <f>FHD_NOTE_P_34</f>
        <v/>
      </c>
      <c r="K72" s="534"/>
      <c r="L72" s="53"/>
      <c r="M72" s="53"/>
      <c r="R72" s="53"/>
      <c r="U72" s="530"/>
      <c r="AA72" s="52"/>
      <c r="AB72" s="52"/>
      <c r="AC72" s="52"/>
      <c r="AD72" s="52"/>
      <c r="AE72" s="52"/>
    </row>
    <row r="73" spans="1:31" s="49" customFormat="1" ht="18.75" customHeight="1">
      <c r="A73" s="529"/>
      <c r="C73" s="53"/>
      <c r="D73" s="567"/>
      <c r="E73" s="531" t="str">
        <f>FHD_NUM_P_35</f>
        <v>3</v>
      </c>
      <c r="F73" s="549" t="str">
        <f>FHD_P_35</f>
        <v>Чистая прибыль, полученная от регулируемого вида деятельности в сфере водоотведения, в том числе:</v>
      </c>
      <c r="G73" s="148" t="s">
        <v>532</v>
      </c>
      <c r="H73" s="550"/>
      <c r="I73" s="550"/>
      <c r="J73" s="395" t="str">
        <f>FHD_NOTE_P_35</f>
        <v>Указывается общая сумма чистой прибыли, полученной от регулируемого вида деятельности.</v>
      </c>
      <c r="K73" s="534"/>
      <c r="L73" s="53"/>
      <c r="M73" s="53"/>
      <c r="R73" s="53"/>
      <c r="U73" s="530"/>
      <c r="AA73" s="52"/>
      <c r="AB73" s="52"/>
      <c r="AC73" s="52"/>
      <c r="AD73" s="52"/>
      <c r="AE73" s="52"/>
    </row>
    <row r="74" spans="1:31" s="49" customFormat="1" ht="18.75" customHeight="1">
      <c r="A74" s="529"/>
      <c r="C74" s="53"/>
      <c r="D74" s="117"/>
      <c r="E74" s="531" t="str">
        <f>FHD_NUM_P_36</f>
        <v>3.1</v>
      </c>
      <c r="F74" s="5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48" t="s">
        <v>532</v>
      </c>
      <c r="H74" s="550"/>
      <c r="I74" s="550"/>
      <c r="J74" s="395" t="str">
        <f>FHD_NOTE_P_36</f>
        <v/>
      </c>
      <c r="K74" s="534"/>
      <c r="L74" s="53"/>
      <c r="M74" s="53"/>
      <c r="R74" s="53"/>
      <c r="U74" s="530"/>
      <c r="AA74" s="52"/>
      <c r="AB74" s="52"/>
      <c r="AC74" s="52"/>
      <c r="AD74" s="52"/>
      <c r="AE74" s="52"/>
    </row>
    <row r="75" spans="1:31" s="49" customFormat="1" ht="18.75" customHeight="1">
      <c r="A75" s="529"/>
      <c r="C75" s="53"/>
      <c r="D75" s="117"/>
      <c r="E75" s="531" t="str">
        <f>FHD_NUM_P_37</f>
        <v>4</v>
      </c>
      <c r="F75" s="549" t="str">
        <f>FHD_P_37</f>
        <v>Изменение стоимости основных фондов, в том числе:</v>
      </c>
      <c r="G75" s="148" t="s">
        <v>532</v>
      </c>
      <c r="H75" s="550"/>
      <c r="I75" s="550"/>
      <c r="J75" s="395" t="str">
        <f>FHD_NOTE_P_37</f>
        <v>Указывается общее изменение стоимости основных фондов.</v>
      </c>
      <c r="K75" s="534"/>
      <c r="L75" s="53"/>
      <c r="M75" s="53"/>
      <c r="R75" s="53"/>
      <c r="U75" s="530"/>
      <c r="AA75" s="52"/>
      <c r="AB75" s="52"/>
      <c r="AC75" s="52"/>
      <c r="AD75" s="52"/>
      <c r="AE75" s="52"/>
    </row>
    <row r="76" spans="1:31" s="49" customFormat="1" ht="18.75" customHeight="1">
      <c r="A76" s="529"/>
      <c r="C76" s="53"/>
      <c r="D76" s="117"/>
      <c r="E76" s="531" t="str">
        <f>FHD_NUM_P_38</f>
        <v>4.1</v>
      </c>
      <c r="F76" s="513" t="str">
        <f>FHD_P_38</f>
        <v>Изменение стоимости основных фондов за счет их ввода в эксплуатацию (вывода из эксплуатации)</v>
      </c>
      <c r="G76" s="148" t="s">
        <v>532</v>
      </c>
      <c r="H76" s="550"/>
      <c r="I76" s="550"/>
      <c r="J76" s="395" t="str">
        <f>FHD_NOTE_P_38</f>
        <v>Указываются общее изменение стоимости основных фондов за счет их ввода в эксплуатацию и вывода из эксплуатации.</v>
      </c>
      <c r="K76" s="534"/>
      <c r="L76" s="53"/>
      <c r="M76" s="53"/>
      <c r="R76" s="53"/>
      <c r="U76" s="530"/>
      <c r="AA76" s="52"/>
      <c r="AB76" s="52"/>
      <c r="AC76" s="52"/>
      <c r="AD76" s="52"/>
      <c r="AE76" s="52"/>
    </row>
    <row r="77" spans="1:31" s="49" customFormat="1" ht="18.75" customHeight="1">
      <c r="A77" s="529"/>
      <c r="C77" s="53"/>
      <c r="D77" s="117"/>
      <c r="E77" s="531" t="str">
        <f>FHD_NUM_P_39</f>
        <v>4.1.1</v>
      </c>
      <c r="F77" s="564" t="str">
        <f>FHD_P_39</f>
        <v>Изменение стоимости основных фондов за счет их ввода в эксплуатацию</v>
      </c>
      <c r="G77" s="148" t="s">
        <v>532</v>
      </c>
      <c r="H77" s="550"/>
      <c r="I77" s="550"/>
      <c r="J77" s="395" t="str">
        <f>FHD_NOTE_P_39</f>
        <v>Указываются изменение стоимости основных фондов за счет их ввода в эксплуатацию.</v>
      </c>
      <c r="K77" s="534"/>
      <c r="L77" s="53"/>
      <c r="M77" s="53"/>
      <c r="R77" s="53"/>
      <c r="U77" s="530"/>
      <c r="AA77" s="52"/>
      <c r="AB77" s="52"/>
      <c r="AC77" s="52"/>
      <c r="AD77" s="52"/>
      <c r="AE77" s="52"/>
    </row>
    <row r="78" spans="1:31" s="49" customFormat="1" ht="18.75" customHeight="1">
      <c r="A78" s="529"/>
      <c r="C78" s="53"/>
      <c r="D78" s="117"/>
      <c r="E78" s="531" t="str">
        <f>FHD_NUM_P_40</f>
        <v>4.1.2</v>
      </c>
      <c r="F78" s="564" t="str">
        <f>FHD_P_40</f>
        <v>Изменение стоимости основных фондов за счет их вывода в эксплуатацию</v>
      </c>
      <c r="G78" s="148" t="s">
        <v>532</v>
      </c>
      <c r="H78" s="550"/>
      <c r="I78" s="550"/>
      <c r="J78" s="395" t="str">
        <f>FHD_NOTE_P_40</f>
        <v>Указываются изменение стоимости основных фондов за счет их вывода из эксплуатации.</v>
      </c>
      <c r="K78" s="534"/>
      <c r="L78" s="53"/>
      <c r="M78" s="53"/>
      <c r="R78" s="53"/>
      <c r="U78" s="530"/>
      <c r="AA78" s="52"/>
      <c r="AB78" s="52"/>
      <c r="AC78" s="52"/>
      <c r="AD78" s="52"/>
      <c r="AE78" s="52"/>
    </row>
    <row r="79" spans="1:31" s="49" customFormat="1" ht="18.75" customHeight="1">
      <c r="A79" s="529"/>
      <c r="C79" s="53"/>
      <c r="D79" s="117"/>
      <c r="E79" s="531" t="str">
        <f>FHD_NUM_P_41</f>
        <v>4.2</v>
      </c>
      <c r="F79" s="513" t="str">
        <f>FHD_P_41</f>
        <v>Изменение стоимости основных фондов за счет их переоценки</v>
      </c>
      <c r="G79" s="242" t="s">
        <v>532</v>
      </c>
      <c r="H79" s="550"/>
      <c r="I79" s="550"/>
      <c r="J79" s="395" t="str">
        <f>FHD_NOTE_P_41</f>
        <v/>
      </c>
      <c r="K79" s="534"/>
      <c r="L79" s="53"/>
      <c r="M79" s="53"/>
      <c r="R79" s="53"/>
      <c r="U79" s="530"/>
      <c r="AA79" s="52"/>
      <c r="AB79" s="52"/>
      <c r="AC79" s="52"/>
      <c r="AD79" s="52"/>
      <c r="AE79" s="52"/>
    </row>
    <row r="80" spans="1:31" s="49" customFormat="1" ht="18.75" customHeight="1">
      <c r="A80" s="566" t="s">
        <v>559</v>
      </c>
      <c r="C80" s="53"/>
      <c r="D80" s="117"/>
      <c r="E80" s="531" t="str">
        <f>FHD_NUM_P_42</f>
        <v>5</v>
      </c>
      <c r="F80" s="549" t="str">
        <f>FHD_P_42</f>
        <v>Валовая прибыль (убытки) от продажи товаров и услуг по регулируемым видам деятельности в сфере водоотведения</v>
      </c>
      <c r="G80" s="148" t="s">
        <v>532</v>
      </c>
      <c r="H80" s="575"/>
      <c r="I80" s="550"/>
      <c r="J80" s="395" t="str">
        <f>FHD_NOTE_P_42</f>
        <v/>
      </c>
      <c r="K80" s="534"/>
      <c r="L80" s="53"/>
      <c r="M80" s="53"/>
      <c r="R80" s="53"/>
      <c r="U80" s="530"/>
      <c r="AA80" s="52"/>
      <c r="AB80" s="52"/>
      <c r="AC80" s="52"/>
      <c r="AD80" s="52"/>
      <c r="AE80" s="52"/>
    </row>
    <row r="81" spans="1:31" s="49" customFormat="1" ht="18.75" customHeight="1">
      <c r="A81" s="529"/>
      <c r="C81" s="53"/>
      <c r="D81" s="117"/>
      <c r="E81" s="531" t="str">
        <f>FHD_NUM_P_43</f>
        <v>6</v>
      </c>
      <c r="F81" s="549" t="str">
        <f>FHD_P_43</f>
        <v>Годовая бухгалтерская (финансовая) отчетность, включая бухгалтерский баланс и приложения к нему</v>
      </c>
      <c r="G81" s="148" t="s">
        <v>293</v>
      </c>
      <c r="H81" s="576"/>
      <c r="I81" s="577"/>
      <c r="J81" s="3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4"/>
      <c r="L81" s="53"/>
      <c r="M81" s="53"/>
      <c r="R81" s="53"/>
      <c r="U81" s="530"/>
      <c r="AA81" s="52"/>
      <c r="AB81" s="52"/>
      <c r="AC81" s="52"/>
      <c r="AD81" s="52"/>
      <c r="AE81" s="52"/>
    </row>
    <row r="82" spans="1:31" s="49" customFormat="1" ht="18.75" hidden="1" customHeight="1">
      <c r="A82" s="1199" t="s">
        <v>560</v>
      </c>
      <c r="C82" s="53"/>
      <c r="D82" s="117"/>
      <c r="E82" s="531" t="str">
        <f>FHD_NUM_P_44</f>
        <v/>
      </c>
      <c r="F82" s="549" t="str">
        <f>FHD_P_44</f>
        <v/>
      </c>
      <c r="G82" s="148" t="s">
        <v>561</v>
      </c>
      <c r="H82" s="578"/>
      <c r="I82" s="568"/>
      <c r="J82" s="395" t="str">
        <f>FHD_NOTE_P_44</f>
        <v/>
      </c>
      <c r="K82" s="534"/>
      <c r="L82" s="53"/>
      <c r="M82" s="53"/>
      <c r="R82" s="53"/>
      <c r="U82" s="530"/>
      <c r="AA82" s="52"/>
      <c r="AB82" s="52"/>
      <c r="AC82" s="52"/>
      <c r="AD82" s="52"/>
      <c r="AE82" s="52"/>
    </row>
    <row r="83" spans="1:31" s="49" customFormat="1" ht="18.75" hidden="1" customHeight="1">
      <c r="A83" s="1199"/>
      <c r="C83" s="53"/>
      <c r="D83" s="117"/>
      <c r="E83" s="531" t="str">
        <f>FHD_NUM_P_45</f>
        <v/>
      </c>
      <c r="F83" s="549" t="str">
        <f>FHD_P_45</f>
        <v/>
      </c>
      <c r="G83" s="148" t="s">
        <v>561</v>
      </c>
      <c r="H83" s="578"/>
      <c r="I83" s="568"/>
      <c r="J83" s="395" t="str">
        <f>FHD_NOTE_P_45</f>
        <v/>
      </c>
      <c r="K83" s="534"/>
      <c r="L83" s="53"/>
      <c r="M83" s="53"/>
      <c r="R83" s="53"/>
      <c r="U83" s="530"/>
      <c r="AA83" s="52"/>
      <c r="AB83" s="52"/>
      <c r="AC83" s="52"/>
      <c r="AD83" s="52"/>
      <c r="AE83" s="52"/>
    </row>
    <row r="84" spans="1:31" s="49" customFormat="1" ht="18.75" hidden="1" customHeight="1">
      <c r="A84" s="1199"/>
      <c r="C84" s="53"/>
      <c r="D84" s="567"/>
      <c r="E84" s="531" t="str">
        <f>FHD_NUM_P_46</f>
        <v/>
      </c>
      <c r="F84" s="549" t="str">
        <f>FHD_P_46</f>
        <v/>
      </c>
      <c r="G84" s="148" t="s">
        <v>561</v>
      </c>
      <c r="H84" s="578"/>
      <c r="I84" s="568"/>
      <c r="J84" s="395" t="str">
        <f>FHD_NOTE_P_46</f>
        <v/>
      </c>
      <c r="K84" s="534"/>
      <c r="L84" s="53"/>
      <c r="M84" s="53"/>
      <c r="R84" s="53"/>
      <c r="U84" s="530"/>
      <c r="AA84" s="52"/>
      <c r="AB84" s="52"/>
      <c r="AC84" s="52"/>
      <c r="AD84" s="52"/>
      <c r="AE84" s="52"/>
    </row>
    <row r="85" spans="1:31" s="49" customFormat="1" ht="18.75" hidden="1" customHeight="1">
      <c r="A85" s="1199"/>
      <c r="C85" s="53"/>
      <c r="D85" s="117"/>
      <c r="E85" s="531" t="str">
        <f>FHD_NUM_P_47</f>
        <v/>
      </c>
      <c r="F85" s="549" t="str">
        <f>FHD_P_47</f>
        <v/>
      </c>
      <c r="G85" s="148" t="s">
        <v>561</v>
      </c>
      <c r="H85" s="578"/>
      <c r="I85" s="568"/>
      <c r="J85" s="395" t="str">
        <f>FHD_NOTE_P_47</f>
        <v/>
      </c>
      <c r="K85" s="534"/>
      <c r="L85" s="53"/>
      <c r="M85" s="53"/>
      <c r="R85" s="53"/>
      <c r="U85" s="530"/>
      <c r="AA85" s="52"/>
      <c r="AB85" s="52"/>
      <c r="AC85" s="52"/>
      <c r="AD85" s="52"/>
      <c r="AE85" s="52"/>
    </row>
    <row r="86" spans="1:31" s="46" customFormat="1" ht="18.75" hidden="1" customHeight="1">
      <c r="A86" s="1199"/>
      <c r="B86" s="49"/>
      <c r="C86" s="53"/>
      <c r="D86" s="117"/>
      <c r="E86" s="531" t="str">
        <f>FHD_NUM_P_48</f>
        <v/>
      </c>
      <c r="F86" s="549" t="str">
        <f>FHD_P_48</f>
        <v/>
      </c>
      <c r="G86" s="148" t="s">
        <v>561</v>
      </c>
      <c r="H86" s="578"/>
      <c r="I86" s="568"/>
      <c r="J86" s="395" t="str">
        <f>FHD_NOTE_P_48</f>
        <v/>
      </c>
      <c r="K86" s="534"/>
      <c r="L86" s="53"/>
      <c r="M86" s="53"/>
      <c r="N86" s="49"/>
      <c r="O86" s="49"/>
      <c r="P86" s="49"/>
      <c r="Q86" s="49"/>
      <c r="R86" s="53"/>
      <c r="S86" s="49"/>
      <c r="T86" s="49"/>
      <c r="U86" s="530"/>
      <c r="V86" s="49"/>
      <c r="W86" s="49"/>
      <c r="X86" s="49"/>
      <c r="Y86" s="49"/>
      <c r="Z86" s="49"/>
      <c r="AA86" s="52"/>
      <c r="AB86" s="52"/>
      <c r="AC86" s="52"/>
      <c r="AD86" s="52"/>
      <c r="AE86" s="52"/>
    </row>
    <row r="87" spans="1:31" s="46" customFormat="1" ht="18.75" hidden="1" customHeight="1">
      <c r="A87" s="1199"/>
      <c r="B87" s="49"/>
      <c r="C87" s="53"/>
      <c r="D87" s="117"/>
      <c r="E87" s="531" t="str">
        <f>FHD_NUM_P_49</f>
        <v/>
      </c>
      <c r="F87" s="549" t="str">
        <f>FHD_P_49</f>
        <v/>
      </c>
      <c r="G87" s="148" t="s">
        <v>561</v>
      </c>
      <c r="H87" s="579">
        <f>SUM(H88:H89)</f>
        <v>0</v>
      </c>
      <c r="I87" s="580">
        <f>SUM(I88:I89)</f>
        <v>0</v>
      </c>
      <c r="J87" s="395" t="str">
        <f>FHD_NOTE_P_49</f>
        <v/>
      </c>
      <c r="K87" s="534"/>
      <c r="L87" s="53"/>
      <c r="M87" s="53"/>
      <c r="N87" s="49"/>
      <c r="O87" s="49"/>
      <c r="P87" s="49"/>
      <c r="Q87" s="49"/>
      <c r="R87" s="53"/>
      <c r="S87" s="49"/>
      <c r="T87" s="49"/>
      <c r="U87" s="530"/>
      <c r="V87" s="49"/>
      <c r="W87" s="49"/>
      <c r="X87" s="49"/>
      <c r="Y87" s="49"/>
      <c r="Z87" s="49"/>
      <c r="AA87" s="52"/>
      <c r="AB87" s="52"/>
      <c r="AC87" s="52"/>
      <c r="AD87" s="52"/>
      <c r="AE87" s="52"/>
    </row>
    <row r="88" spans="1:31" s="46" customFormat="1" ht="18.75" hidden="1" customHeight="1">
      <c r="A88" s="1199"/>
      <c r="B88" s="49"/>
      <c r="C88" s="53"/>
      <c r="D88" s="117"/>
      <c r="E88" s="531" t="str">
        <f>FHD_NUM_P_50</f>
        <v/>
      </c>
      <c r="F88" s="549" t="str">
        <f>FHD_P_50</f>
        <v/>
      </c>
      <c r="G88" s="148" t="s">
        <v>561</v>
      </c>
      <c r="H88" s="578"/>
      <c r="I88" s="568"/>
      <c r="J88" s="395" t="str">
        <f>FHD_NOTE_P_50</f>
        <v/>
      </c>
      <c r="K88" s="534"/>
      <c r="L88" s="53"/>
      <c r="M88" s="53"/>
      <c r="N88" s="49"/>
      <c r="O88" s="49"/>
      <c r="P88" s="49"/>
      <c r="Q88" s="49"/>
      <c r="R88" s="53"/>
      <c r="S88" s="49"/>
      <c r="T88" s="49"/>
      <c r="U88" s="530"/>
      <c r="V88" s="49"/>
      <c r="W88" s="49"/>
      <c r="X88" s="49"/>
      <c r="Y88" s="49"/>
      <c r="Z88" s="49"/>
      <c r="AA88" s="52"/>
      <c r="AB88" s="52"/>
      <c r="AC88" s="52"/>
      <c r="AD88" s="52"/>
      <c r="AE88" s="52"/>
    </row>
    <row r="89" spans="1:31" s="46" customFormat="1" ht="18.75" hidden="1" customHeight="1">
      <c r="A89" s="1199"/>
      <c r="B89" s="49"/>
      <c r="C89" s="53"/>
      <c r="D89" s="117"/>
      <c r="E89" s="531" t="str">
        <f>FHD_NUM_P_51</f>
        <v/>
      </c>
      <c r="F89" s="549" t="str">
        <f>FHD_P_51</f>
        <v/>
      </c>
      <c r="G89" s="148" t="s">
        <v>561</v>
      </c>
      <c r="H89" s="578"/>
      <c r="I89" s="568"/>
      <c r="J89" s="395" t="str">
        <f>FHD_NOTE_P_51</f>
        <v/>
      </c>
      <c r="K89" s="534"/>
      <c r="L89" s="53"/>
      <c r="M89" s="53"/>
      <c r="N89" s="49"/>
      <c r="O89" s="49"/>
      <c r="P89" s="49"/>
      <c r="Q89" s="49"/>
      <c r="R89" s="53"/>
      <c r="S89" s="49"/>
      <c r="T89" s="49"/>
      <c r="U89" s="530"/>
      <c r="V89" s="49"/>
      <c r="W89" s="49"/>
      <c r="X89" s="49"/>
      <c r="Y89" s="49"/>
      <c r="Z89" s="49"/>
      <c r="AA89" s="52"/>
      <c r="AB89" s="52"/>
      <c r="AC89" s="52"/>
      <c r="AD89" s="52"/>
      <c r="AE89" s="52"/>
    </row>
    <row r="90" spans="1:31" s="46" customFormat="1" ht="18.75" hidden="1" customHeight="1">
      <c r="A90" s="1199"/>
      <c r="B90" s="49"/>
      <c r="C90" s="53"/>
      <c r="D90" s="117"/>
      <c r="E90" s="531" t="str">
        <f>FHD_NUM_P_52</f>
        <v/>
      </c>
      <c r="F90" s="549" t="str">
        <f>FHD_P_52</f>
        <v/>
      </c>
      <c r="G90" s="148" t="s">
        <v>538</v>
      </c>
      <c r="H90" s="575"/>
      <c r="I90" s="550"/>
      <c r="J90" s="395" t="str">
        <f>FHD_NOTE_P_52</f>
        <v/>
      </c>
      <c r="K90" s="534"/>
      <c r="L90" s="53"/>
      <c r="M90" s="53"/>
      <c r="N90" s="49"/>
      <c r="O90" s="49"/>
      <c r="P90" s="49"/>
      <c r="Q90" s="49"/>
      <c r="R90" s="53"/>
      <c r="S90" s="49"/>
      <c r="T90" s="49"/>
      <c r="U90" s="530"/>
      <c r="V90" s="49"/>
      <c r="W90" s="49"/>
      <c r="X90" s="49"/>
      <c r="Y90" s="49"/>
      <c r="Z90" s="49"/>
      <c r="AA90" s="52"/>
      <c r="AB90" s="52"/>
      <c r="AC90" s="52"/>
      <c r="AD90" s="52"/>
      <c r="AE90" s="52"/>
    </row>
    <row r="91" spans="1:31" s="49" customFormat="1" ht="18.75" hidden="1" customHeight="1">
      <c r="A91" s="1199" t="s">
        <v>562</v>
      </c>
      <c r="C91" s="53"/>
      <c r="D91" s="117"/>
      <c r="E91" s="531" t="str">
        <f>FHD_NUM_P_53</f>
        <v/>
      </c>
      <c r="F91" s="549" t="str">
        <f>FHD_P_53</f>
        <v/>
      </c>
      <c r="G91" s="148" t="s">
        <v>561</v>
      </c>
      <c r="H91" s="578"/>
      <c r="I91" s="568"/>
      <c r="J91" s="395" t="str">
        <f>FHD_NOTE_P_53</f>
        <v/>
      </c>
      <c r="K91" s="534"/>
      <c r="L91" s="53"/>
      <c r="M91" s="53"/>
      <c r="R91" s="53"/>
      <c r="U91" s="530"/>
      <c r="AA91" s="52"/>
      <c r="AB91" s="52"/>
      <c r="AC91" s="52"/>
      <c r="AD91" s="52"/>
      <c r="AE91" s="52"/>
    </row>
    <row r="92" spans="1:31" s="49" customFormat="1" ht="18.75" hidden="1" customHeight="1">
      <c r="A92" s="1199"/>
      <c r="C92" s="53"/>
      <c r="D92" s="117"/>
      <c r="E92" s="531" t="str">
        <f>FHD_NUM_P_54</f>
        <v/>
      </c>
      <c r="F92" s="549" t="str">
        <f>FHD_P_54</f>
        <v/>
      </c>
      <c r="G92" s="148" t="s">
        <v>561</v>
      </c>
      <c r="H92" s="578"/>
      <c r="I92" s="568"/>
      <c r="J92" s="395" t="str">
        <f>FHD_NOTE_P_54</f>
        <v/>
      </c>
      <c r="K92" s="534"/>
      <c r="L92" s="53"/>
      <c r="M92" s="53"/>
      <c r="R92" s="53"/>
      <c r="U92" s="530"/>
      <c r="AA92" s="52"/>
      <c r="AB92" s="52"/>
      <c r="AC92" s="52"/>
      <c r="AD92" s="52"/>
      <c r="AE92" s="52"/>
    </row>
    <row r="93" spans="1:31" s="49" customFormat="1" ht="18.75" hidden="1" customHeight="1">
      <c r="A93" s="1199"/>
      <c r="C93" s="53"/>
      <c r="D93" s="567"/>
      <c r="E93" s="531" t="str">
        <f>FHD_NUM_P_55</f>
        <v/>
      </c>
      <c r="F93" s="549" t="str">
        <f>FHD_P_55</f>
        <v/>
      </c>
      <c r="G93" s="511"/>
      <c r="H93" s="578"/>
      <c r="I93" s="568"/>
      <c r="J93" s="395" t="str">
        <f>FHD_NOTE_P_55</f>
        <v/>
      </c>
      <c r="K93" s="534"/>
      <c r="L93" s="53"/>
      <c r="M93" s="53"/>
      <c r="R93" s="53"/>
      <c r="U93" s="530"/>
      <c r="AA93" s="52"/>
      <c r="AB93" s="52"/>
      <c r="AC93" s="52"/>
      <c r="AD93" s="52"/>
      <c r="AE93" s="52"/>
    </row>
    <row r="94" spans="1:31" s="49" customFormat="1" ht="18.75" hidden="1" customHeight="1">
      <c r="A94" s="1199"/>
      <c r="C94" s="53"/>
      <c r="D94" s="117"/>
      <c r="E94" s="531" t="str">
        <f>FHD_NUM_P_56</f>
        <v/>
      </c>
      <c r="F94" s="549" t="str">
        <f>FHD_P_56</f>
        <v/>
      </c>
      <c r="G94" s="148" t="s">
        <v>563</v>
      </c>
      <c r="H94" s="578"/>
      <c r="I94" s="568"/>
      <c r="J94" s="395" t="str">
        <f>FHD_NOTE_P_56</f>
        <v/>
      </c>
      <c r="K94" s="534"/>
      <c r="L94" s="53"/>
      <c r="M94" s="53"/>
      <c r="R94" s="53"/>
      <c r="U94" s="530"/>
      <c r="AA94" s="52"/>
      <c r="AB94" s="52"/>
      <c r="AC94" s="52"/>
      <c r="AD94" s="52"/>
      <c r="AE94" s="52"/>
    </row>
    <row r="95" spans="1:31" s="46" customFormat="1" ht="18.75" hidden="1" customHeight="1">
      <c r="A95" s="1199"/>
      <c r="B95" s="49"/>
      <c r="C95" s="53"/>
      <c r="D95" s="117"/>
      <c r="E95" s="531" t="str">
        <f>FHD_NUM_P_57</f>
        <v/>
      </c>
      <c r="F95" s="549" t="str">
        <f>FHD_P_57</f>
        <v/>
      </c>
      <c r="G95" s="148" t="s">
        <v>538</v>
      </c>
      <c r="H95" s="575"/>
      <c r="I95" s="550"/>
      <c r="J95" s="395" t="str">
        <f>FHD_NOTE_P_57</f>
        <v/>
      </c>
      <c r="K95" s="534"/>
      <c r="L95" s="53"/>
      <c r="M95" s="53"/>
      <c r="N95" s="49"/>
      <c r="O95" s="49"/>
      <c r="P95" s="49"/>
      <c r="Q95" s="49"/>
      <c r="R95" s="53"/>
      <c r="S95" s="49"/>
      <c r="T95" s="49"/>
      <c r="U95" s="530"/>
      <c r="V95" s="49"/>
      <c r="W95" s="49"/>
      <c r="X95" s="49"/>
      <c r="Y95" s="49"/>
      <c r="Z95" s="49"/>
      <c r="AA95" s="52"/>
      <c r="AB95" s="52"/>
      <c r="AC95" s="52"/>
      <c r="AD95" s="52"/>
      <c r="AE95" s="52"/>
    </row>
    <row r="96" spans="1:31" ht="18.75" customHeight="1">
      <c r="A96" s="1199" t="s">
        <v>564</v>
      </c>
      <c r="D96" s="117"/>
      <c r="E96" s="531" t="str">
        <f>FHD_NUM_P_58</f>
        <v>7</v>
      </c>
      <c r="F96" s="549" t="str">
        <f>FHD_P_58</f>
        <v>Объём сточных вод, принятых от потребителей</v>
      </c>
      <c r="G96" s="148" t="s">
        <v>561</v>
      </c>
      <c r="H96" s="578"/>
      <c r="I96" s="568"/>
      <c r="J96" s="395" t="str">
        <f>FHD_NOTE_P_58</f>
        <v/>
      </c>
      <c r="K96" s="534"/>
    </row>
    <row r="97" spans="1:31" ht="18.75" customHeight="1">
      <c r="A97" s="1199"/>
      <c r="D97" s="117"/>
      <c r="E97" s="531" t="str">
        <f>FHD_NUM_P_59</f>
        <v>8</v>
      </c>
      <c r="F97" s="549" t="str">
        <f>FHD_P_59</f>
        <v>Объём сточных вод, принятых от других регулируемых организаций, осуществляющих водоотведение и (или) очистку сточных вод</v>
      </c>
      <c r="G97" s="148" t="s">
        <v>561</v>
      </c>
      <c r="H97" s="578"/>
      <c r="I97" s="568"/>
      <c r="J97" s="395" t="str">
        <f>FHD_NOTE_P_59</f>
        <v/>
      </c>
      <c r="K97" s="534"/>
    </row>
    <row r="98" spans="1:31" ht="18.75" customHeight="1">
      <c r="A98" s="1199"/>
      <c r="D98" s="117"/>
      <c r="E98" s="531" t="str">
        <f>FHD_NUM_P_60</f>
        <v>9</v>
      </c>
      <c r="F98" s="549" t="str">
        <f>FHD_P_60</f>
        <v>Объём сточных вод, пропущенных через очистные сооружения</v>
      </c>
      <c r="G98" s="148" t="s">
        <v>561</v>
      </c>
      <c r="H98" s="578"/>
      <c r="I98" s="568"/>
      <c r="J98" s="395" t="str">
        <f>FHD_NOTE_P_60</f>
        <v/>
      </c>
      <c r="K98" s="534"/>
    </row>
    <row r="99" spans="1:31" s="49" customFormat="1" ht="18.75" hidden="1" customHeight="1">
      <c r="A99" s="1199" t="s">
        <v>565</v>
      </c>
      <c r="C99" s="53"/>
      <c r="D99" s="117"/>
      <c r="E99" s="531" t="str">
        <f>FHD_NUM_P_61</f>
        <v/>
      </c>
      <c r="F99" s="549" t="str">
        <f>FHD_P_61</f>
        <v/>
      </c>
      <c r="G99" s="148" t="s">
        <v>536</v>
      </c>
      <c r="H99" s="581"/>
      <c r="I99" s="582"/>
      <c r="J99" s="395" t="str">
        <f>FHD_NOTE_P_61</f>
        <v/>
      </c>
      <c r="K99" s="534"/>
      <c r="L99" s="53"/>
      <c r="M99" s="53"/>
      <c r="R99" s="53"/>
      <c r="U99" s="530"/>
      <c r="AA99" s="52"/>
      <c r="AB99" s="52"/>
      <c r="AC99" s="52"/>
      <c r="AD99" s="52"/>
      <c r="AE99" s="52"/>
    </row>
    <row r="100" spans="1:31" s="53" customFormat="1" ht="0.75" hidden="1" customHeight="1">
      <c r="A100" s="1199"/>
      <c r="D100" s="431"/>
      <c r="E100" s="149" t="str">
        <f>E99&amp;".0"</f>
        <v>.0</v>
      </c>
      <c r="F100" s="583"/>
      <c r="G100" s="584"/>
      <c r="H100" s="573"/>
      <c r="I100" s="573"/>
      <c r="J100" s="585"/>
    </row>
    <row r="101" spans="1:31" ht="15" hidden="1" customHeight="1">
      <c r="A101" s="1199"/>
      <c r="D101" s="120"/>
      <c r="E101" s="586"/>
      <c r="F101" s="587" t="s">
        <v>566</v>
      </c>
      <c r="G101" s="562"/>
      <c r="H101" s="563"/>
      <c r="I101" s="563"/>
      <c r="J101" s="588" t="s">
        <v>567</v>
      </c>
      <c r="K101" s="534"/>
    </row>
    <row r="102" spans="1:31" s="49" customFormat="1" ht="18.75" hidden="1" customHeight="1">
      <c r="A102" s="1199"/>
      <c r="C102" s="53"/>
      <c r="D102" s="117"/>
      <c r="E102" s="531" t="str">
        <f>FHD_NUM_P_62</f>
        <v/>
      </c>
      <c r="F102" s="549" t="str">
        <f>FHD_P_62</f>
        <v/>
      </c>
      <c r="G102" s="458" t="s">
        <v>536</v>
      </c>
      <c r="H102" s="550"/>
      <c r="I102" s="550"/>
      <c r="J102" s="395" t="str">
        <f>FHD_NOTE_P_62</f>
        <v/>
      </c>
      <c r="K102" s="534"/>
      <c r="L102" s="53"/>
      <c r="M102" s="53"/>
      <c r="R102" s="53"/>
      <c r="U102" s="530"/>
      <c r="AA102" s="52"/>
      <c r="AB102" s="52"/>
      <c r="AC102" s="52"/>
      <c r="AD102" s="52"/>
      <c r="AE102" s="52"/>
    </row>
    <row r="103" spans="1:31" s="49" customFormat="1" ht="18.75" hidden="1" customHeight="1">
      <c r="A103" s="1199"/>
      <c r="C103" s="53"/>
      <c r="D103" s="117"/>
      <c r="E103" s="531" t="str">
        <f>FHD_NUM_P_63</f>
        <v/>
      </c>
      <c r="F103" s="549" t="str">
        <f>FHD_P_63</f>
        <v/>
      </c>
      <c r="G103" s="458" t="s">
        <v>563</v>
      </c>
      <c r="H103" s="568"/>
      <c r="I103" s="568"/>
      <c r="J103" s="395" t="str">
        <f>FHD_NOTE_P_63</f>
        <v/>
      </c>
      <c r="K103" s="534"/>
      <c r="L103" s="53"/>
      <c r="M103" s="53"/>
      <c r="R103" s="53"/>
      <c r="U103" s="530"/>
      <c r="AA103" s="52"/>
      <c r="AB103" s="52"/>
      <c r="AC103" s="52"/>
      <c r="AD103" s="52"/>
      <c r="AE103" s="52"/>
    </row>
    <row r="104" spans="1:31" s="49" customFormat="1" ht="18.75" hidden="1" customHeight="1">
      <c r="A104" s="1199"/>
      <c r="C104" s="53" t="s">
        <v>568</v>
      </c>
      <c r="D104" s="117"/>
      <c r="E104" s="531" t="str">
        <f>FHD_NUM_P_64</f>
        <v/>
      </c>
      <c r="F104" s="549" t="str">
        <f>FHD_P_64</f>
        <v/>
      </c>
      <c r="G104" s="458" t="s">
        <v>563</v>
      </c>
      <c r="H104" s="541"/>
      <c r="I104" s="541"/>
      <c r="J104" s="395" t="str">
        <f>FHD_NOTE_P_64</f>
        <v/>
      </c>
      <c r="K104" s="534"/>
      <c r="L104" s="53"/>
      <c r="M104" s="53"/>
      <c r="R104" s="53"/>
      <c r="U104" s="530"/>
      <c r="AA104" s="52"/>
      <c r="AB104" s="52"/>
      <c r="AC104" s="52"/>
      <c r="AD104" s="52"/>
      <c r="AE104" s="52"/>
    </row>
    <row r="105" spans="1:31" s="49" customFormat="1" ht="18.75" hidden="1" customHeight="1">
      <c r="A105" s="1199"/>
      <c r="C105" s="53"/>
      <c r="D105" s="117"/>
      <c r="E105" s="531" t="str">
        <f>FHD_NUM_P_65</f>
        <v/>
      </c>
      <c r="F105" s="549" t="str">
        <f>FHD_P_65</f>
        <v/>
      </c>
      <c r="G105" s="458" t="s">
        <v>563</v>
      </c>
      <c r="H105" s="568"/>
      <c r="I105" s="568"/>
      <c r="J105" s="395" t="str">
        <f>FHD_NOTE_P_65</f>
        <v/>
      </c>
      <c r="K105" s="534"/>
      <c r="L105" s="53"/>
      <c r="M105" s="53"/>
      <c r="R105" s="53"/>
      <c r="U105" s="530"/>
      <c r="AA105" s="52"/>
      <c r="AB105" s="52"/>
      <c r="AC105" s="52"/>
      <c r="AD105" s="52"/>
      <c r="AE105" s="52"/>
    </row>
    <row r="106" spans="1:31" s="49" customFormat="1" ht="18.75" hidden="1" customHeight="1">
      <c r="A106" s="1199"/>
      <c r="C106" s="53"/>
      <c r="D106" s="117"/>
      <c r="E106" s="531" t="str">
        <f>FHD_NUM_P_66</f>
        <v/>
      </c>
      <c r="F106" s="513" t="str">
        <f>FHD_P_66</f>
        <v/>
      </c>
      <c r="G106" s="458" t="s">
        <v>563</v>
      </c>
      <c r="H106" s="568"/>
      <c r="I106" s="568"/>
      <c r="J106" s="395" t="str">
        <f>FHD_NOTE_P_66</f>
        <v/>
      </c>
      <c r="K106" s="534"/>
      <c r="L106" s="53"/>
      <c r="M106" s="53"/>
      <c r="R106" s="53"/>
      <c r="U106" s="530"/>
      <c r="AA106" s="52"/>
      <c r="AB106" s="52"/>
      <c r="AC106" s="52"/>
      <c r="AD106" s="52"/>
      <c r="AE106" s="52"/>
    </row>
    <row r="107" spans="1:31" s="49" customFormat="1" ht="18.75" hidden="1" customHeight="1">
      <c r="A107" s="1199"/>
      <c r="C107" s="53"/>
      <c r="D107" s="117"/>
      <c r="E107" s="531" t="str">
        <f>FHD_NUM_P_67</f>
        <v/>
      </c>
      <c r="F107" s="564" t="str">
        <f>FHD_P_67</f>
        <v/>
      </c>
      <c r="G107" s="458" t="s">
        <v>563</v>
      </c>
      <c r="H107" s="568"/>
      <c r="I107" s="568"/>
      <c r="J107" s="395" t="str">
        <f>FHD_NOTE_P_67</f>
        <v/>
      </c>
      <c r="K107" s="534"/>
      <c r="L107" s="53"/>
      <c r="M107" s="53"/>
      <c r="R107" s="53"/>
      <c r="U107" s="530"/>
      <c r="AA107" s="52"/>
      <c r="AB107" s="52"/>
      <c r="AC107" s="52"/>
      <c r="AD107" s="52"/>
      <c r="AE107" s="52"/>
    </row>
    <row r="108" spans="1:31" s="49" customFormat="1" ht="18.75" hidden="1" customHeight="1">
      <c r="A108" s="1199"/>
      <c r="C108" s="53"/>
      <c r="D108" s="117"/>
      <c r="E108" s="531" t="str">
        <f>FHD_NUM_P_68</f>
        <v/>
      </c>
      <c r="F108" s="513" t="str">
        <f>FHD_P_68</f>
        <v/>
      </c>
      <c r="G108" s="458" t="s">
        <v>563</v>
      </c>
      <c r="H108" s="568"/>
      <c r="I108" s="568"/>
      <c r="J108" s="395" t="str">
        <f>FHD_NOTE_P_68</f>
        <v/>
      </c>
      <c r="K108" s="534"/>
      <c r="L108" s="53"/>
      <c r="M108" s="53"/>
      <c r="R108" s="53"/>
      <c r="U108" s="530"/>
      <c r="AA108" s="52"/>
      <c r="AB108" s="52"/>
      <c r="AC108" s="52"/>
      <c r="AD108" s="52"/>
      <c r="AE108" s="52"/>
    </row>
    <row r="109" spans="1:31" s="49" customFormat="1" ht="18.75" hidden="1" customHeight="1">
      <c r="A109" s="1199"/>
      <c r="C109" s="53"/>
      <c r="D109" s="117"/>
      <c r="E109" s="531" t="str">
        <f>FHD_NUM_P_69</f>
        <v/>
      </c>
      <c r="F109" s="513" t="str">
        <f>FHD_P_69</f>
        <v/>
      </c>
      <c r="G109" s="458" t="s">
        <v>563</v>
      </c>
      <c r="H109" s="568"/>
      <c r="I109" s="568"/>
      <c r="J109" s="395" t="str">
        <f>FHD_NOTE_P_69</f>
        <v/>
      </c>
      <c r="K109" s="534"/>
      <c r="L109" s="53"/>
      <c r="M109" s="53"/>
      <c r="R109" s="53"/>
      <c r="U109" s="530"/>
      <c r="AA109" s="52"/>
      <c r="AB109" s="52"/>
      <c r="AC109" s="52"/>
      <c r="AD109" s="52"/>
      <c r="AE109" s="52"/>
    </row>
    <row r="110" spans="1:31" s="49" customFormat="1" ht="22.5" hidden="1" customHeight="1">
      <c r="A110" s="1199"/>
      <c r="C110" s="53"/>
      <c r="D110" s="117"/>
      <c r="E110" s="531" t="str">
        <f>FHD_NUM_P_70</f>
        <v/>
      </c>
      <c r="F110" s="549" t="str">
        <f>FHD_P_70</f>
        <v/>
      </c>
      <c r="G110" s="458" t="s">
        <v>569</v>
      </c>
      <c r="H110" s="550"/>
      <c r="I110" s="550"/>
      <c r="J110" s="395" t="str">
        <f>FHD_NOTE_P_70</f>
        <v/>
      </c>
      <c r="K110" s="534"/>
      <c r="L110" s="53"/>
      <c r="M110" s="53"/>
      <c r="R110" s="53"/>
      <c r="U110" s="530"/>
      <c r="AA110" s="52"/>
      <c r="AB110" s="52"/>
      <c r="AC110" s="52"/>
      <c r="AD110" s="52"/>
      <c r="AE110" s="52"/>
    </row>
    <row r="111" spans="1:31" s="49" customFormat="1" ht="22.5" hidden="1" customHeight="1">
      <c r="A111" s="1199"/>
      <c r="C111" s="53"/>
      <c r="D111" s="117"/>
      <c r="E111" s="531" t="str">
        <f>FHD_NUM_P_71</f>
        <v/>
      </c>
      <c r="F111" s="549" t="str">
        <f>FHD_P_71</f>
        <v/>
      </c>
      <c r="G111" s="458" t="s">
        <v>569</v>
      </c>
      <c r="H111" s="550"/>
      <c r="I111" s="550"/>
      <c r="J111" s="395" t="str">
        <f>FHD_NOTE_P_71</f>
        <v/>
      </c>
      <c r="K111" s="534"/>
      <c r="L111" s="53"/>
      <c r="M111" s="53"/>
      <c r="R111" s="53"/>
      <c r="U111" s="530"/>
      <c r="AA111" s="52"/>
      <c r="AB111" s="52"/>
      <c r="AC111" s="52"/>
      <c r="AD111" s="52"/>
      <c r="AE111" s="52"/>
    </row>
    <row r="112" spans="1:31" ht="18.75" customHeight="1">
      <c r="D112" s="117"/>
      <c r="E112" s="531" t="str">
        <f>FHD_NUM_P_72</f>
        <v>10</v>
      </c>
      <c r="F112" s="549" t="str">
        <f>FHD_P_72</f>
        <v>Среднесписочная численность основного производственного персонала</v>
      </c>
      <c r="G112" s="458" t="s">
        <v>570</v>
      </c>
      <c r="H112" s="568"/>
      <c r="I112" s="568"/>
      <c r="J112" s="395" t="str">
        <f>FHD_NOTE_P_72</f>
        <v/>
      </c>
      <c r="K112" s="534"/>
    </row>
    <row r="113" spans="1:31" ht="18.75" hidden="1" customHeight="1">
      <c r="A113" s="566" t="s">
        <v>571</v>
      </c>
      <c r="D113" s="117"/>
      <c r="E113" s="531" t="str">
        <f>FHD_NUM_P_73</f>
        <v/>
      </c>
      <c r="F113" s="549" t="str">
        <f>FHD_P_73</f>
        <v/>
      </c>
      <c r="G113" s="589" t="s">
        <v>570</v>
      </c>
      <c r="H113" s="590"/>
      <c r="I113" s="590"/>
      <c r="J113" s="395" t="str">
        <f>FHD_NOTE_P_73</f>
        <v/>
      </c>
      <c r="K113" s="534"/>
    </row>
    <row r="114" spans="1:31" ht="33.75" hidden="1" customHeight="1">
      <c r="A114" s="566" t="s">
        <v>572</v>
      </c>
      <c r="D114" s="117"/>
      <c r="E114" s="531" t="str">
        <f>FHD_NUM_P_74</f>
        <v/>
      </c>
      <c r="F114" s="549" t="str">
        <f>FHD_P_74</f>
        <v/>
      </c>
      <c r="G114" s="458" t="s">
        <v>573</v>
      </c>
      <c r="H114" s="568"/>
      <c r="I114" s="568"/>
      <c r="J114" s="395" t="str">
        <f>FHD_NOTE_P_74</f>
        <v/>
      </c>
      <c r="K114" s="534"/>
    </row>
    <row r="115" spans="1:31" s="46" customFormat="1" ht="18.75" hidden="1" customHeight="1">
      <c r="A115" s="1199" t="s">
        <v>574</v>
      </c>
      <c r="B115" s="49"/>
      <c r="C115" s="53"/>
      <c r="D115" s="117"/>
      <c r="E115" s="531" t="str">
        <f>FHD_NUM_P_75</f>
        <v/>
      </c>
      <c r="F115" s="549" t="str">
        <f>FHD_P_75</f>
        <v/>
      </c>
      <c r="G115" s="458" t="s">
        <v>538</v>
      </c>
      <c r="H115" s="550"/>
      <c r="I115" s="550"/>
      <c r="J115" s="395" t="str">
        <f>FHD_NOTE_P_75</f>
        <v/>
      </c>
      <c r="K115" s="534"/>
      <c r="L115" s="53"/>
      <c r="M115" s="53"/>
      <c r="N115" s="49"/>
      <c r="O115" s="49"/>
      <c r="P115" s="49"/>
      <c r="Q115" s="49"/>
      <c r="R115" s="53"/>
      <c r="S115" s="49"/>
      <c r="T115" s="49"/>
      <c r="U115" s="530"/>
      <c r="V115" s="49"/>
      <c r="W115" s="49"/>
      <c r="X115" s="49"/>
      <c r="Y115" s="49"/>
      <c r="Z115" s="49"/>
      <c r="AA115" s="52"/>
      <c r="AB115" s="52"/>
      <c r="AC115" s="52"/>
      <c r="AD115" s="52"/>
      <c r="AE115" s="52"/>
    </row>
    <row r="116" spans="1:31" s="46" customFormat="1" ht="18.75" hidden="1" customHeight="1">
      <c r="A116" s="1199"/>
      <c r="B116" s="49"/>
      <c r="C116" s="53"/>
      <c r="D116" s="117"/>
      <c r="E116" s="531" t="str">
        <f>FHD_NUM_P_76</f>
        <v/>
      </c>
      <c r="F116" s="549" t="str">
        <f>FHD_P_76</f>
        <v/>
      </c>
      <c r="G116" s="458" t="s">
        <v>538</v>
      </c>
      <c r="H116" s="550"/>
      <c r="I116" s="550"/>
      <c r="J116" s="395" t="str">
        <f>FHD_NOTE_P_76</f>
        <v/>
      </c>
      <c r="K116" s="534"/>
      <c r="L116" s="53"/>
      <c r="M116" s="53"/>
      <c r="N116" s="49"/>
      <c r="O116" s="49"/>
      <c r="P116" s="49"/>
      <c r="Q116" s="49"/>
      <c r="R116" s="53"/>
      <c r="S116" s="49"/>
      <c r="T116" s="49"/>
      <c r="U116" s="530"/>
      <c r="V116" s="49"/>
      <c r="W116" s="49"/>
      <c r="X116" s="49"/>
      <c r="Y116" s="49"/>
      <c r="Z116" s="49"/>
      <c r="AA116" s="52"/>
      <c r="AB116" s="52"/>
      <c r="AC116" s="52"/>
      <c r="AD116" s="52"/>
      <c r="AE116" s="52"/>
    </row>
    <row r="117" spans="1:31" s="46" customFormat="1" ht="18.75" hidden="1" customHeight="1">
      <c r="A117" s="1199"/>
      <c r="B117" s="49"/>
      <c r="C117" s="53"/>
      <c r="D117" s="117"/>
      <c r="E117" s="531" t="str">
        <f>FHD_NUM_P_77</f>
        <v/>
      </c>
      <c r="F117" s="549" t="str">
        <f>FHD_P_77</f>
        <v/>
      </c>
      <c r="G117" s="458" t="s">
        <v>538</v>
      </c>
      <c r="H117" s="550"/>
      <c r="I117" s="550"/>
      <c r="J117" s="395" t="str">
        <f>FHD_NOTE_P_77</f>
        <v/>
      </c>
      <c r="K117" s="534"/>
      <c r="L117" s="53"/>
      <c r="M117" s="53"/>
      <c r="N117" s="49"/>
      <c r="O117" s="49"/>
      <c r="P117" s="49"/>
      <c r="Q117" s="49"/>
      <c r="R117" s="53"/>
      <c r="S117" s="49"/>
      <c r="T117" s="49"/>
      <c r="U117" s="530"/>
      <c r="V117" s="49"/>
      <c r="W117" s="49"/>
      <c r="X117" s="49"/>
      <c r="Y117" s="49"/>
      <c r="Z117" s="49"/>
      <c r="AA117" s="52"/>
      <c r="AB117" s="52"/>
      <c r="AC117" s="52"/>
      <c r="AD117" s="52"/>
      <c r="AE117" s="52"/>
    </row>
    <row r="118" spans="1:31" s="53" customFormat="1" ht="0.75" hidden="1" customHeight="1">
      <c r="A118" s="1199"/>
      <c r="D118" s="431"/>
      <c r="E118" s="149" t="str">
        <f>E117&amp;".0"</f>
        <v>.0</v>
      </c>
      <c r="F118" s="591"/>
      <c r="G118" s="592"/>
      <c r="H118" s="573"/>
      <c r="I118" s="573"/>
      <c r="J118" s="585"/>
    </row>
    <row r="119" spans="1:31" s="46" customFormat="1" ht="15" hidden="1" customHeight="1">
      <c r="A119" s="1199"/>
      <c r="B119" s="49"/>
      <c r="C119" s="53"/>
      <c r="D119" s="120"/>
      <c r="E119" s="586"/>
      <c r="F119" s="587" t="s">
        <v>575</v>
      </c>
      <c r="G119" s="562"/>
      <c r="H119" s="563"/>
      <c r="I119" s="563"/>
      <c r="J119" s="588" t="s">
        <v>576</v>
      </c>
      <c r="K119" s="534"/>
      <c r="L119" s="53"/>
      <c r="M119" s="53"/>
      <c r="N119" s="49"/>
      <c r="O119" s="49"/>
      <c r="P119" s="49"/>
      <c r="Q119" s="49"/>
      <c r="R119" s="53"/>
      <c r="S119" s="49"/>
      <c r="T119" s="49"/>
      <c r="U119" s="530"/>
      <c r="V119" s="49"/>
      <c r="W119" s="49"/>
      <c r="X119" s="49"/>
      <c r="Y119" s="49"/>
      <c r="Z119" s="49"/>
      <c r="AA119" s="52"/>
      <c r="AB119" s="52"/>
      <c r="AC119" s="52"/>
      <c r="AD119" s="52"/>
      <c r="AE119" s="52"/>
    </row>
    <row r="120" spans="1:31" ht="22.5" hidden="1" customHeight="1">
      <c r="A120" s="1199" t="s">
        <v>577</v>
      </c>
      <c r="D120" s="117"/>
      <c r="E120" s="531" t="str">
        <f>FHD_NUM_P_78</f>
        <v/>
      </c>
      <c r="F120" s="549" t="str">
        <f>FHD_P_78</f>
        <v/>
      </c>
      <c r="G120" s="458" t="s">
        <v>540</v>
      </c>
      <c r="H120" s="568"/>
      <c r="I120" s="568"/>
      <c r="J120" s="395" t="str">
        <f>FHD_NOTE_P_78</f>
        <v/>
      </c>
      <c r="K120" s="534"/>
    </row>
    <row r="121" spans="1:31" s="53" customFormat="1" ht="0.75" hidden="1" customHeight="1">
      <c r="A121" s="1199"/>
      <c r="D121" s="431"/>
      <c r="E121" s="149" t="str">
        <f>E120&amp;".0"</f>
        <v>.0</v>
      </c>
      <c r="F121" s="591"/>
      <c r="G121" s="592"/>
      <c r="H121" s="573"/>
      <c r="I121" s="573"/>
      <c r="J121" s="585"/>
    </row>
    <row r="122" spans="1:31" ht="15" hidden="1" customHeight="1">
      <c r="A122" s="1199"/>
      <c r="D122" s="120"/>
      <c r="E122" s="561"/>
      <c r="F122" s="163" t="s">
        <v>566</v>
      </c>
      <c r="G122" s="562"/>
      <c r="H122" s="563"/>
      <c r="I122" s="563"/>
      <c r="J122" s="588" t="s">
        <v>578</v>
      </c>
      <c r="K122" s="534"/>
    </row>
    <row r="123" spans="1:31" ht="22.5" hidden="1" customHeight="1">
      <c r="A123" s="1199"/>
      <c r="D123" s="117"/>
      <c r="E123" s="531" t="str">
        <f>FHD_NUM_P_79</f>
        <v/>
      </c>
      <c r="F123" s="549" t="str">
        <f>FHD_P_79</f>
        <v/>
      </c>
      <c r="G123" s="148" t="s">
        <v>542</v>
      </c>
      <c r="H123" s="568"/>
      <c r="I123" s="568"/>
      <c r="J123" s="395" t="str">
        <f>FHD_NOTE_P_79</f>
        <v/>
      </c>
      <c r="K123" s="534"/>
    </row>
    <row r="124" spans="1:31" s="53" customFormat="1" ht="0.75" hidden="1" customHeight="1">
      <c r="A124" s="1199"/>
      <c r="D124" s="431"/>
      <c r="E124" s="149" t="str">
        <f>E123&amp;".0"</f>
        <v>.0</v>
      </c>
      <c r="F124" s="593"/>
      <c r="G124" s="592"/>
      <c r="H124" s="573"/>
      <c r="I124" s="573"/>
      <c r="J124" s="585"/>
    </row>
    <row r="125" spans="1:31" ht="15" hidden="1" customHeight="1">
      <c r="A125" s="1199"/>
      <c r="D125" s="120"/>
      <c r="E125" s="561"/>
      <c r="F125" s="163" t="s">
        <v>566</v>
      </c>
      <c r="G125" s="562"/>
      <c r="H125" s="563"/>
      <c r="I125" s="563"/>
      <c r="J125" s="588" t="s">
        <v>579</v>
      </c>
      <c r="K125" s="534"/>
    </row>
    <row r="126" spans="1:31" ht="22.5" hidden="1" customHeight="1">
      <c r="A126" s="1199"/>
      <c r="D126" s="117"/>
      <c r="E126" s="531" t="str">
        <f>FHD_NUM_P_80</f>
        <v/>
      </c>
      <c r="F126" s="549" t="str">
        <f>FHD_P_80</f>
        <v/>
      </c>
      <c r="G126" s="148" t="s">
        <v>580</v>
      </c>
      <c r="H126" s="550"/>
      <c r="I126" s="550"/>
      <c r="J126" s="395" t="str">
        <f>FHD_NOTE_P_80</f>
        <v/>
      </c>
      <c r="K126" s="534"/>
    </row>
    <row r="127" spans="1:31" ht="18.75" hidden="1" customHeight="1">
      <c r="A127" s="1199"/>
      <c r="D127" s="117"/>
      <c r="E127" s="531" t="str">
        <f>FHD_NUM_P_81</f>
        <v/>
      </c>
      <c r="F127" s="549" t="str">
        <f>FHD_P_81</f>
        <v/>
      </c>
      <c r="G127" s="148" t="s">
        <v>581</v>
      </c>
      <c r="H127" s="550"/>
      <c r="I127" s="550"/>
      <c r="J127" s="395" t="str">
        <f>FHD_NOTE_P_81</f>
        <v/>
      </c>
      <c r="K127" s="534"/>
    </row>
    <row r="128" spans="1:31" ht="18.75" hidden="1" customHeight="1">
      <c r="A128" s="1199"/>
      <c r="C128" s="53" t="s">
        <v>568</v>
      </c>
      <c r="D128" s="117"/>
      <c r="E128" s="531" t="str">
        <f>FHD_NUM_P_82</f>
        <v/>
      </c>
      <c r="F128" s="549" t="str">
        <f>FHD_P_82</f>
        <v/>
      </c>
      <c r="G128" s="148" t="s">
        <v>293</v>
      </c>
      <c r="H128" s="577"/>
      <c r="I128" s="577"/>
      <c r="J128" s="395" t="str">
        <f>FHD_NOTE_P_82</f>
        <v/>
      </c>
      <c r="K128" s="534"/>
    </row>
    <row r="129" spans="1:31" ht="18.75" hidden="1" customHeight="1">
      <c r="A129" s="1199"/>
      <c r="C129" s="53" t="s">
        <v>568</v>
      </c>
      <c r="D129" s="117"/>
      <c r="E129" s="531" t="str">
        <f>FHD_NUM_P_83</f>
        <v/>
      </c>
      <c r="F129" s="513" t="str">
        <f>FHD_P_83</f>
        <v/>
      </c>
      <c r="G129" s="148" t="s">
        <v>293</v>
      </c>
      <c r="H129" s="577"/>
      <c r="I129" s="577"/>
      <c r="J129" s="395" t="str">
        <f>FHD_NOTE_P_83</f>
        <v/>
      </c>
      <c r="K129" s="534"/>
    </row>
    <row r="130" spans="1:31" ht="18.75" hidden="1" customHeight="1">
      <c r="A130" s="1199"/>
      <c r="C130" s="53" t="s">
        <v>568</v>
      </c>
      <c r="D130" s="117"/>
      <c r="E130" s="531" t="str">
        <f>FHD_NUM_P_84</f>
        <v/>
      </c>
      <c r="F130" s="513" t="str">
        <f>FHD_P_84</f>
        <v/>
      </c>
      <c r="G130" s="148" t="s">
        <v>293</v>
      </c>
      <c r="H130" s="577"/>
      <c r="I130" s="577"/>
      <c r="J130" s="395" t="str">
        <f>FHD_NOTE_P_84</f>
        <v/>
      </c>
      <c r="K130" s="534"/>
    </row>
    <row r="131" spans="1:31" ht="11.25" customHeight="1">
      <c r="D131" s="117"/>
    </row>
    <row r="132" spans="1:31" ht="12.75" customHeight="1">
      <c r="D132" s="117"/>
      <c r="E132" s="387"/>
      <c r="F132" s="318"/>
      <c r="G132" s="318"/>
      <c r="H132" s="318"/>
      <c r="I132" s="456"/>
      <c r="J132" s="254"/>
    </row>
    <row r="133" spans="1:31" s="123" customFormat="1" ht="11.25" customHeight="1">
      <c r="A133" s="529"/>
      <c r="B133" s="53"/>
      <c r="C133" s="53"/>
      <c r="F133" s="143"/>
      <c r="G133" s="46"/>
      <c r="H133" s="46"/>
      <c r="I133" s="46"/>
      <c r="K133" s="49"/>
      <c r="L133" s="53"/>
      <c r="M133" s="53"/>
      <c r="N133" s="49"/>
      <c r="O133" s="49"/>
      <c r="P133" s="49"/>
      <c r="Q133" s="49"/>
      <c r="R133" s="53"/>
      <c r="S133" s="49"/>
      <c r="T133" s="49"/>
      <c r="U133" s="530"/>
      <c r="V133" s="49"/>
      <c r="W133" s="49"/>
      <c r="X133" s="49"/>
      <c r="Y133" s="49"/>
      <c r="Z133" s="49"/>
      <c r="AA133" s="52"/>
      <c r="AB133" s="51"/>
      <c r="AC133" s="51"/>
      <c r="AD133" s="51"/>
      <c r="AE133" s="51"/>
    </row>
    <row r="134" spans="1:31" s="123" customFormat="1" ht="11.25" customHeight="1">
      <c r="A134" s="529"/>
      <c r="B134" s="53"/>
      <c r="C134" s="53"/>
      <c r="K134" s="49"/>
      <c r="L134" s="53"/>
      <c r="M134" s="53"/>
      <c r="N134" s="49"/>
      <c r="O134" s="49"/>
      <c r="P134" s="49"/>
      <c r="Q134" s="49"/>
      <c r="R134" s="53"/>
      <c r="S134" s="49"/>
      <c r="T134" s="49"/>
      <c r="U134" s="530"/>
      <c r="V134" s="49"/>
      <c r="W134" s="49"/>
      <c r="X134" s="49"/>
      <c r="Y134" s="49"/>
      <c r="Z134" s="49"/>
      <c r="AA134" s="52"/>
      <c r="AB134" s="51"/>
      <c r="AC134" s="51"/>
      <c r="AD134" s="51"/>
      <c r="AE134" s="51"/>
    </row>
    <row r="135" spans="1:31" s="123" customFormat="1" ht="11.25" customHeight="1">
      <c r="A135" s="529"/>
      <c r="B135" s="53"/>
      <c r="C135" s="53"/>
      <c r="K135" s="49"/>
      <c r="L135" s="53"/>
      <c r="M135" s="53"/>
      <c r="N135" s="49"/>
      <c r="O135" s="49"/>
      <c r="P135" s="49"/>
      <c r="Q135" s="49"/>
      <c r="R135" s="53"/>
      <c r="S135" s="49"/>
      <c r="T135" s="49"/>
      <c r="U135" s="530"/>
      <c r="V135" s="49"/>
      <c r="W135" s="49"/>
      <c r="X135" s="49"/>
      <c r="Y135" s="49"/>
      <c r="Z135" s="49"/>
      <c r="AA135" s="52"/>
      <c r="AB135" s="51"/>
      <c r="AC135" s="51"/>
      <c r="AD135" s="51"/>
      <c r="AE135" s="51"/>
    </row>
    <row r="136" spans="1:31" s="123" customFormat="1" ht="11.25" customHeight="1">
      <c r="A136" s="529"/>
      <c r="B136" s="53"/>
      <c r="C136" s="53"/>
      <c r="H136" s="51" t="str">
        <f>IF(H30-H31&lt;&gt;H72,"WARNING","")</f>
        <v/>
      </c>
      <c r="I136" s="51" t="str">
        <f>IF(I30-I31&lt;&gt;I72,"WARNING","")</f>
        <v/>
      </c>
      <c r="K136" s="49"/>
      <c r="L136" s="53"/>
      <c r="M136" s="53"/>
      <c r="N136" s="49"/>
      <c r="O136" s="49"/>
      <c r="P136" s="49"/>
      <c r="Q136" s="49"/>
      <c r="R136" s="53"/>
      <c r="S136" s="49"/>
      <c r="T136" s="49"/>
      <c r="U136" s="530"/>
      <c r="V136" s="49"/>
      <c r="W136" s="49"/>
      <c r="X136" s="49"/>
      <c r="Y136" s="49"/>
      <c r="Z136" s="49"/>
      <c r="AA136" s="52"/>
      <c r="AB136" s="51"/>
      <c r="AC136" s="51"/>
      <c r="AD136" s="51"/>
      <c r="AE136" s="51"/>
    </row>
    <row r="137" spans="1:31" s="123" customFormat="1" ht="11.25" customHeight="1">
      <c r="A137" s="529"/>
      <c r="B137" s="53"/>
      <c r="C137" s="53"/>
      <c r="K137" s="49"/>
      <c r="L137" s="53"/>
      <c r="M137" s="53"/>
      <c r="N137" s="49"/>
      <c r="O137" s="49"/>
      <c r="P137" s="49"/>
      <c r="Q137" s="49"/>
      <c r="R137" s="53"/>
      <c r="S137" s="49"/>
      <c r="T137" s="49"/>
      <c r="U137" s="530"/>
      <c r="V137" s="49"/>
      <c r="W137" s="49"/>
      <c r="X137" s="49"/>
      <c r="Y137" s="49"/>
      <c r="Z137" s="49"/>
      <c r="AA137" s="52"/>
      <c r="AB137" s="51"/>
      <c r="AC137" s="51"/>
      <c r="AD137" s="51"/>
      <c r="AE137" s="51"/>
    </row>
    <row r="138" spans="1:31" s="123" customFormat="1" ht="11.25" customHeight="1">
      <c r="A138" s="529"/>
      <c r="B138" s="53"/>
      <c r="C138" s="53"/>
      <c r="K138" s="49"/>
      <c r="L138" s="53"/>
      <c r="M138" s="53"/>
      <c r="N138" s="49"/>
      <c r="O138" s="49"/>
      <c r="P138" s="49"/>
      <c r="Q138" s="49"/>
      <c r="R138" s="53"/>
      <c r="S138" s="49"/>
      <c r="T138" s="49"/>
      <c r="U138" s="530"/>
      <c r="V138" s="49"/>
      <c r="W138" s="49"/>
      <c r="X138" s="49"/>
      <c r="Y138" s="49"/>
      <c r="Z138" s="49"/>
      <c r="AA138" s="52"/>
      <c r="AB138" s="51"/>
      <c r="AC138" s="51"/>
      <c r="AD138" s="51"/>
      <c r="AE138" s="51"/>
    </row>
    <row r="139" spans="1:31" s="123" customFormat="1" ht="11.25" customHeight="1">
      <c r="A139" s="529"/>
      <c r="B139" s="53"/>
      <c r="C139" s="53"/>
      <c r="K139" s="49"/>
      <c r="L139" s="53"/>
      <c r="M139" s="53"/>
      <c r="N139" s="49"/>
      <c r="O139" s="49"/>
      <c r="P139" s="49"/>
      <c r="Q139" s="49"/>
      <c r="R139" s="53"/>
      <c r="S139" s="49"/>
      <c r="T139" s="49"/>
      <c r="U139" s="530"/>
      <c r="V139" s="49"/>
      <c r="W139" s="49"/>
      <c r="X139" s="49"/>
      <c r="Y139" s="49"/>
      <c r="Z139" s="49"/>
      <c r="AA139" s="52"/>
      <c r="AB139" s="51"/>
      <c r="AC139" s="51"/>
      <c r="AD139" s="51"/>
      <c r="AE139" s="51"/>
    </row>
    <row r="140" spans="1:31" s="123" customFormat="1" ht="11.25" customHeight="1">
      <c r="A140" s="529"/>
      <c r="B140" s="53"/>
      <c r="C140" s="53"/>
      <c r="K140" s="49"/>
      <c r="L140" s="53"/>
      <c r="M140" s="53"/>
      <c r="N140" s="49"/>
      <c r="O140" s="49"/>
      <c r="P140" s="49"/>
      <c r="Q140" s="49"/>
      <c r="R140" s="53"/>
      <c r="S140" s="49"/>
      <c r="T140" s="49"/>
      <c r="U140" s="530"/>
      <c r="V140" s="49"/>
      <c r="W140" s="49"/>
      <c r="X140" s="49"/>
      <c r="Y140" s="49"/>
      <c r="Z140" s="49"/>
      <c r="AA140" s="52"/>
      <c r="AB140" s="51"/>
      <c r="AC140" s="51"/>
      <c r="AD140" s="51"/>
      <c r="AE140" s="51"/>
    </row>
    <row r="141" spans="1:31" s="123" customFormat="1" ht="11.25" customHeight="1">
      <c r="A141" s="529"/>
      <c r="B141" s="53"/>
      <c r="C141" s="53"/>
      <c r="K141" s="49"/>
      <c r="L141" s="53"/>
      <c r="M141" s="53"/>
      <c r="N141" s="49"/>
      <c r="O141" s="49"/>
      <c r="P141" s="49"/>
      <c r="Q141" s="49"/>
      <c r="R141" s="53"/>
      <c r="S141" s="49"/>
      <c r="T141" s="49"/>
      <c r="U141" s="530"/>
      <c r="V141" s="49"/>
      <c r="W141" s="49"/>
      <c r="X141" s="49"/>
      <c r="Y141" s="49"/>
      <c r="Z141" s="49"/>
      <c r="AA141" s="52"/>
      <c r="AB141" s="51"/>
      <c r="AC141" s="51"/>
      <c r="AD141" s="51"/>
      <c r="AE141" s="51"/>
    </row>
    <row r="142" spans="1:31" s="123" customFormat="1" ht="11.25" customHeight="1">
      <c r="A142" s="529"/>
      <c r="B142" s="53"/>
      <c r="C142" s="53"/>
      <c r="K142" s="49"/>
      <c r="L142" s="53"/>
      <c r="M142" s="53"/>
      <c r="N142" s="49"/>
      <c r="O142" s="49"/>
      <c r="P142" s="49"/>
      <c r="Q142" s="49"/>
      <c r="R142" s="53"/>
      <c r="S142" s="49"/>
      <c r="T142" s="49"/>
      <c r="U142" s="530"/>
      <c r="V142" s="49"/>
      <c r="W142" s="49"/>
      <c r="X142" s="49"/>
      <c r="Y142" s="49"/>
      <c r="Z142" s="49"/>
      <c r="AA142" s="52"/>
      <c r="AB142" s="51"/>
      <c r="AC142" s="51"/>
      <c r="AD142" s="51"/>
      <c r="AE142" s="51"/>
    </row>
    <row r="143" spans="1:31" s="123" customFormat="1" ht="11.25" customHeight="1">
      <c r="A143" s="529"/>
      <c r="B143" s="53"/>
      <c r="C143" s="53"/>
      <c r="K143" s="49"/>
      <c r="L143" s="53"/>
      <c r="M143" s="53"/>
      <c r="N143" s="49"/>
      <c r="O143" s="49"/>
      <c r="P143" s="49"/>
      <c r="Q143" s="49"/>
      <c r="R143" s="53"/>
      <c r="S143" s="49"/>
      <c r="T143" s="49"/>
      <c r="U143" s="530"/>
      <c r="V143" s="49"/>
      <c r="W143" s="49"/>
      <c r="X143" s="49"/>
      <c r="Y143" s="49"/>
      <c r="Z143" s="49"/>
      <c r="AA143" s="52"/>
      <c r="AB143" s="51"/>
      <c r="AC143" s="51"/>
      <c r="AD143" s="51"/>
      <c r="AE143" s="51"/>
    </row>
    <row r="144" spans="1:31" s="123" customFormat="1" ht="11.25" customHeight="1">
      <c r="A144" s="529"/>
      <c r="B144" s="53"/>
      <c r="C144" s="53"/>
      <c r="K144" s="49"/>
      <c r="L144" s="53"/>
      <c r="M144" s="53"/>
      <c r="N144" s="49"/>
      <c r="O144" s="49"/>
      <c r="P144" s="49"/>
      <c r="Q144" s="49"/>
      <c r="R144" s="53"/>
      <c r="S144" s="49"/>
      <c r="T144" s="49"/>
      <c r="U144" s="530"/>
      <c r="V144" s="49"/>
      <c r="W144" s="49"/>
      <c r="X144" s="49"/>
      <c r="Y144" s="49"/>
      <c r="Z144" s="49"/>
      <c r="AA144" s="52"/>
      <c r="AB144" s="51"/>
      <c r="AC144" s="51"/>
      <c r="AD144" s="51"/>
      <c r="AE144" s="51"/>
    </row>
    <row r="145" spans="1:31" s="123" customFormat="1" ht="11.25" customHeight="1">
      <c r="A145" s="529"/>
      <c r="B145" s="53"/>
      <c r="C145" s="53"/>
      <c r="K145" s="49"/>
      <c r="L145" s="53"/>
      <c r="M145" s="53"/>
      <c r="N145" s="49"/>
      <c r="O145" s="49"/>
      <c r="P145" s="49"/>
      <c r="Q145" s="49"/>
      <c r="R145" s="53"/>
      <c r="S145" s="49"/>
      <c r="T145" s="49"/>
      <c r="U145" s="530"/>
      <c r="V145" s="49"/>
      <c r="W145" s="49"/>
      <c r="X145" s="49"/>
      <c r="Y145" s="49"/>
      <c r="Z145" s="49"/>
      <c r="AA145" s="52"/>
      <c r="AB145" s="51"/>
      <c r="AC145" s="51"/>
      <c r="AD145" s="51"/>
      <c r="AE145" s="51"/>
    </row>
    <row r="146" spans="1:31" s="123" customFormat="1" ht="11.25" customHeight="1">
      <c r="A146" s="529"/>
      <c r="B146" s="53"/>
      <c r="C146" s="53"/>
      <c r="K146" s="49"/>
      <c r="L146" s="53"/>
      <c r="M146" s="53"/>
      <c r="N146" s="49"/>
      <c r="O146" s="49"/>
      <c r="P146" s="49"/>
      <c r="Q146" s="49"/>
      <c r="R146" s="53"/>
      <c r="S146" s="49"/>
      <c r="T146" s="49"/>
      <c r="U146" s="530"/>
      <c r="V146" s="49"/>
      <c r="W146" s="49"/>
      <c r="X146" s="49"/>
      <c r="Y146" s="49"/>
      <c r="Z146" s="49"/>
      <c r="AA146" s="52"/>
      <c r="AB146" s="51"/>
      <c r="AC146" s="51"/>
      <c r="AD146" s="51"/>
      <c r="AE146" s="51"/>
    </row>
    <row r="147" spans="1:31" s="123" customFormat="1" ht="11.25" customHeight="1">
      <c r="A147" s="529"/>
      <c r="B147" s="53"/>
      <c r="C147" s="53"/>
      <c r="K147" s="49"/>
      <c r="L147" s="53"/>
      <c r="M147" s="53"/>
      <c r="N147" s="49"/>
      <c r="O147" s="49"/>
      <c r="P147" s="49"/>
      <c r="Q147" s="49"/>
      <c r="R147" s="53"/>
      <c r="S147" s="49"/>
      <c r="T147" s="49"/>
      <c r="U147" s="530"/>
      <c r="V147" s="49"/>
      <c r="W147" s="49"/>
      <c r="X147" s="49"/>
      <c r="Y147" s="49"/>
      <c r="Z147" s="49"/>
      <c r="AA147" s="52"/>
      <c r="AB147" s="51"/>
      <c r="AC147" s="51"/>
      <c r="AD147" s="51"/>
      <c r="AE147" s="51"/>
    </row>
    <row r="148" spans="1:31" s="123" customFormat="1" ht="11.25" customHeight="1">
      <c r="A148" s="529"/>
      <c r="B148" s="53"/>
      <c r="C148" s="53"/>
      <c r="K148" s="49"/>
      <c r="L148" s="53"/>
      <c r="M148" s="53"/>
      <c r="N148" s="49"/>
      <c r="O148" s="49"/>
      <c r="P148" s="49"/>
      <c r="Q148" s="49"/>
      <c r="R148" s="53"/>
      <c r="S148" s="49"/>
      <c r="T148" s="49"/>
      <c r="U148" s="530"/>
      <c r="V148" s="49"/>
      <c r="W148" s="49"/>
      <c r="X148" s="49"/>
      <c r="Y148" s="49"/>
      <c r="Z148" s="49"/>
      <c r="AA148" s="52"/>
      <c r="AB148" s="51"/>
      <c r="AC148" s="51"/>
      <c r="AD148" s="51"/>
      <c r="AE148" s="51"/>
    </row>
    <row r="149" spans="1:31" s="123" customFormat="1" ht="11.25" customHeight="1">
      <c r="A149" s="529"/>
      <c r="B149" s="53"/>
      <c r="C149" s="53"/>
      <c r="K149" s="49"/>
      <c r="L149" s="53"/>
      <c r="M149" s="53"/>
      <c r="N149" s="49"/>
      <c r="O149" s="49"/>
      <c r="P149" s="49"/>
      <c r="Q149" s="49"/>
      <c r="R149" s="53"/>
      <c r="S149" s="49"/>
      <c r="T149" s="49"/>
      <c r="U149" s="530"/>
      <c r="V149" s="49"/>
      <c r="W149" s="49"/>
      <c r="X149" s="49"/>
      <c r="Y149" s="49"/>
      <c r="Z149" s="49"/>
      <c r="AA149" s="52"/>
      <c r="AB149" s="51"/>
      <c r="AC149" s="51"/>
      <c r="AD149" s="51"/>
      <c r="AE149" s="51"/>
    </row>
    <row r="150" spans="1:31" s="123" customFormat="1" ht="11.25" customHeight="1">
      <c r="A150" s="529"/>
      <c r="B150" s="53"/>
      <c r="C150" s="53"/>
      <c r="K150" s="49"/>
      <c r="L150" s="53"/>
      <c r="M150" s="53"/>
      <c r="N150" s="49"/>
      <c r="O150" s="49"/>
      <c r="P150" s="49"/>
      <c r="Q150" s="49"/>
      <c r="R150" s="53"/>
      <c r="S150" s="49"/>
      <c r="T150" s="49"/>
      <c r="U150" s="530"/>
      <c r="V150" s="49"/>
      <c r="W150" s="49"/>
      <c r="X150" s="49"/>
      <c r="Y150" s="49"/>
      <c r="Z150" s="49"/>
      <c r="AA150" s="52"/>
      <c r="AB150" s="51"/>
      <c r="AC150" s="51"/>
      <c r="AD150" s="51"/>
      <c r="AE150" s="51"/>
    </row>
    <row r="151" spans="1:31" s="123" customFormat="1" ht="11.25" customHeight="1">
      <c r="A151" s="529"/>
      <c r="B151" s="53"/>
      <c r="C151" s="53"/>
      <c r="K151" s="49"/>
      <c r="L151" s="53"/>
      <c r="M151" s="53"/>
      <c r="N151" s="49"/>
      <c r="O151" s="49"/>
      <c r="P151" s="49"/>
      <c r="Q151" s="49"/>
      <c r="R151" s="53"/>
      <c r="S151" s="49"/>
      <c r="T151" s="49"/>
      <c r="U151" s="530"/>
      <c r="V151" s="49"/>
      <c r="W151" s="49"/>
      <c r="X151" s="49"/>
      <c r="Y151" s="49"/>
      <c r="Z151" s="49"/>
      <c r="AA151" s="52"/>
      <c r="AB151" s="51"/>
      <c r="AC151" s="51"/>
      <c r="AD151" s="51"/>
      <c r="AE151" s="51"/>
    </row>
    <row r="152" spans="1:31" s="123" customFormat="1" ht="11.25" customHeight="1">
      <c r="A152" s="529"/>
      <c r="B152" s="53"/>
      <c r="C152" s="53"/>
      <c r="K152" s="49"/>
      <c r="L152" s="53"/>
      <c r="M152" s="53"/>
      <c r="N152" s="49"/>
      <c r="O152" s="49"/>
      <c r="P152" s="49"/>
      <c r="Q152" s="49"/>
      <c r="R152" s="53"/>
      <c r="S152" s="49"/>
      <c r="T152" s="49"/>
      <c r="U152" s="530"/>
      <c r="V152" s="49"/>
      <c r="W152" s="49"/>
      <c r="X152" s="49"/>
      <c r="Y152" s="49"/>
      <c r="Z152" s="49"/>
      <c r="AA152" s="52"/>
      <c r="AB152" s="51"/>
      <c r="AC152" s="51"/>
      <c r="AD152" s="51"/>
      <c r="AE152" s="51"/>
    </row>
    <row r="153" spans="1:31" s="123" customFormat="1" ht="11.25" customHeight="1">
      <c r="A153" s="529"/>
      <c r="B153" s="53"/>
      <c r="C153" s="53"/>
      <c r="K153" s="49"/>
      <c r="L153" s="53"/>
      <c r="M153" s="53"/>
      <c r="N153" s="49"/>
      <c r="O153" s="49"/>
      <c r="P153" s="49"/>
      <c r="Q153" s="49"/>
      <c r="R153" s="53"/>
      <c r="S153" s="49"/>
      <c r="T153" s="49"/>
      <c r="U153" s="530"/>
      <c r="V153" s="49"/>
      <c r="W153" s="49"/>
      <c r="X153" s="49"/>
      <c r="Y153" s="49"/>
      <c r="Z153" s="49"/>
      <c r="AA153" s="52"/>
      <c r="AB153" s="51"/>
      <c r="AC153" s="51"/>
      <c r="AD153" s="51"/>
      <c r="AE153" s="51"/>
    </row>
    <row r="154" spans="1:31" s="123" customFormat="1" ht="11.25" customHeight="1">
      <c r="A154" s="529"/>
      <c r="B154" s="53"/>
      <c r="C154" s="53"/>
      <c r="K154" s="49"/>
      <c r="L154" s="53"/>
      <c r="M154" s="53"/>
      <c r="N154" s="49"/>
      <c r="O154" s="49"/>
      <c r="P154" s="49"/>
      <c r="Q154" s="49"/>
      <c r="R154" s="53"/>
      <c r="S154" s="49"/>
      <c r="T154" s="49"/>
      <c r="U154" s="530"/>
      <c r="V154" s="49"/>
      <c r="W154" s="49"/>
      <c r="X154" s="49"/>
      <c r="Y154" s="49"/>
      <c r="Z154" s="49"/>
      <c r="AA154" s="52"/>
      <c r="AB154" s="51"/>
      <c r="AC154" s="51"/>
      <c r="AD154" s="51"/>
      <c r="AE154" s="51"/>
    </row>
    <row r="155" spans="1:31" s="123" customFormat="1" ht="11.25" customHeight="1">
      <c r="A155" s="529"/>
      <c r="B155" s="53"/>
      <c r="C155" s="53"/>
      <c r="K155" s="49"/>
      <c r="L155" s="53"/>
      <c r="M155" s="53"/>
      <c r="N155" s="49"/>
      <c r="O155" s="49"/>
      <c r="P155" s="49"/>
      <c r="Q155" s="49"/>
      <c r="R155" s="53"/>
      <c r="S155" s="49"/>
      <c r="T155" s="49"/>
      <c r="U155" s="530"/>
      <c r="V155" s="49"/>
      <c r="W155" s="49"/>
      <c r="X155" s="49"/>
      <c r="Y155" s="49"/>
      <c r="Z155" s="49"/>
      <c r="AA155" s="52"/>
      <c r="AB155" s="51"/>
      <c r="AC155" s="51"/>
      <c r="AD155" s="51"/>
      <c r="AE155" s="51"/>
    </row>
    <row r="156" spans="1:31" s="123" customFormat="1" ht="11.25" customHeight="1">
      <c r="A156" s="529"/>
      <c r="B156" s="53"/>
      <c r="C156" s="53"/>
      <c r="K156" s="49"/>
      <c r="L156" s="53"/>
      <c r="M156" s="53"/>
      <c r="N156" s="49"/>
      <c r="O156" s="49"/>
      <c r="P156" s="49"/>
      <c r="Q156" s="49"/>
      <c r="R156" s="53"/>
      <c r="S156" s="49"/>
      <c r="T156" s="49"/>
      <c r="U156" s="530"/>
      <c r="V156" s="49"/>
      <c r="W156" s="49"/>
      <c r="X156" s="49"/>
      <c r="Y156" s="49"/>
      <c r="Z156" s="49"/>
      <c r="AA156" s="52"/>
      <c r="AB156" s="51"/>
      <c r="AC156" s="51"/>
      <c r="AD156" s="51"/>
      <c r="AE156" s="51"/>
    </row>
    <row r="157" spans="1:31" s="123" customFormat="1" ht="11.25" customHeight="1">
      <c r="A157" s="529"/>
      <c r="B157" s="53"/>
      <c r="C157" s="53"/>
      <c r="K157" s="49"/>
      <c r="L157" s="53"/>
      <c r="M157" s="53"/>
      <c r="N157" s="49"/>
      <c r="O157" s="49"/>
      <c r="P157" s="49"/>
      <c r="Q157" s="49"/>
      <c r="R157" s="53"/>
      <c r="S157" s="49"/>
      <c r="T157" s="49"/>
      <c r="U157" s="530"/>
      <c r="V157" s="49"/>
      <c r="W157" s="49"/>
      <c r="X157" s="49"/>
      <c r="Y157" s="49"/>
      <c r="Z157" s="49"/>
      <c r="AA157" s="52"/>
      <c r="AB157" s="51"/>
      <c r="AC157" s="51"/>
      <c r="AD157" s="51"/>
      <c r="AE157" s="51"/>
    </row>
    <row r="158" spans="1:31" s="123" customFormat="1" ht="11.25" customHeight="1">
      <c r="A158" s="529"/>
      <c r="B158" s="53"/>
      <c r="C158" s="53"/>
      <c r="K158" s="49"/>
      <c r="L158" s="53"/>
      <c r="M158" s="53"/>
      <c r="N158" s="49"/>
      <c r="O158" s="49"/>
      <c r="P158" s="49"/>
      <c r="Q158" s="49"/>
      <c r="R158" s="53"/>
      <c r="S158" s="49"/>
      <c r="T158" s="49"/>
      <c r="U158" s="530"/>
      <c r="V158" s="49"/>
      <c r="W158" s="49"/>
      <c r="X158" s="49"/>
      <c r="Y158" s="49"/>
      <c r="Z158" s="49"/>
      <c r="AA158" s="52"/>
      <c r="AB158" s="51"/>
      <c r="AC158" s="51"/>
      <c r="AD158" s="51"/>
      <c r="AE158" s="51"/>
    </row>
    <row r="159" spans="1:31" s="123" customFormat="1" ht="11.25" customHeight="1">
      <c r="A159" s="529"/>
      <c r="B159" s="53"/>
      <c r="C159" s="53"/>
      <c r="K159" s="49"/>
      <c r="L159" s="53"/>
      <c r="M159" s="53"/>
      <c r="N159" s="49"/>
      <c r="O159" s="49"/>
      <c r="P159" s="49"/>
      <c r="Q159" s="49"/>
      <c r="R159" s="53"/>
      <c r="S159" s="49"/>
      <c r="T159" s="49"/>
      <c r="U159" s="530"/>
      <c r="V159" s="49"/>
      <c r="W159" s="49"/>
      <c r="X159" s="49"/>
      <c r="Y159" s="49"/>
      <c r="Z159" s="49"/>
      <c r="AA159" s="52"/>
      <c r="AB159" s="51"/>
      <c r="AC159" s="51"/>
      <c r="AD159" s="51"/>
      <c r="AE159" s="51"/>
    </row>
    <row r="160" spans="1:31" s="123" customFormat="1" ht="11.25" customHeight="1">
      <c r="A160" s="529"/>
      <c r="B160" s="53"/>
      <c r="C160" s="53"/>
      <c r="K160" s="49"/>
      <c r="L160" s="53"/>
      <c r="M160" s="53"/>
      <c r="N160" s="49"/>
      <c r="O160" s="49"/>
      <c r="P160" s="49"/>
      <c r="Q160" s="49"/>
      <c r="R160" s="53"/>
      <c r="S160" s="49"/>
      <c r="T160" s="49"/>
      <c r="U160" s="530"/>
      <c r="V160" s="49"/>
      <c r="W160" s="49"/>
      <c r="X160" s="49"/>
      <c r="Y160" s="49"/>
      <c r="Z160" s="49"/>
      <c r="AA160" s="52"/>
      <c r="AB160" s="51"/>
      <c r="AC160" s="51"/>
      <c r="AD160" s="51"/>
      <c r="AE160" s="51"/>
    </row>
    <row r="161" spans="1:31" s="123" customFormat="1" ht="11.25" customHeight="1">
      <c r="A161" s="529"/>
      <c r="B161" s="53"/>
      <c r="C161" s="53"/>
      <c r="K161" s="49"/>
      <c r="L161" s="53"/>
      <c r="M161" s="53"/>
      <c r="N161" s="49"/>
      <c r="O161" s="49"/>
      <c r="P161" s="49"/>
      <c r="Q161" s="49"/>
      <c r="R161" s="53"/>
      <c r="S161" s="49"/>
      <c r="T161" s="49"/>
      <c r="U161" s="530"/>
      <c r="V161" s="49"/>
      <c r="W161" s="49"/>
      <c r="X161" s="49"/>
      <c r="Y161" s="49"/>
      <c r="Z161" s="49"/>
      <c r="AA161" s="52"/>
      <c r="AB161" s="51"/>
      <c r="AC161" s="51"/>
      <c r="AD161" s="51"/>
      <c r="AE161" s="51"/>
    </row>
    <row r="162" spans="1:31" s="123" customFormat="1" ht="11.25" customHeight="1">
      <c r="A162" s="529"/>
      <c r="B162" s="53"/>
      <c r="C162" s="53"/>
      <c r="K162" s="49"/>
      <c r="L162" s="53"/>
      <c r="M162" s="53"/>
      <c r="N162" s="49"/>
      <c r="O162" s="49"/>
      <c r="P162" s="49"/>
      <c r="Q162" s="49"/>
      <c r="R162" s="53"/>
      <c r="S162" s="49"/>
      <c r="T162" s="49"/>
      <c r="U162" s="530"/>
      <c r="V162" s="49"/>
      <c r="W162" s="49"/>
      <c r="X162" s="49"/>
      <c r="Y162" s="49"/>
      <c r="Z162" s="49"/>
      <c r="AA162" s="52"/>
      <c r="AB162" s="51"/>
      <c r="AC162" s="51"/>
      <c r="AD162" s="51"/>
      <c r="AE162" s="51"/>
    </row>
    <row r="163" spans="1:31" s="123" customFormat="1" ht="11.25" customHeight="1">
      <c r="A163" s="529"/>
      <c r="B163" s="53"/>
      <c r="C163" s="53"/>
      <c r="K163" s="49"/>
      <c r="L163" s="53"/>
      <c r="M163" s="53"/>
      <c r="N163" s="49"/>
      <c r="O163" s="49"/>
      <c r="P163" s="49"/>
      <c r="Q163" s="49"/>
      <c r="R163" s="53"/>
      <c r="S163" s="49"/>
      <c r="T163" s="49"/>
      <c r="U163" s="530"/>
      <c r="V163" s="49"/>
      <c r="W163" s="49"/>
      <c r="X163" s="49"/>
      <c r="Y163" s="49"/>
      <c r="Z163" s="49"/>
      <c r="AA163" s="52"/>
      <c r="AB163" s="51"/>
      <c r="AC163" s="51"/>
      <c r="AD163" s="51"/>
      <c r="AE163" s="51"/>
    </row>
    <row r="164" spans="1:31" s="123" customFormat="1" ht="11.25" customHeight="1">
      <c r="A164" s="529"/>
      <c r="B164" s="53"/>
      <c r="C164" s="53"/>
      <c r="K164" s="49"/>
      <c r="L164" s="53"/>
      <c r="M164" s="53"/>
      <c r="N164" s="49"/>
      <c r="O164" s="49"/>
      <c r="P164" s="49"/>
      <c r="Q164" s="49"/>
      <c r="R164" s="53"/>
      <c r="S164" s="49"/>
      <c r="T164" s="49"/>
      <c r="U164" s="530"/>
      <c r="V164" s="49"/>
      <c r="W164" s="49"/>
      <c r="X164" s="49"/>
      <c r="Y164" s="49"/>
      <c r="Z164" s="49"/>
      <c r="AA164" s="52"/>
      <c r="AB164" s="51"/>
      <c r="AC164" s="51"/>
      <c r="AD164" s="51"/>
      <c r="AE164" s="51"/>
    </row>
    <row r="165" spans="1:31" s="123" customFormat="1" ht="11.25" customHeight="1">
      <c r="A165" s="529"/>
      <c r="B165" s="53"/>
      <c r="C165" s="53"/>
      <c r="K165" s="49"/>
      <c r="L165" s="53"/>
      <c r="M165" s="53"/>
      <c r="N165" s="49"/>
      <c r="O165" s="49"/>
      <c r="P165" s="49"/>
      <c r="Q165" s="49"/>
      <c r="R165" s="53"/>
      <c r="S165" s="49"/>
      <c r="T165" s="49"/>
      <c r="U165" s="530"/>
      <c r="V165" s="49"/>
      <c r="W165" s="49"/>
      <c r="X165" s="49"/>
      <c r="Y165" s="49"/>
      <c r="Z165" s="49"/>
      <c r="AA165" s="52"/>
      <c r="AB165" s="51"/>
      <c r="AC165" s="51"/>
      <c r="AD165" s="51"/>
      <c r="AE165" s="51"/>
    </row>
    <row r="166" spans="1:31" s="123" customFormat="1" ht="11.25" customHeight="1">
      <c r="A166" s="529"/>
      <c r="B166" s="53"/>
      <c r="C166" s="53"/>
      <c r="K166" s="49"/>
      <c r="L166" s="53"/>
      <c r="M166" s="53"/>
      <c r="N166" s="49"/>
      <c r="O166" s="49"/>
      <c r="P166" s="49"/>
      <c r="Q166" s="49"/>
      <c r="R166" s="53"/>
      <c r="S166" s="49"/>
      <c r="T166" s="49"/>
      <c r="U166" s="530"/>
      <c r="V166" s="49"/>
      <c r="W166" s="49"/>
      <c r="X166" s="49"/>
      <c r="Y166" s="49"/>
      <c r="Z166" s="49"/>
      <c r="AA166" s="52"/>
      <c r="AB166" s="51"/>
      <c r="AC166" s="51"/>
      <c r="AD166" s="51"/>
      <c r="AE166" s="51"/>
    </row>
    <row r="167" spans="1:31" s="123" customFormat="1" ht="11.25" customHeight="1">
      <c r="A167" s="529"/>
      <c r="B167" s="53"/>
      <c r="C167" s="53"/>
      <c r="K167" s="49"/>
      <c r="L167" s="53"/>
      <c r="M167" s="53"/>
      <c r="N167" s="49"/>
      <c r="O167" s="49"/>
      <c r="P167" s="49"/>
      <c r="Q167" s="49"/>
      <c r="R167" s="53"/>
      <c r="S167" s="49"/>
      <c r="T167" s="49"/>
      <c r="U167" s="530"/>
      <c r="V167" s="49"/>
      <c r="W167" s="49"/>
      <c r="X167" s="49"/>
      <c r="Y167" s="49"/>
      <c r="Z167" s="49"/>
      <c r="AA167" s="52"/>
      <c r="AB167" s="51"/>
      <c r="AC167" s="51"/>
      <c r="AD167" s="51"/>
      <c r="AE167" s="51"/>
    </row>
    <row r="168" spans="1:31" s="123" customFormat="1" ht="11.25" customHeight="1">
      <c r="A168" s="529"/>
      <c r="B168" s="53"/>
      <c r="C168" s="53"/>
      <c r="K168" s="49"/>
      <c r="L168" s="53"/>
      <c r="M168" s="53"/>
      <c r="N168" s="49"/>
      <c r="O168" s="49"/>
      <c r="P168" s="49"/>
      <c r="Q168" s="49"/>
      <c r="R168" s="53"/>
      <c r="S168" s="49"/>
      <c r="T168" s="49"/>
      <c r="U168" s="530"/>
      <c r="V168" s="49"/>
      <c r="W168" s="49"/>
      <c r="X168" s="49"/>
      <c r="Y168" s="49"/>
      <c r="Z168" s="49"/>
      <c r="AA168" s="52"/>
      <c r="AB168" s="51"/>
      <c r="AC168" s="51"/>
      <c r="AD168" s="51"/>
      <c r="AE168" s="51"/>
    </row>
    <row r="169" spans="1:31" s="123" customFormat="1" ht="11.25" customHeight="1">
      <c r="A169" s="529"/>
      <c r="B169" s="53"/>
      <c r="C169" s="53"/>
      <c r="K169" s="49"/>
      <c r="L169" s="53"/>
      <c r="M169" s="53"/>
      <c r="N169" s="49"/>
      <c r="O169" s="49"/>
      <c r="P169" s="49"/>
      <c r="Q169" s="49"/>
      <c r="R169" s="53"/>
      <c r="S169" s="49"/>
      <c r="T169" s="49"/>
      <c r="U169" s="530"/>
      <c r="V169" s="49"/>
      <c r="W169" s="49"/>
      <c r="X169" s="49"/>
      <c r="Y169" s="49"/>
      <c r="Z169" s="49"/>
      <c r="AA169" s="52"/>
      <c r="AB169" s="51"/>
      <c r="AC169" s="51"/>
      <c r="AD169" s="51"/>
      <c r="AE169" s="51"/>
    </row>
    <row r="170" spans="1:31" s="123" customFormat="1" ht="11.25" customHeight="1">
      <c r="A170" s="529"/>
      <c r="B170" s="53"/>
      <c r="C170" s="53"/>
      <c r="K170" s="49"/>
      <c r="L170" s="53"/>
      <c r="M170" s="53"/>
      <c r="N170" s="49"/>
      <c r="O170" s="49"/>
      <c r="P170" s="49"/>
      <c r="Q170" s="49"/>
      <c r="R170" s="53"/>
      <c r="S170" s="49"/>
      <c r="T170" s="49"/>
      <c r="U170" s="530"/>
      <c r="V170" s="49"/>
      <c r="W170" s="49"/>
      <c r="X170" s="49"/>
      <c r="Y170" s="49"/>
      <c r="Z170" s="49"/>
      <c r="AA170" s="52"/>
      <c r="AB170" s="51"/>
      <c r="AC170" s="51"/>
      <c r="AD170" s="51"/>
      <c r="AE170" s="51"/>
    </row>
    <row r="171" spans="1:31" s="123" customFormat="1" ht="11.25" customHeight="1">
      <c r="A171" s="529"/>
      <c r="B171" s="53"/>
      <c r="C171" s="53"/>
      <c r="K171" s="49"/>
      <c r="L171" s="53"/>
      <c r="M171" s="53"/>
      <c r="N171" s="49"/>
      <c r="O171" s="49"/>
      <c r="P171" s="49"/>
      <c r="Q171" s="49"/>
      <c r="R171" s="53"/>
      <c r="S171" s="49"/>
      <c r="T171" s="49"/>
      <c r="U171" s="530"/>
      <c r="V171" s="49"/>
      <c r="W171" s="49"/>
      <c r="X171" s="49"/>
      <c r="Y171" s="49"/>
      <c r="Z171" s="49"/>
      <c r="AA171" s="52"/>
      <c r="AB171" s="51"/>
      <c r="AC171" s="51"/>
      <c r="AD171" s="51"/>
      <c r="AE171" s="51"/>
    </row>
    <row r="172" spans="1:31" s="123" customFormat="1" ht="11.25" customHeight="1">
      <c r="A172" s="529"/>
      <c r="B172" s="53"/>
      <c r="C172" s="53"/>
      <c r="K172" s="49"/>
      <c r="L172" s="53"/>
      <c r="M172" s="53"/>
      <c r="N172" s="49"/>
      <c r="O172" s="49"/>
      <c r="P172" s="49"/>
      <c r="Q172" s="49"/>
      <c r="R172" s="53"/>
      <c r="S172" s="49"/>
      <c r="T172" s="49"/>
      <c r="U172" s="530"/>
      <c r="V172" s="49"/>
      <c r="W172" s="49"/>
      <c r="X172" s="49"/>
      <c r="Y172" s="49"/>
      <c r="Z172" s="49"/>
      <c r="AA172" s="52"/>
      <c r="AB172" s="51"/>
      <c r="AC172" s="51"/>
      <c r="AD172" s="51"/>
      <c r="AE172" s="51"/>
    </row>
    <row r="173" spans="1:31" s="123" customFormat="1" ht="11.25" customHeight="1">
      <c r="A173" s="529"/>
      <c r="B173" s="53"/>
      <c r="C173" s="53"/>
      <c r="K173" s="49"/>
      <c r="L173" s="53"/>
      <c r="M173" s="53"/>
      <c r="N173" s="49"/>
      <c r="O173" s="49"/>
      <c r="P173" s="49"/>
      <c r="Q173" s="49"/>
      <c r="R173" s="53"/>
      <c r="S173" s="49"/>
      <c r="T173" s="49"/>
      <c r="U173" s="530"/>
      <c r="V173" s="49"/>
      <c r="W173" s="49"/>
      <c r="X173" s="49"/>
      <c r="Y173" s="49"/>
      <c r="Z173" s="49"/>
      <c r="AA173" s="52"/>
      <c r="AB173" s="51"/>
      <c r="AC173" s="51"/>
      <c r="AD173" s="51"/>
      <c r="AE173" s="51"/>
    </row>
    <row r="174" spans="1:31" s="123" customFormat="1" ht="11.25" customHeight="1">
      <c r="A174" s="529"/>
      <c r="B174" s="53"/>
      <c r="C174" s="53"/>
      <c r="K174" s="49"/>
      <c r="L174" s="53"/>
      <c r="M174" s="53"/>
      <c r="N174" s="49"/>
      <c r="O174" s="49"/>
      <c r="P174" s="49"/>
      <c r="Q174" s="49"/>
      <c r="R174" s="53"/>
      <c r="S174" s="49"/>
      <c r="T174" s="49"/>
      <c r="U174" s="530"/>
      <c r="V174" s="49"/>
      <c r="W174" s="49"/>
      <c r="X174" s="49"/>
      <c r="Y174" s="49"/>
      <c r="Z174" s="49"/>
      <c r="AA174" s="52"/>
      <c r="AB174" s="51"/>
      <c r="AC174" s="51"/>
      <c r="AD174" s="51"/>
      <c r="AE174" s="51"/>
    </row>
    <row r="175" spans="1:31" s="123" customFormat="1" ht="11.25" customHeight="1">
      <c r="A175" s="529"/>
      <c r="B175" s="53"/>
      <c r="C175" s="53"/>
      <c r="K175" s="49"/>
      <c r="L175" s="53"/>
      <c r="M175" s="53"/>
      <c r="N175" s="49"/>
      <c r="O175" s="49"/>
      <c r="P175" s="49"/>
      <c r="Q175" s="49"/>
      <c r="R175" s="53"/>
      <c r="S175" s="49"/>
      <c r="T175" s="49"/>
      <c r="U175" s="530"/>
      <c r="V175" s="49"/>
      <c r="W175" s="49"/>
      <c r="X175" s="49"/>
      <c r="Y175" s="49"/>
      <c r="Z175" s="49"/>
      <c r="AA175" s="52"/>
      <c r="AB175" s="51"/>
      <c r="AC175" s="51"/>
      <c r="AD175" s="51"/>
      <c r="AE175" s="51"/>
    </row>
    <row r="176" spans="1:31" s="123" customFormat="1" ht="11.25" customHeight="1">
      <c r="A176" s="529"/>
      <c r="B176" s="53"/>
      <c r="C176" s="53"/>
      <c r="K176" s="49"/>
      <c r="L176" s="53"/>
      <c r="M176" s="53"/>
      <c r="N176" s="49"/>
      <c r="O176" s="49"/>
      <c r="P176" s="49"/>
      <c r="Q176" s="49"/>
      <c r="R176" s="53"/>
      <c r="S176" s="49"/>
      <c r="T176" s="49"/>
      <c r="U176" s="530"/>
      <c r="V176" s="49"/>
      <c r="W176" s="49"/>
      <c r="X176" s="49"/>
      <c r="Y176" s="49"/>
      <c r="Z176" s="49"/>
      <c r="AA176" s="52"/>
      <c r="AB176" s="51"/>
      <c r="AC176" s="51"/>
      <c r="AD176" s="51"/>
      <c r="AE176" s="51"/>
    </row>
    <row r="177" spans="1:31" s="123" customFormat="1" ht="11.25" customHeight="1">
      <c r="A177" s="529"/>
      <c r="B177" s="53"/>
      <c r="C177" s="53"/>
      <c r="K177" s="49"/>
      <c r="L177" s="53"/>
      <c r="M177" s="53"/>
      <c r="N177" s="49"/>
      <c r="O177" s="49"/>
      <c r="P177" s="49"/>
      <c r="Q177" s="49"/>
      <c r="R177" s="53"/>
      <c r="S177" s="49"/>
      <c r="T177" s="49"/>
      <c r="U177" s="530"/>
      <c r="V177" s="49"/>
      <c r="W177" s="49"/>
      <c r="X177" s="49"/>
      <c r="Y177" s="49"/>
      <c r="Z177" s="49"/>
      <c r="AA177" s="52"/>
      <c r="AB177" s="51"/>
      <c r="AC177" s="51"/>
      <c r="AD177" s="51"/>
      <c r="AE177" s="51"/>
    </row>
    <row r="178" spans="1:31" s="123" customFormat="1" ht="11.25" customHeight="1">
      <c r="A178" s="529"/>
      <c r="B178" s="53"/>
      <c r="C178" s="53"/>
      <c r="K178" s="49"/>
      <c r="L178" s="53"/>
      <c r="M178" s="53"/>
      <c r="N178" s="49"/>
      <c r="O178" s="49"/>
      <c r="P178" s="49"/>
      <c r="Q178" s="49"/>
      <c r="R178" s="53"/>
      <c r="S178" s="49"/>
      <c r="T178" s="49"/>
      <c r="U178" s="530"/>
      <c r="V178" s="49"/>
      <c r="W178" s="49"/>
      <c r="X178" s="49"/>
      <c r="Y178" s="49"/>
      <c r="Z178" s="49"/>
      <c r="AA178" s="52"/>
      <c r="AB178" s="51"/>
      <c r="AC178" s="51"/>
      <c r="AD178" s="51"/>
      <c r="AE178" s="51"/>
    </row>
    <row r="179" spans="1:31" s="123" customFormat="1" ht="11.25" customHeight="1">
      <c r="A179" s="529"/>
      <c r="B179" s="53"/>
      <c r="C179" s="53"/>
      <c r="K179" s="49"/>
      <c r="L179" s="53"/>
      <c r="M179" s="53"/>
      <c r="N179" s="49"/>
      <c r="O179" s="49"/>
      <c r="P179" s="49"/>
      <c r="Q179" s="49"/>
      <c r="R179" s="53"/>
      <c r="S179" s="49"/>
      <c r="T179" s="49"/>
      <c r="U179" s="530"/>
      <c r="V179" s="49"/>
      <c r="W179" s="49"/>
      <c r="X179" s="49"/>
      <c r="Y179" s="49"/>
      <c r="Z179" s="49"/>
      <c r="AA179" s="52"/>
      <c r="AB179" s="51"/>
      <c r="AC179" s="51"/>
      <c r="AD179" s="51"/>
      <c r="AE179" s="51"/>
    </row>
    <row r="180" spans="1:31" s="123" customFormat="1" ht="11.25" customHeight="1">
      <c r="A180" s="529"/>
      <c r="B180" s="53"/>
      <c r="C180" s="53"/>
      <c r="K180" s="49"/>
      <c r="L180" s="53"/>
      <c r="M180" s="53"/>
      <c r="N180" s="49"/>
      <c r="O180" s="49"/>
      <c r="P180" s="49"/>
      <c r="Q180" s="49"/>
      <c r="R180" s="53"/>
      <c r="S180" s="49"/>
      <c r="T180" s="49"/>
      <c r="U180" s="530"/>
      <c r="V180" s="49"/>
      <c r="W180" s="49"/>
      <c r="X180" s="49"/>
      <c r="Y180" s="49"/>
      <c r="Z180" s="49"/>
      <c r="AA180" s="52"/>
      <c r="AB180" s="51"/>
      <c r="AC180" s="51"/>
      <c r="AD180" s="51"/>
      <c r="AE180" s="51"/>
    </row>
    <row r="181" spans="1:31" s="123" customFormat="1" ht="11.25" customHeight="1">
      <c r="A181" s="529"/>
      <c r="B181" s="53"/>
      <c r="C181" s="53"/>
      <c r="K181" s="49"/>
      <c r="L181" s="53"/>
      <c r="M181" s="53"/>
      <c r="N181" s="49"/>
      <c r="O181" s="49"/>
      <c r="P181" s="49"/>
      <c r="Q181" s="49"/>
      <c r="R181" s="53"/>
      <c r="S181" s="49"/>
      <c r="T181" s="49"/>
      <c r="U181" s="530"/>
      <c r="V181" s="49"/>
      <c r="W181" s="49"/>
      <c r="X181" s="49"/>
      <c r="Y181" s="49"/>
      <c r="Z181" s="49"/>
      <c r="AA181" s="52"/>
      <c r="AB181" s="51"/>
      <c r="AC181" s="51"/>
      <c r="AD181" s="51"/>
      <c r="AE181" s="51"/>
    </row>
    <row r="182" spans="1:31" s="123" customFormat="1" ht="11.25" customHeight="1">
      <c r="A182" s="529"/>
      <c r="B182" s="53"/>
      <c r="C182" s="53"/>
      <c r="K182" s="49"/>
      <c r="L182" s="53"/>
      <c r="M182" s="53"/>
      <c r="N182" s="49"/>
      <c r="O182" s="49"/>
      <c r="P182" s="49"/>
      <c r="Q182" s="49"/>
      <c r="R182" s="53"/>
      <c r="S182" s="49"/>
      <c r="T182" s="49"/>
      <c r="U182" s="530"/>
      <c r="V182" s="49"/>
      <c r="W182" s="49"/>
      <c r="X182" s="49"/>
      <c r="Y182" s="49"/>
      <c r="Z182" s="49"/>
      <c r="AA182" s="52"/>
      <c r="AB182" s="51"/>
      <c r="AC182" s="51"/>
      <c r="AD182" s="51"/>
      <c r="AE182" s="51"/>
    </row>
    <row r="183" spans="1:31" s="123" customFormat="1" ht="11.25" customHeight="1">
      <c r="A183" s="529"/>
      <c r="B183" s="53"/>
      <c r="C183" s="53"/>
      <c r="K183" s="49"/>
      <c r="L183" s="53"/>
      <c r="M183" s="53"/>
      <c r="N183" s="49"/>
      <c r="O183" s="49"/>
      <c r="P183" s="49"/>
      <c r="Q183" s="49"/>
      <c r="R183" s="53"/>
      <c r="S183" s="49"/>
      <c r="T183" s="49"/>
      <c r="U183" s="530"/>
      <c r="V183" s="49"/>
      <c r="W183" s="49"/>
      <c r="X183" s="49"/>
      <c r="Y183" s="49"/>
      <c r="Z183" s="49"/>
      <c r="AA183" s="52"/>
      <c r="AB183" s="51"/>
      <c r="AC183" s="51"/>
      <c r="AD183" s="51"/>
      <c r="AE183" s="51"/>
    </row>
    <row r="184" spans="1:31" s="123" customFormat="1" ht="11.25" customHeight="1">
      <c r="A184" s="529"/>
      <c r="B184" s="53"/>
      <c r="C184" s="53"/>
      <c r="K184" s="49"/>
      <c r="L184" s="53"/>
      <c r="M184" s="53"/>
      <c r="N184" s="49"/>
      <c r="O184" s="49"/>
      <c r="P184" s="49"/>
      <c r="Q184" s="49"/>
      <c r="R184" s="53"/>
      <c r="S184" s="49"/>
      <c r="T184" s="49"/>
      <c r="U184" s="530"/>
      <c r="V184" s="49"/>
      <c r="W184" s="49"/>
      <c r="X184" s="49"/>
      <c r="Y184" s="49"/>
      <c r="Z184" s="49"/>
      <c r="AA184" s="52"/>
      <c r="AB184" s="51"/>
      <c r="AC184" s="51"/>
      <c r="AD184" s="51"/>
      <c r="AE184" s="51"/>
    </row>
    <row r="185" spans="1:31" s="123" customFormat="1" ht="11.25" customHeight="1">
      <c r="A185" s="529"/>
      <c r="B185" s="53"/>
      <c r="C185" s="53"/>
      <c r="K185" s="49"/>
      <c r="L185" s="53"/>
      <c r="M185" s="53"/>
      <c r="N185" s="49"/>
      <c r="O185" s="49"/>
      <c r="P185" s="49"/>
      <c r="Q185" s="49"/>
      <c r="R185" s="53"/>
      <c r="S185" s="49"/>
      <c r="T185" s="49"/>
      <c r="U185" s="530"/>
      <c r="V185" s="49"/>
      <c r="W185" s="49"/>
      <c r="X185" s="49"/>
      <c r="Y185" s="49"/>
      <c r="Z185" s="49"/>
      <c r="AA185" s="52"/>
      <c r="AB185" s="51"/>
      <c r="AC185" s="51"/>
      <c r="AD185" s="51"/>
      <c r="AE185" s="51"/>
    </row>
    <row r="186" spans="1:31" s="123" customFormat="1" ht="11.25" customHeight="1">
      <c r="A186" s="529"/>
      <c r="B186" s="53"/>
      <c r="C186" s="53"/>
      <c r="K186" s="49"/>
      <c r="L186" s="53"/>
      <c r="M186" s="53"/>
      <c r="N186" s="49"/>
      <c r="O186" s="49"/>
      <c r="P186" s="49"/>
      <c r="Q186" s="49"/>
      <c r="R186" s="53"/>
      <c r="S186" s="49"/>
      <c r="T186" s="49"/>
      <c r="U186" s="530"/>
      <c r="V186" s="49"/>
      <c r="W186" s="49"/>
      <c r="X186" s="49"/>
      <c r="Y186" s="49"/>
      <c r="Z186" s="49"/>
      <c r="AA186" s="52"/>
      <c r="AB186" s="51"/>
      <c r="AC186" s="51"/>
      <c r="AD186" s="51"/>
      <c r="AE186" s="51"/>
    </row>
    <row r="187" spans="1:31" s="123" customFormat="1" ht="11.25" customHeight="1">
      <c r="A187" s="529"/>
      <c r="B187" s="53"/>
      <c r="C187" s="53"/>
      <c r="K187" s="49"/>
      <c r="L187" s="53"/>
      <c r="M187" s="53"/>
      <c r="N187" s="49"/>
      <c r="O187" s="49"/>
      <c r="P187" s="49"/>
      <c r="Q187" s="49"/>
      <c r="R187" s="53"/>
      <c r="S187" s="49"/>
      <c r="T187" s="49"/>
      <c r="U187" s="530"/>
      <c r="V187" s="49"/>
      <c r="W187" s="49"/>
      <c r="X187" s="49"/>
      <c r="Y187" s="49"/>
      <c r="Z187" s="49"/>
      <c r="AA187" s="52"/>
      <c r="AB187" s="51"/>
      <c r="AC187" s="51"/>
      <c r="AD187" s="51"/>
      <c r="AE187" s="51"/>
    </row>
    <row r="188" spans="1:31" s="123" customFormat="1" ht="11.25" customHeight="1">
      <c r="A188" s="529"/>
      <c r="B188" s="53"/>
      <c r="C188" s="53"/>
      <c r="K188" s="49"/>
      <c r="L188" s="53"/>
      <c r="M188" s="53"/>
      <c r="N188" s="49"/>
      <c r="O188" s="49"/>
      <c r="P188" s="49"/>
      <c r="Q188" s="49"/>
      <c r="R188" s="53"/>
      <c r="S188" s="49"/>
      <c r="T188" s="49"/>
      <c r="U188" s="530"/>
      <c r="V188" s="49"/>
      <c r="W188" s="49"/>
      <c r="X188" s="49"/>
      <c r="Y188" s="49"/>
      <c r="Z188" s="49"/>
      <c r="AA188" s="52"/>
      <c r="AB188" s="51"/>
      <c r="AC188" s="51"/>
      <c r="AD188" s="51"/>
      <c r="AE188" s="51"/>
    </row>
    <row r="189" spans="1:31" s="123" customFormat="1" ht="11.25" customHeight="1">
      <c r="A189" s="529"/>
      <c r="B189" s="53"/>
      <c r="C189" s="53"/>
      <c r="K189" s="49"/>
      <c r="L189" s="53"/>
      <c r="M189" s="53"/>
      <c r="N189" s="49"/>
      <c r="O189" s="49"/>
      <c r="P189" s="49"/>
      <c r="Q189" s="49"/>
      <c r="R189" s="53"/>
      <c r="S189" s="49"/>
      <c r="T189" s="49"/>
      <c r="U189" s="530"/>
      <c r="V189" s="49"/>
      <c r="W189" s="49"/>
      <c r="X189" s="49"/>
      <c r="Y189" s="49"/>
      <c r="Z189" s="49"/>
      <c r="AA189" s="52"/>
      <c r="AB189" s="51"/>
      <c r="AC189" s="51"/>
      <c r="AD189" s="51"/>
      <c r="AE189" s="51"/>
    </row>
    <row r="190" spans="1:31" s="123" customFormat="1" ht="11.25" customHeight="1">
      <c r="A190" s="529"/>
      <c r="B190" s="53"/>
      <c r="C190" s="53"/>
      <c r="K190" s="49"/>
      <c r="L190" s="53"/>
      <c r="M190" s="53"/>
      <c r="N190" s="49"/>
      <c r="O190" s="49"/>
      <c r="P190" s="49"/>
      <c r="Q190" s="49"/>
      <c r="R190" s="53"/>
      <c r="S190" s="49"/>
      <c r="T190" s="49"/>
      <c r="U190" s="530"/>
      <c r="V190" s="49"/>
      <c r="W190" s="49"/>
      <c r="X190" s="49"/>
      <c r="Y190" s="49"/>
      <c r="Z190" s="49"/>
      <c r="AA190" s="52"/>
      <c r="AB190" s="51"/>
      <c r="AC190" s="51"/>
      <c r="AD190" s="51"/>
      <c r="AE190" s="51"/>
    </row>
    <row r="191" spans="1:31" s="123" customFormat="1" ht="11.25" customHeight="1">
      <c r="A191" s="529"/>
      <c r="B191" s="53"/>
      <c r="C191" s="53"/>
      <c r="K191" s="49"/>
      <c r="L191" s="53"/>
      <c r="M191" s="53"/>
      <c r="N191" s="49"/>
      <c r="O191" s="49"/>
      <c r="P191" s="49"/>
      <c r="Q191" s="49"/>
      <c r="R191" s="53"/>
      <c r="S191" s="49"/>
      <c r="T191" s="49"/>
      <c r="U191" s="530"/>
      <c r="V191" s="49"/>
      <c r="W191" s="49"/>
      <c r="X191" s="49"/>
      <c r="Y191" s="49"/>
      <c r="Z191" s="49"/>
      <c r="AA191" s="52"/>
      <c r="AB191" s="51"/>
      <c r="AC191" s="51"/>
      <c r="AD191" s="51"/>
      <c r="AE191" s="51"/>
    </row>
    <row r="192" spans="1:31" s="123" customFormat="1" ht="11.25" customHeight="1">
      <c r="A192" s="529"/>
      <c r="B192" s="53"/>
      <c r="C192" s="53"/>
      <c r="K192" s="49"/>
      <c r="L192" s="53"/>
      <c r="M192" s="53"/>
      <c r="N192" s="49"/>
      <c r="O192" s="49"/>
      <c r="P192" s="49"/>
      <c r="Q192" s="49"/>
      <c r="R192" s="53"/>
      <c r="S192" s="49"/>
      <c r="T192" s="49"/>
      <c r="U192" s="530"/>
      <c r="V192" s="49"/>
      <c r="W192" s="49"/>
      <c r="X192" s="49"/>
      <c r="Y192" s="49"/>
      <c r="Z192" s="49"/>
      <c r="AA192" s="52"/>
      <c r="AB192" s="51"/>
      <c r="AC192" s="51"/>
      <c r="AD192" s="51"/>
      <c r="AE192" s="51"/>
    </row>
    <row r="193" spans="1:31" s="123" customFormat="1" ht="11.25" customHeight="1">
      <c r="A193" s="529"/>
      <c r="B193" s="53"/>
      <c r="C193" s="53"/>
      <c r="K193" s="49"/>
      <c r="L193" s="53"/>
      <c r="M193" s="53"/>
      <c r="N193" s="49"/>
      <c r="O193" s="49"/>
      <c r="P193" s="49"/>
      <c r="Q193" s="49"/>
      <c r="R193" s="53"/>
      <c r="S193" s="49"/>
      <c r="T193" s="49"/>
      <c r="U193" s="530"/>
      <c r="V193" s="49"/>
      <c r="W193" s="49"/>
      <c r="X193" s="49"/>
      <c r="Y193" s="49"/>
      <c r="Z193" s="49"/>
      <c r="AA193" s="52"/>
      <c r="AB193" s="51"/>
      <c r="AC193" s="51"/>
      <c r="AD193" s="51"/>
      <c r="AE193" s="51"/>
    </row>
    <row r="194" spans="1:31" s="123" customFormat="1" ht="11.25" customHeight="1">
      <c r="A194" s="529"/>
      <c r="B194" s="53"/>
      <c r="C194" s="53"/>
      <c r="K194" s="49"/>
      <c r="L194" s="53"/>
      <c r="M194" s="53"/>
      <c r="N194" s="49"/>
      <c r="O194" s="49"/>
      <c r="P194" s="49"/>
      <c r="Q194" s="49"/>
      <c r="R194" s="53"/>
      <c r="S194" s="49"/>
      <c r="T194" s="49"/>
      <c r="U194" s="530"/>
      <c r="V194" s="49"/>
      <c r="W194" s="49"/>
      <c r="X194" s="49"/>
      <c r="Y194" s="49"/>
      <c r="Z194" s="49"/>
      <c r="AA194" s="52"/>
      <c r="AB194" s="51"/>
      <c r="AC194" s="51"/>
      <c r="AD194" s="51"/>
      <c r="AE194" s="51"/>
    </row>
    <row r="195" spans="1:31" s="123" customFormat="1" ht="11.25" customHeight="1">
      <c r="A195" s="529"/>
      <c r="B195" s="53"/>
      <c r="C195" s="53"/>
      <c r="K195" s="49"/>
      <c r="L195" s="53"/>
      <c r="M195" s="53"/>
      <c r="N195" s="49"/>
      <c r="O195" s="49"/>
      <c r="P195" s="49"/>
      <c r="Q195" s="49"/>
      <c r="R195" s="53"/>
      <c r="S195" s="49"/>
      <c r="T195" s="49"/>
      <c r="U195" s="530"/>
      <c r="V195" s="49"/>
      <c r="W195" s="49"/>
      <c r="X195" s="49"/>
      <c r="Y195" s="49"/>
      <c r="Z195" s="49"/>
      <c r="AA195" s="52"/>
      <c r="AB195" s="51"/>
      <c r="AC195" s="51"/>
      <c r="AD195" s="51"/>
      <c r="AE195" s="51"/>
    </row>
    <row r="196" spans="1:31" s="123" customFormat="1" ht="11.25" customHeight="1">
      <c r="A196" s="529"/>
      <c r="B196" s="53"/>
      <c r="C196" s="53"/>
      <c r="K196" s="49"/>
      <c r="L196" s="53"/>
      <c r="M196" s="53"/>
      <c r="N196" s="49"/>
      <c r="O196" s="49"/>
      <c r="P196" s="49"/>
      <c r="Q196" s="49"/>
      <c r="R196" s="53"/>
      <c r="S196" s="49"/>
      <c r="T196" s="49"/>
      <c r="U196" s="530"/>
      <c r="V196" s="49"/>
      <c r="W196" s="49"/>
      <c r="X196" s="49"/>
      <c r="Y196" s="49"/>
      <c r="Z196" s="49"/>
      <c r="AA196" s="52"/>
      <c r="AB196" s="51"/>
      <c r="AC196" s="51"/>
      <c r="AD196" s="51"/>
      <c r="AE196" s="51"/>
    </row>
    <row r="197" spans="1:31" s="123" customFormat="1" ht="11.25" customHeight="1">
      <c r="A197" s="529"/>
      <c r="B197" s="53"/>
      <c r="C197" s="53"/>
      <c r="K197" s="49"/>
      <c r="L197" s="53"/>
      <c r="M197" s="53"/>
      <c r="N197" s="49"/>
      <c r="O197" s="49"/>
      <c r="P197" s="49"/>
      <c r="Q197" s="49"/>
      <c r="R197" s="53"/>
      <c r="S197" s="49"/>
      <c r="T197" s="49"/>
      <c r="U197" s="530"/>
      <c r="V197" s="49"/>
      <c r="W197" s="49"/>
      <c r="X197" s="49"/>
      <c r="Y197" s="49"/>
      <c r="Z197" s="49"/>
      <c r="AA197" s="52"/>
      <c r="AB197" s="51"/>
      <c r="AC197" s="51"/>
      <c r="AD197" s="51"/>
      <c r="AE197" s="51"/>
    </row>
    <row r="198" spans="1:31" s="123" customFormat="1" ht="11.25" customHeight="1">
      <c r="A198" s="529"/>
      <c r="B198" s="53"/>
      <c r="C198" s="53"/>
      <c r="K198" s="49"/>
      <c r="L198" s="53"/>
      <c r="M198" s="53"/>
      <c r="N198" s="49"/>
      <c r="O198" s="49"/>
      <c r="P198" s="49"/>
      <c r="Q198" s="49"/>
      <c r="R198" s="53"/>
      <c r="S198" s="49"/>
      <c r="T198" s="49"/>
      <c r="U198" s="530"/>
      <c r="V198" s="49"/>
      <c r="W198" s="49"/>
      <c r="X198" s="49"/>
      <c r="Y198" s="49"/>
      <c r="Z198" s="49"/>
      <c r="AA198" s="52"/>
      <c r="AB198" s="51"/>
      <c r="AC198" s="51"/>
      <c r="AD198" s="51"/>
      <c r="AE198" s="51"/>
    </row>
    <row r="199" spans="1:31" s="123" customFormat="1" ht="11.25" customHeight="1">
      <c r="A199" s="529"/>
      <c r="B199" s="53"/>
      <c r="C199" s="53"/>
      <c r="K199" s="49"/>
      <c r="L199" s="53"/>
      <c r="M199" s="53"/>
      <c r="N199" s="49"/>
      <c r="O199" s="49"/>
      <c r="P199" s="49"/>
      <c r="Q199" s="49"/>
      <c r="R199" s="53"/>
      <c r="S199" s="49"/>
      <c r="T199" s="49"/>
      <c r="U199" s="530"/>
      <c r="V199" s="49"/>
      <c r="W199" s="49"/>
      <c r="X199" s="49"/>
      <c r="Y199" s="49"/>
      <c r="Z199" s="49"/>
      <c r="AA199" s="52"/>
      <c r="AB199" s="51"/>
      <c r="AC199" s="51"/>
      <c r="AD199" s="51"/>
      <c r="AE199" s="51"/>
    </row>
    <row r="200" spans="1:31" s="123" customFormat="1" ht="11.25" customHeight="1">
      <c r="A200" s="529"/>
      <c r="B200" s="53"/>
      <c r="C200" s="53"/>
      <c r="K200" s="49"/>
      <c r="L200" s="53"/>
      <c r="M200" s="53"/>
      <c r="N200" s="49"/>
      <c r="O200" s="49"/>
      <c r="P200" s="49"/>
      <c r="Q200" s="49"/>
      <c r="R200" s="53"/>
      <c r="S200" s="49"/>
      <c r="T200" s="49"/>
      <c r="U200" s="530"/>
      <c r="V200" s="49"/>
      <c r="W200" s="49"/>
      <c r="X200" s="49"/>
      <c r="Y200" s="49"/>
      <c r="Z200" s="49"/>
      <c r="AA200" s="52"/>
      <c r="AB200" s="51"/>
      <c r="AC200" s="51"/>
      <c r="AD200" s="51"/>
      <c r="AE200" s="51"/>
    </row>
    <row r="201" spans="1:31" s="123" customFormat="1" ht="11.25" customHeight="1">
      <c r="A201" s="529"/>
      <c r="B201" s="53"/>
      <c r="C201" s="53"/>
      <c r="K201" s="49"/>
      <c r="L201" s="53"/>
      <c r="M201" s="53"/>
      <c r="N201" s="49"/>
      <c r="O201" s="49"/>
      <c r="P201" s="49"/>
      <c r="Q201" s="49"/>
      <c r="R201" s="53"/>
      <c r="S201" s="49"/>
      <c r="T201" s="49"/>
      <c r="U201" s="530"/>
      <c r="V201" s="49"/>
      <c r="W201" s="49"/>
      <c r="X201" s="49"/>
      <c r="Y201" s="49"/>
      <c r="Z201" s="49"/>
      <c r="AA201" s="52"/>
      <c r="AB201" s="51"/>
      <c r="AC201" s="51"/>
      <c r="AD201" s="51"/>
      <c r="AE201" s="51"/>
    </row>
    <row r="202" spans="1:31" s="123" customFormat="1" ht="11.25" customHeight="1">
      <c r="A202" s="529"/>
      <c r="B202" s="53"/>
      <c r="C202" s="53"/>
      <c r="K202" s="49"/>
      <c r="L202" s="53"/>
      <c r="M202" s="53"/>
      <c r="N202" s="49"/>
      <c r="O202" s="49"/>
      <c r="P202" s="49"/>
      <c r="Q202" s="49"/>
      <c r="R202" s="53"/>
      <c r="S202" s="49"/>
      <c r="T202" s="49"/>
      <c r="U202" s="530"/>
      <c r="V202" s="49"/>
      <c r="W202" s="49"/>
      <c r="X202" s="49"/>
      <c r="Y202" s="49"/>
      <c r="Z202" s="49"/>
      <c r="AA202" s="52"/>
      <c r="AB202" s="51"/>
      <c r="AC202" s="51"/>
      <c r="AD202" s="51"/>
      <c r="AE202" s="51"/>
    </row>
    <row r="203" spans="1:31" s="123" customFormat="1" ht="11.25" customHeight="1">
      <c r="A203" s="529"/>
      <c r="B203" s="53"/>
      <c r="C203" s="53"/>
      <c r="K203" s="49"/>
      <c r="L203" s="53"/>
      <c r="M203" s="53"/>
      <c r="N203" s="49"/>
      <c r="O203" s="49"/>
      <c r="P203" s="49"/>
      <c r="Q203" s="49"/>
      <c r="R203" s="53"/>
      <c r="S203" s="49"/>
      <c r="T203" s="49"/>
      <c r="U203" s="530"/>
      <c r="V203" s="49"/>
      <c r="W203" s="49"/>
      <c r="X203" s="49"/>
      <c r="Y203" s="49"/>
      <c r="Z203" s="49"/>
      <c r="AA203" s="52"/>
      <c r="AB203" s="51"/>
      <c r="AC203" s="51"/>
      <c r="AD203" s="51"/>
      <c r="AE203" s="51"/>
    </row>
    <row r="204" spans="1:31" s="123" customFormat="1" ht="11.25" customHeight="1">
      <c r="A204" s="529"/>
      <c r="B204" s="53"/>
      <c r="C204" s="53"/>
      <c r="K204" s="49"/>
      <c r="L204" s="53"/>
      <c r="M204" s="53"/>
      <c r="N204" s="49"/>
      <c r="O204" s="49"/>
      <c r="P204" s="49"/>
      <c r="Q204" s="49"/>
      <c r="R204" s="53"/>
      <c r="S204" s="49"/>
      <c r="T204" s="49"/>
      <c r="U204" s="530"/>
      <c r="V204" s="49"/>
      <c r="W204" s="49"/>
      <c r="X204" s="49"/>
      <c r="Y204" s="49"/>
      <c r="Z204" s="49"/>
      <c r="AA204" s="52"/>
      <c r="AB204" s="51"/>
      <c r="AC204" s="51"/>
      <c r="AD204" s="51"/>
      <c r="AE204" s="51"/>
    </row>
    <row r="205" spans="1:31" s="123" customFormat="1" ht="11.25" customHeight="1">
      <c r="A205" s="529"/>
      <c r="B205" s="53"/>
      <c r="C205" s="53"/>
      <c r="K205" s="49"/>
      <c r="L205" s="53"/>
      <c r="M205" s="53"/>
      <c r="N205" s="49"/>
      <c r="O205" s="49"/>
      <c r="P205" s="49"/>
      <c r="Q205" s="49"/>
      <c r="R205" s="53"/>
      <c r="S205" s="49"/>
      <c r="T205" s="49"/>
      <c r="U205" s="530"/>
      <c r="V205" s="49"/>
      <c r="W205" s="49"/>
      <c r="X205" s="49"/>
      <c r="Y205" s="49"/>
      <c r="Z205" s="49"/>
      <c r="AA205" s="52"/>
      <c r="AB205" s="51"/>
      <c r="AC205" s="51"/>
      <c r="AD205" s="51"/>
      <c r="AE205" s="51"/>
    </row>
    <row r="206" spans="1:31" s="123" customFormat="1" ht="11.25" customHeight="1">
      <c r="A206" s="529"/>
      <c r="B206" s="53"/>
      <c r="C206" s="53"/>
      <c r="K206" s="49"/>
      <c r="L206" s="53"/>
      <c r="M206" s="53"/>
      <c r="N206" s="49"/>
      <c r="O206" s="49"/>
      <c r="P206" s="49"/>
      <c r="Q206" s="49"/>
      <c r="R206" s="53"/>
      <c r="S206" s="49"/>
      <c r="T206" s="49"/>
      <c r="U206" s="530"/>
      <c r="V206" s="49"/>
      <c r="W206" s="49"/>
      <c r="X206" s="49"/>
      <c r="Y206" s="49"/>
      <c r="Z206" s="49"/>
      <c r="AA206" s="52"/>
      <c r="AB206" s="51"/>
      <c r="AC206" s="51"/>
      <c r="AD206" s="51"/>
      <c r="AE206" s="51"/>
    </row>
    <row r="207" spans="1:31" s="123" customFormat="1" ht="11.25" customHeight="1">
      <c r="A207" s="529"/>
      <c r="B207" s="53"/>
      <c r="C207" s="53"/>
      <c r="K207" s="49"/>
      <c r="L207" s="53"/>
      <c r="M207" s="53"/>
      <c r="N207" s="49"/>
      <c r="O207" s="49"/>
      <c r="P207" s="49"/>
      <c r="Q207" s="49"/>
      <c r="R207" s="53"/>
      <c r="S207" s="49"/>
      <c r="T207" s="49"/>
      <c r="U207" s="530"/>
      <c r="V207" s="49"/>
      <c r="W207" s="49"/>
      <c r="X207" s="49"/>
      <c r="Y207" s="49"/>
      <c r="Z207" s="49"/>
      <c r="AA207" s="52"/>
      <c r="AB207" s="51"/>
      <c r="AC207" s="51"/>
      <c r="AD207" s="51"/>
      <c r="AE207" s="51"/>
    </row>
    <row r="208" spans="1:31" s="123" customFormat="1" ht="11.25" customHeight="1">
      <c r="A208" s="529"/>
      <c r="B208" s="53"/>
      <c r="C208" s="53"/>
      <c r="K208" s="49"/>
      <c r="L208" s="53"/>
      <c r="M208" s="53"/>
      <c r="N208" s="49"/>
      <c r="O208" s="49"/>
      <c r="P208" s="49"/>
      <c r="Q208" s="49"/>
      <c r="R208" s="53"/>
      <c r="S208" s="49"/>
      <c r="T208" s="49"/>
      <c r="U208" s="530"/>
      <c r="V208" s="49"/>
      <c r="W208" s="49"/>
      <c r="X208" s="49"/>
      <c r="Y208" s="49"/>
      <c r="Z208" s="49"/>
      <c r="AA208" s="52"/>
      <c r="AB208" s="51"/>
      <c r="AC208" s="51"/>
      <c r="AD208" s="51"/>
      <c r="AE208" s="51"/>
    </row>
    <row r="209" spans="1:31" s="123" customFormat="1" ht="11.25" customHeight="1">
      <c r="A209" s="529"/>
      <c r="B209" s="53"/>
      <c r="C209" s="53"/>
      <c r="K209" s="49"/>
      <c r="L209" s="53"/>
      <c r="M209" s="53"/>
      <c r="N209" s="49"/>
      <c r="O209" s="49"/>
      <c r="P209" s="49"/>
      <c r="Q209" s="49"/>
      <c r="R209" s="53"/>
      <c r="S209" s="49"/>
      <c r="T209" s="49"/>
      <c r="U209" s="530"/>
      <c r="V209" s="49"/>
      <c r="W209" s="49"/>
      <c r="X209" s="49"/>
      <c r="Y209" s="49"/>
      <c r="Z209" s="49"/>
      <c r="AA209" s="52"/>
      <c r="AB209" s="51"/>
      <c r="AC209" s="51"/>
      <c r="AD209" s="51"/>
      <c r="AE209" s="51"/>
    </row>
    <row r="210" spans="1:31" s="123" customFormat="1" ht="11.25" customHeight="1">
      <c r="A210" s="529"/>
      <c r="B210" s="53"/>
      <c r="C210" s="53"/>
      <c r="K210" s="49"/>
      <c r="L210" s="53"/>
      <c r="M210" s="53"/>
      <c r="N210" s="49"/>
      <c r="O210" s="49"/>
      <c r="P210" s="49"/>
      <c r="Q210" s="49"/>
      <c r="R210" s="53"/>
      <c r="S210" s="49"/>
      <c r="T210" s="49"/>
      <c r="U210" s="530"/>
      <c r="V210" s="49"/>
      <c r="W210" s="49"/>
      <c r="X210" s="49"/>
      <c r="Y210" s="49"/>
      <c r="Z210" s="49"/>
      <c r="AA210" s="52"/>
      <c r="AB210" s="51"/>
      <c r="AC210" s="51"/>
      <c r="AD210" s="51"/>
      <c r="AE210" s="51"/>
    </row>
    <row r="211" spans="1:31" s="123" customFormat="1" ht="11.25" customHeight="1">
      <c r="A211" s="529"/>
      <c r="B211" s="53"/>
      <c r="C211" s="53"/>
      <c r="K211" s="49"/>
      <c r="L211" s="53"/>
      <c r="M211" s="53"/>
      <c r="N211" s="49"/>
      <c r="O211" s="49"/>
      <c r="P211" s="49"/>
      <c r="Q211" s="49"/>
      <c r="R211" s="53"/>
      <c r="S211" s="49"/>
      <c r="T211" s="49"/>
      <c r="U211" s="530"/>
      <c r="V211" s="49"/>
      <c r="W211" s="49"/>
      <c r="X211" s="49"/>
      <c r="Y211" s="49"/>
      <c r="Z211" s="49"/>
      <c r="AA211" s="52"/>
      <c r="AB211" s="51"/>
      <c r="AC211" s="51"/>
      <c r="AD211" s="51"/>
      <c r="AE211" s="51"/>
    </row>
    <row r="212" spans="1:31" s="123" customFormat="1" ht="11.25" customHeight="1">
      <c r="A212" s="529"/>
      <c r="B212" s="53"/>
      <c r="C212" s="53"/>
      <c r="K212" s="49"/>
      <c r="L212" s="53"/>
      <c r="M212" s="53"/>
      <c r="N212" s="49"/>
      <c r="O212" s="49"/>
      <c r="P212" s="49"/>
      <c r="Q212" s="49"/>
      <c r="R212" s="53"/>
      <c r="S212" s="49"/>
      <c r="T212" s="49"/>
      <c r="U212" s="530"/>
      <c r="V212" s="49"/>
      <c r="W212" s="49"/>
      <c r="X212" s="49"/>
      <c r="Y212" s="49"/>
      <c r="Z212" s="49"/>
      <c r="AA212" s="52"/>
      <c r="AB212" s="51"/>
      <c r="AC212" s="51"/>
      <c r="AD212" s="51"/>
      <c r="AE212" s="51"/>
    </row>
    <row r="213" spans="1:31" s="123" customFormat="1" ht="11.25" customHeight="1">
      <c r="A213" s="529"/>
      <c r="B213" s="53"/>
      <c r="C213" s="53"/>
      <c r="K213" s="49"/>
      <c r="L213" s="53"/>
      <c r="M213" s="53"/>
      <c r="N213" s="49"/>
      <c r="O213" s="49"/>
      <c r="P213" s="49"/>
      <c r="Q213" s="49"/>
      <c r="R213" s="53"/>
      <c r="S213" s="49"/>
      <c r="T213" s="49"/>
      <c r="U213" s="530"/>
      <c r="V213" s="49"/>
      <c r="W213" s="49"/>
      <c r="X213" s="49"/>
      <c r="Y213" s="49"/>
      <c r="Z213" s="49"/>
      <c r="AA213" s="52"/>
      <c r="AB213" s="51"/>
      <c r="AC213" s="51"/>
      <c r="AD213" s="51"/>
      <c r="AE213" s="51"/>
    </row>
    <row r="214" spans="1:31" s="123" customFormat="1" ht="11.25" customHeight="1">
      <c r="A214" s="529"/>
      <c r="B214" s="53"/>
      <c r="C214" s="53"/>
      <c r="K214" s="49"/>
      <c r="L214" s="53"/>
      <c r="M214" s="53"/>
      <c r="N214" s="49"/>
      <c r="O214" s="49"/>
      <c r="P214" s="49"/>
      <c r="Q214" s="49"/>
      <c r="R214" s="53"/>
      <c r="S214" s="49"/>
      <c r="T214" s="49"/>
      <c r="U214" s="530"/>
      <c r="V214" s="49"/>
      <c r="W214" s="49"/>
      <c r="X214" s="49"/>
      <c r="Y214" s="49"/>
      <c r="Z214" s="49"/>
      <c r="AA214" s="52"/>
      <c r="AB214" s="51"/>
      <c r="AC214" s="51"/>
      <c r="AD214" s="51"/>
      <c r="AE214" s="51"/>
    </row>
    <row r="215" spans="1:31" s="123" customFormat="1" ht="11.25" customHeight="1">
      <c r="A215" s="529"/>
      <c r="B215" s="53"/>
      <c r="C215" s="53"/>
      <c r="K215" s="49"/>
      <c r="L215" s="53"/>
      <c r="M215" s="53"/>
      <c r="N215" s="49"/>
      <c r="O215" s="49"/>
      <c r="P215" s="49"/>
      <c r="Q215" s="49"/>
      <c r="R215" s="53"/>
      <c r="S215" s="49"/>
      <c r="T215" s="49"/>
      <c r="U215" s="530"/>
      <c r="V215" s="49"/>
      <c r="W215" s="49"/>
      <c r="X215" s="49"/>
      <c r="Y215" s="49"/>
      <c r="Z215" s="49"/>
      <c r="AA215" s="52"/>
      <c r="AB215" s="51"/>
      <c r="AC215" s="51"/>
      <c r="AD215" s="51"/>
      <c r="AE215" s="51"/>
    </row>
    <row r="216" spans="1:31" s="123" customFormat="1" ht="11.25" customHeight="1">
      <c r="A216" s="529"/>
      <c r="B216" s="53"/>
      <c r="C216" s="53"/>
      <c r="K216" s="49"/>
      <c r="L216" s="53"/>
      <c r="M216" s="53"/>
      <c r="N216" s="49"/>
      <c r="O216" s="49"/>
      <c r="P216" s="49"/>
      <c r="Q216" s="49"/>
      <c r="R216" s="53"/>
      <c r="S216" s="49"/>
      <c r="T216" s="49"/>
      <c r="U216" s="530"/>
      <c r="V216" s="49"/>
      <c r="W216" s="49"/>
      <c r="X216" s="49"/>
      <c r="Y216" s="49"/>
      <c r="Z216" s="49"/>
      <c r="AA216" s="52"/>
      <c r="AB216" s="51"/>
      <c r="AC216" s="51"/>
      <c r="AD216" s="51"/>
      <c r="AE216" s="51"/>
    </row>
    <row r="217" spans="1:31" s="123" customFormat="1" ht="11.25" customHeight="1">
      <c r="A217" s="529"/>
      <c r="B217" s="53"/>
      <c r="C217" s="53"/>
      <c r="K217" s="49"/>
      <c r="L217" s="53"/>
      <c r="M217" s="53"/>
      <c r="N217" s="49"/>
      <c r="O217" s="49"/>
      <c r="P217" s="49"/>
      <c r="Q217" s="49"/>
      <c r="R217" s="53"/>
      <c r="S217" s="49"/>
      <c r="T217" s="49"/>
      <c r="U217" s="530"/>
      <c r="V217" s="49"/>
      <c r="W217" s="49"/>
      <c r="X217" s="49"/>
      <c r="Y217" s="49"/>
      <c r="Z217" s="49"/>
      <c r="AA217" s="52"/>
      <c r="AB217" s="51"/>
      <c r="AC217" s="51"/>
      <c r="AD217" s="51"/>
      <c r="AE217" s="51"/>
    </row>
    <row r="218" spans="1:31" s="123" customFormat="1" ht="11.25" customHeight="1">
      <c r="A218" s="529"/>
      <c r="B218" s="53"/>
      <c r="C218" s="53"/>
      <c r="K218" s="49"/>
      <c r="L218" s="53"/>
      <c r="M218" s="53"/>
      <c r="N218" s="49"/>
      <c r="O218" s="49"/>
      <c r="P218" s="49"/>
      <c r="Q218" s="49"/>
      <c r="R218" s="53"/>
      <c r="S218" s="49"/>
      <c r="T218" s="49"/>
      <c r="U218" s="530"/>
      <c r="V218" s="49"/>
      <c r="W218" s="49"/>
      <c r="X218" s="49"/>
      <c r="Y218" s="49"/>
      <c r="Z218" s="49"/>
      <c r="AA218" s="52"/>
      <c r="AB218" s="51"/>
      <c r="AC218" s="51"/>
      <c r="AD218" s="51"/>
      <c r="AE218" s="51"/>
    </row>
    <row r="219" spans="1:31" s="123" customFormat="1" ht="11.25" customHeight="1">
      <c r="A219" s="529"/>
      <c r="B219" s="53"/>
      <c r="C219" s="53"/>
      <c r="K219" s="49"/>
      <c r="L219" s="53"/>
      <c r="M219" s="53"/>
      <c r="N219" s="49"/>
      <c r="O219" s="49"/>
      <c r="P219" s="49"/>
      <c r="Q219" s="49"/>
      <c r="R219" s="53"/>
      <c r="S219" s="49"/>
      <c r="T219" s="49"/>
      <c r="U219" s="530"/>
      <c r="V219" s="49"/>
      <c r="W219" s="49"/>
      <c r="X219" s="49"/>
      <c r="Y219" s="49"/>
      <c r="Z219" s="49"/>
      <c r="AA219" s="52"/>
      <c r="AB219" s="51"/>
      <c r="AC219" s="51"/>
      <c r="AD219" s="51"/>
      <c r="AE219" s="51"/>
    </row>
    <row r="220" spans="1:31" s="123" customFormat="1" ht="11.25" customHeight="1">
      <c r="A220" s="529"/>
      <c r="B220" s="53"/>
      <c r="C220" s="53"/>
      <c r="K220" s="49"/>
      <c r="L220" s="53"/>
      <c r="M220" s="53"/>
      <c r="N220" s="49"/>
      <c r="O220" s="49"/>
      <c r="P220" s="49"/>
      <c r="Q220" s="49"/>
      <c r="R220" s="53"/>
      <c r="S220" s="49"/>
      <c r="T220" s="49"/>
      <c r="U220" s="530"/>
      <c r="V220" s="49"/>
      <c r="W220" s="49"/>
      <c r="X220" s="49"/>
      <c r="Y220" s="49"/>
      <c r="Z220" s="49"/>
      <c r="AA220" s="52"/>
      <c r="AB220" s="51"/>
      <c r="AC220" s="51"/>
      <c r="AD220" s="51"/>
      <c r="AE220" s="51"/>
    </row>
    <row r="221" spans="1:31" s="123" customFormat="1" ht="11.25" customHeight="1">
      <c r="A221" s="529"/>
      <c r="B221" s="53"/>
      <c r="C221" s="53"/>
      <c r="K221" s="49"/>
      <c r="L221" s="53"/>
      <c r="M221" s="53"/>
      <c r="N221" s="49"/>
      <c r="O221" s="49"/>
      <c r="P221" s="49"/>
      <c r="Q221" s="49"/>
      <c r="R221" s="53"/>
      <c r="S221" s="49"/>
      <c r="T221" s="49"/>
      <c r="U221" s="530"/>
      <c r="V221" s="49"/>
      <c r="W221" s="49"/>
      <c r="X221" s="49"/>
      <c r="Y221" s="49"/>
      <c r="Z221" s="49"/>
      <c r="AA221" s="52"/>
      <c r="AB221" s="51"/>
      <c r="AC221" s="51"/>
      <c r="AD221" s="51"/>
      <c r="AE221" s="51"/>
    </row>
    <row r="222" spans="1:31" s="123" customFormat="1" ht="11.25" customHeight="1">
      <c r="A222" s="529"/>
      <c r="B222" s="53"/>
      <c r="C222" s="53"/>
      <c r="K222" s="49"/>
      <c r="L222" s="53"/>
      <c r="M222" s="53"/>
      <c r="N222" s="49"/>
      <c r="O222" s="49"/>
      <c r="P222" s="49"/>
      <c r="Q222" s="49"/>
      <c r="R222" s="53"/>
      <c r="S222" s="49"/>
      <c r="T222" s="49"/>
      <c r="U222" s="530"/>
      <c r="V222" s="49"/>
      <c r="W222" s="49"/>
      <c r="X222" s="49"/>
      <c r="Y222" s="49"/>
      <c r="Z222" s="49"/>
      <c r="AA222" s="52"/>
      <c r="AB222" s="51"/>
      <c r="AC222" s="51"/>
      <c r="AD222" s="51"/>
      <c r="AE222" s="51"/>
    </row>
    <row r="223" spans="1:31" s="123" customFormat="1" ht="11.25" customHeight="1">
      <c r="A223" s="529"/>
      <c r="B223" s="53"/>
      <c r="C223" s="53"/>
      <c r="K223" s="49"/>
      <c r="L223" s="53"/>
      <c r="M223" s="53"/>
      <c r="N223" s="49"/>
      <c r="O223" s="49"/>
      <c r="P223" s="49"/>
      <c r="Q223" s="49"/>
      <c r="R223" s="53"/>
      <c r="S223" s="49"/>
      <c r="T223" s="49"/>
      <c r="U223" s="530"/>
      <c r="V223" s="49"/>
      <c r="W223" s="49"/>
      <c r="X223" s="49"/>
      <c r="Y223" s="49"/>
      <c r="Z223" s="49"/>
      <c r="AA223" s="52"/>
      <c r="AB223" s="51"/>
      <c r="AC223" s="51"/>
      <c r="AD223" s="51"/>
      <c r="AE223" s="51"/>
    </row>
    <row r="224" spans="1:31" s="123" customFormat="1" ht="11.25" customHeight="1">
      <c r="A224" s="529"/>
      <c r="B224" s="53"/>
      <c r="C224" s="53"/>
      <c r="K224" s="49"/>
      <c r="L224" s="53"/>
      <c r="M224" s="53"/>
      <c r="N224" s="49"/>
      <c r="O224" s="49"/>
      <c r="P224" s="49"/>
      <c r="Q224" s="49"/>
      <c r="R224" s="53"/>
      <c r="S224" s="49"/>
      <c r="T224" s="49"/>
      <c r="U224" s="530"/>
      <c r="V224" s="49"/>
      <c r="W224" s="49"/>
      <c r="X224" s="49"/>
      <c r="Y224" s="49"/>
      <c r="Z224" s="49"/>
      <c r="AA224" s="52"/>
      <c r="AB224" s="51"/>
      <c r="AC224" s="51"/>
      <c r="AD224" s="51"/>
      <c r="AE224" s="51"/>
    </row>
    <row r="225" spans="1:31" s="123" customFormat="1" ht="11.25" customHeight="1">
      <c r="A225" s="529"/>
      <c r="B225" s="53"/>
      <c r="C225" s="53"/>
      <c r="K225" s="49"/>
      <c r="L225" s="53"/>
      <c r="M225" s="53"/>
      <c r="N225" s="49"/>
      <c r="O225" s="49"/>
      <c r="P225" s="49"/>
      <c r="Q225" s="49"/>
      <c r="R225" s="53"/>
      <c r="S225" s="49"/>
      <c r="T225" s="49"/>
      <c r="U225" s="530"/>
      <c r="V225" s="49"/>
      <c r="W225" s="49"/>
      <c r="X225" s="49"/>
      <c r="Y225" s="49"/>
      <c r="Z225" s="49"/>
      <c r="AA225" s="52"/>
      <c r="AB225" s="51"/>
      <c r="AC225" s="51"/>
      <c r="AD225" s="51"/>
      <c r="AE225" s="51"/>
    </row>
    <row r="226" spans="1:31" s="123" customFormat="1" ht="11.25" customHeight="1">
      <c r="A226" s="529"/>
      <c r="B226" s="53"/>
      <c r="C226" s="53"/>
      <c r="K226" s="49"/>
      <c r="L226" s="53"/>
      <c r="M226" s="53"/>
      <c r="N226" s="49"/>
      <c r="O226" s="49"/>
      <c r="P226" s="49"/>
      <c r="Q226" s="49"/>
      <c r="R226" s="53"/>
      <c r="S226" s="49"/>
      <c r="T226" s="49"/>
      <c r="U226" s="530"/>
      <c r="V226" s="49"/>
      <c r="W226" s="49"/>
      <c r="X226" s="49"/>
      <c r="Y226" s="49"/>
      <c r="Z226" s="49"/>
      <c r="AA226" s="52"/>
      <c r="AB226" s="51"/>
      <c r="AC226" s="51"/>
      <c r="AD226" s="51"/>
      <c r="AE226" s="51"/>
    </row>
    <row r="227" spans="1:31" s="123" customFormat="1" ht="11.25" customHeight="1">
      <c r="A227" s="529"/>
      <c r="B227" s="53"/>
      <c r="C227" s="53"/>
      <c r="K227" s="49"/>
      <c r="L227" s="53"/>
      <c r="M227" s="53"/>
      <c r="N227" s="49"/>
      <c r="O227" s="49"/>
      <c r="P227" s="49"/>
      <c r="Q227" s="49"/>
      <c r="R227" s="53"/>
      <c r="S227" s="49"/>
      <c r="T227" s="49"/>
      <c r="U227" s="530"/>
      <c r="V227" s="49"/>
      <c r="W227" s="49"/>
      <c r="X227" s="49"/>
      <c r="Y227" s="49"/>
      <c r="Z227" s="49"/>
      <c r="AA227" s="52"/>
      <c r="AB227" s="51"/>
      <c r="AC227" s="51"/>
      <c r="AD227" s="51"/>
      <c r="AE227" s="51"/>
    </row>
    <row r="228" spans="1:31" s="123" customFormat="1" ht="11.25" customHeight="1">
      <c r="A228" s="529"/>
      <c r="B228" s="53"/>
      <c r="C228" s="53"/>
      <c r="K228" s="49"/>
      <c r="L228" s="53"/>
      <c r="M228" s="53"/>
      <c r="N228" s="49"/>
      <c r="O228" s="49"/>
      <c r="P228" s="49"/>
      <c r="Q228" s="49"/>
      <c r="R228" s="53"/>
      <c r="S228" s="49"/>
      <c r="T228" s="49"/>
      <c r="U228" s="530"/>
      <c r="V228" s="49"/>
      <c r="W228" s="49"/>
      <c r="X228" s="49"/>
      <c r="Y228" s="49"/>
      <c r="Z228" s="49"/>
      <c r="AA228" s="52"/>
      <c r="AB228" s="51"/>
      <c r="AC228" s="51"/>
      <c r="AD228" s="51"/>
      <c r="AE228" s="51"/>
    </row>
    <row r="229" spans="1:31" s="123" customFormat="1" ht="11.25" customHeight="1">
      <c r="A229" s="529"/>
      <c r="B229" s="53"/>
      <c r="C229" s="53"/>
      <c r="K229" s="49"/>
      <c r="L229" s="53"/>
      <c r="M229" s="53"/>
      <c r="N229" s="49"/>
      <c r="O229" s="49"/>
      <c r="P229" s="49"/>
      <c r="Q229" s="49"/>
      <c r="R229" s="53"/>
      <c r="S229" s="49"/>
      <c r="T229" s="49"/>
      <c r="U229" s="530"/>
      <c r="V229" s="49"/>
      <c r="W229" s="49"/>
      <c r="X229" s="49"/>
      <c r="Y229" s="49"/>
      <c r="Z229" s="49"/>
      <c r="AA229" s="52"/>
      <c r="AB229" s="51"/>
      <c r="AC229" s="51"/>
      <c r="AD229" s="51"/>
      <c r="AE229" s="51"/>
    </row>
    <row r="230" spans="1:31" s="123" customFormat="1" ht="11.25" customHeight="1">
      <c r="A230" s="529"/>
      <c r="B230" s="53"/>
      <c r="C230" s="53"/>
      <c r="K230" s="49"/>
      <c r="L230" s="53"/>
      <c r="M230" s="53"/>
      <c r="N230" s="49"/>
      <c r="O230" s="49"/>
      <c r="P230" s="49"/>
      <c r="Q230" s="49"/>
      <c r="R230" s="53"/>
      <c r="S230" s="49"/>
      <c r="T230" s="49"/>
      <c r="U230" s="530"/>
      <c r="V230" s="49"/>
      <c r="W230" s="49"/>
      <c r="X230" s="49"/>
      <c r="Y230" s="49"/>
      <c r="Z230" s="49"/>
      <c r="AA230" s="52"/>
      <c r="AB230" s="51"/>
      <c r="AC230" s="51"/>
      <c r="AD230" s="51"/>
      <c r="AE230" s="51"/>
    </row>
    <row r="231" spans="1:31" s="123" customFormat="1" ht="11.25" customHeight="1">
      <c r="A231" s="529"/>
      <c r="B231" s="53"/>
      <c r="C231" s="53"/>
      <c r="K231" s="49"/>
      <c r="L231" s="53"/>
      <c r="M231" s="53"/>
      <c r="N231" s="49"/>
      <c r="O231" s="49"/>
      <c r="P231" s="49"/>
      <c r="Q231" s="49"/>
      <c r="R231" s="53"/>
      <c r="S231" s="49"/>
      <c r="T231" s="49"/>
      <c r="U231" s="530"/>
      <c r="V231" s="49"/>
      <c r="W231" s="49"/>
      <c r="X231" s="49"/>
      <c r="Y231" s="49"/>
      <c r="Z231" s="49"/>
      <c r="AA231" s="52"/>
      <c r="AB231" s="51"/>
      <c r="AC231" s="51"/>
      <c r="AD231" s="51"/>
      <c r="AE231" s="51"/>
    </row>
    <row r="232" spans="1:31" s="123" customFormat="1" ht="11.25" customHeight="1">
      <c r="A232" s="529"/>
      <c r="B232" s="53"/>
      <c r="C232" s="53"/>
      <c r="K232" s="49"/>
      <c r="L232" s="53"/>
      <c r="M232" s="53"/>
      <c r="N232" s="49"/>
      <c r="O232" s="49"/>
      <c r="P232" s="49"/>
      <c r="Q232" s="49"/>
      <c r="R232" s="53"/>
      <c r="S232" s="49"/>
      <c r="T232" s="49"/>
      <c r="U232" s="530"/>
      <c r="V232" s="49"/>
      <c r="W232" s="49"/>
      <c r="X232" s="49"/>
      <c r="Y232" s="49"/>
      <c r="Z232" s="49"/>
      <c r="AA232" s="52"/>
      <c r="AB232" s="51"/>
      <c r="AC232" s="51"/>
      <c r="AD232" s="51"/>
      <c r="AE232" s="51"/>
    </row>
    <row r="233" spans="1:31" s="123" customFormat="1" ht="11.25" customHeight="1">
      <c r="A233" s="529"/>
      <c r="B233" s="53"/>
      <c r="C233" s="53"/>
      <c r="K233" s="49"/>
      <c r="L233" s="53"/>
      <c r="M233" s="53"/>
      <c r="N233" s="49"/>
      <c r="O233" s="49"/>
      <c r="P233" s="49"/>
      <c r="Q233" s="49"/>
      <c r="R233" s="53"/>
      <c r="S233" s="49"/>
      <c r="T233" s="49"/>
      <c r="U233" s="530"/>
      <c r="V233" s="49"/>
      <c r="W233" s="49"/>
      <c r="X233" s="49"/>
      <c r="Y233" s="49"/>
      <c r="Z233" s="49"/>
      <c r="AA233" s="52"/>
      <c r="AB233" s="51"/>
      <c r="AC233" s="51"/>
      <c r="AD233" s="51"/>
      <c r="AE233" s="51"/>
    </row>
    <row r="234" spans="1:31" s="123" customFormat="1" ht="11.25" customHeight="1">
      <c r="A234" s="529"/>
      <c r="B234" s="53"/>
      <c r="C234" s="53"/>
      <c r="K234" s="49"/>
      <c r="L234" s="53"/>
      <c r="M234" s="53"/>
      <c r="N234" s="49"/>
      <c r="O234" s="49"/>
      <c r="P234" s="49"/>
      <c r="Q234" s="49"/>
      <c r="R234" s="53"/>
      <c r="S234" s="49"/>
      <c r="T234" s="49"/>
      <c r="U234" s="530"/>
      <c r="V234" s="49"/>
      <c r="W234" s="49"/>
      <c r="X234" s="49"/>
      <c r="Y234" s="49"/>
      <c r="Z234" s="49"/>
      <c r="AA234" s="52"/>
      <c r="AB234" s="51"/>
      <c r="AC234" s="51"/>
      <c r="AD234" s="51"/>
      <c r="AE234" s="51"/>
    </row>
    <row r="235" spans="1:31" s="123" customFormat="1" ht="11.25" customHeight="1">
      <c r="A235" s="529"/>
      <c r="B235" s="53"/>
      <c r="C235" s="53"/>
      <c r="K235" s="49"/>
      <c r="L235" s="53"/>
      <c r="M235" s="53"/>
      <c r="N235" s="49"/>
      <c r="O235" s="49"/>
      <c r="P235" s="49"/>
      <c r="Q235" s="49"/>
      <c r="R235" s="53"/>
      <c r="S235" s="49"/>
      <c r="T235" s="49"/>
      <c r="U235" s="530"/>
      <c r="V235" s="49"/>
      <c r="W235" s="49"/>
      <c r="X235" s="49"/>
      <c r="Y235" s="49"/>
      <c r="Z235" s="49"/>
      <c r="AA235" s="52"/>
      <c r="AB235" s="51"/>
      <c r="AC235" s="51"/>
      <c r="AD235" s="51"/>
      <c r="AE235" s="51"/>
    </row>
    <row r="236" spans="1:31" s="123" customFormat="1" ht="11.25" customHeight="1">
      <c r="A236" s="529"/>
      <c r="B236" s="53"/>
      <c r="C236" s="53"/>
      <c r="K236" s="49"/>
      <c r="L236" s="53"/>
      <c r="M236" s="53"/>
      <c r="N236" s="49"/>
      <c r="O236" s="49"/>
      <c r="P236" s="49"/>
      <c r="Q236" s="49"/>
      <c r="R236" s="53"/>
      <c r="S236" s="49"/>
      <c r="T236" s="49"/>
      <c r="U236" s="530"/>
      <c r="V236" s="49"/>
      <c r="W236" s="49"/>
      <c r="X236" s="49"/>
      <c r="Y236" s="49"/>
      <c r="Z236" s="49"/>
      <c r="AA236" s="52"/>
      <c r="AB236" s="51"/>
      <c r="AC236" s="51"/>
      <c r="AD236" s="51"/>
      <c r="AE236" s="51"/>
    </row>
    <row r="237" spans="1:31" s="123" customFormat="1" ht="11.25" customHeight="1">
      <c r="A237" s="529"/>
      <c r="B237" s="53"/>
      <c r="C237" s="53"/>
      <c r="K237" s="49"/>
      <c r="L237" s="53"/>
      <c r="M237" s="53"/>
      <c r="N237" s="49"/>
      <c r="O237" s="49"/>
      <c r="P237" s="49"/>
      <c r="Q237" s="49"/>
      <c r="R237" s="53"/>
      <c r="S237" s="49"/>
      <c r="T237" s="49"/>
      <c r="U237" s="530"/>
      <c r="V237" s="49"/>
      <c r="W237" s="49"/>
      <c r="X237" s="49"/>
      <c r="Y237" s="49"/>
      <c r="Z237" s="49"/>
      <c r="AA237" s="52"/>
      <c r="AB237" s="51"/>
      <c r="AC237" s="51"/>
      <c r="AD237" s="51"/>
      <c r="AE237" s="51"/>
    </row>
    <row r="238" spans="1:31" s="123" customFormat="1" ht="11.25" customHeight="1">
      <c r="A238" s="529"/>
      <c r="B238" s="53"/>
      <c r="C238" s="53"/>
      <c r="K238" s="49"/>
      <c r="L238" s="53"/>
      <c r="M238" s="53"/>
      <c r="N238" s="49"/>
      <c r="O238" s="49"/>
      <c r="P238" s="49"/>
      <c r="Q238" s="49"/>
      <c r="R238" s="53"/>
      <c r="S238" s="49"/>
      <c r="T238" s="49"/>
      <c r="U238" s="530"/>
      <c r="V238" s="49"/>
      <c r="W238" s="49"/>
      <c r="X238" s="49"/>
      <c r="Y238" s="49"/>
      <c r="Z238" s="49"/>
      <c r="AA238" s="52"/>
      <c r="AB238" s="51"/>
      <c r="AC238" s="51"/>
      <c r="AD238" s="51"/>
      <c r="AE238" s="51"/>
    </row>
    <row r="239" spans="1:31" s="123" customFormat="1" ht="11.25" customHeight="1">
      <c r="A239" s="529"/>
      <c r="B239" s="53"/>
      <c r="C239" s="53"/>
      <c r="K239" s="49"/>
      <c r="L239" s="53"/>
      <c r="M239" s="53"/>
      <c r="N239" s="49"/>
      <c r="O239" s="49"/>
      <c r="P239" s="49"/>
      <c r="Q239" s="49"/>
      <c r="R239" s="53"/>
      <c r="S239" s="49"/>
      <c r="T239" s="49"/>
      <c r="U239" s="530"/>
      <c r="V239" s="49"/>
      <c r="W239" s="49"/>
      <c r="X239" s="49"/>
      <c r="Y239" s="49"/>
      <c r="Z239" s="49"/>
      <c r="AA239" s="52"/>
      <c r="AB239" s="51"/>
      <c r="AC239" s="51"/>
      <c r="AD239" s="51"/>
      <c r="AE239" s="51"/>
    </row>
    <row r="240" spans="1:31" s="123" customFormat="1" ht="11.25" customHeight="1">
      <c r="A240" s="529"/>
      <c r="B240" s="53"/>
      <c r="C240" s="53"/>
      <c r="K240" s="49"/>
      <c r="L240" s="53"/>
      <c r="M240" s="53"/>
      <c r="N240" s="49"/>
      <c r="O240" s="49"/>
      <c r="P240" s="49"/>
      <c r="Q240" s="49"/>
      <c r="R240" s="53"/>
      <c r="S240" s="49"/>
      <c r="T240" s="49"/>
      <c r="U240" s="530"/>
      <c r="V240" s="49"/>
      <c r="W240" s="49"/>
      <c r="X240" s="49"/>
      <c r="Y240" s="49"/>
      <c r="Z240" s="49"/>
      <c r="AA240" s="52"/>
      <c r="AB240" s="51"/>
      <c r="AC240" s="51"/>
      <c r="AD240" s="51"/>
      <c r="AE240" s="51"/>
    </row>
    <row r="241" spans="1:31" s="123" customFormat="1" ht="11.25" customHeight="1">
      <c r="A241" s="529"/>
      <c r="B241" s="53"/>
      <c r="C241" s="53"/>
      <c r="K241" s="49"/>
      <c r="L241" s="53"/>
      <c r="M241" s="53"/>
      <c r="N241" s="49"/>
      <c r="O241" s="49"/>
      <c r="P241" s="49"/>
      <c r="Q241" s="49"/>
      <c r="R241" s="53"/>
      <c r="S241" s="49"/>
      <c r="T241" s="49"/>
      <c r="U241" s="530"/>
      <c r="V241" s="49"/>
      <c r="W241" s="49"/>
      <c r="X241" s="49"/>
      <c r="Y241" s="49"/>
      <c r="Z241" s="49"/>
      <c r="AA241" s="52"/>
      <c r="AB241" s="51"/>
      <c r="AC241" s="51"/>
      <c r="AD241" s="51"/>
      <c r="AE241" s="51"/>
    </row>
    <row r="242" spans="1:31" s="123" customFormat="1" ht="11.25" customHeight="1">
      <c r="A242" s="529"/>
      <c r="B242" s="53"/>
      <c r="C242" s="53"/>
      <c r="K242" s="49"/>
      <c r="L242" s="53"/>
      <c r="M242" s="53"/>
      <c r="N242" s="49"/>
      <c r="O242" s="49"/>
      <c r="P242" s="49"/>
      <c r="Q242" s="49"/>
      <c r="R242" s="53"/>
      <c r="S242" s="49"/>
      <c r="T242" s="49"/>
      <c r="U242" s="530"/>
      <c r="V242" s="49"/>
      <c r="W242" s="49"/>
      <c r="X242" s="49"/>
      <c r="Y242" s="49"/>
      <c r="Z242" s="49"/>
      <c r="AA242" s="52"/>
      <c r="AB242" s="51"/>
      <c r="AC242" s="51"/>
      <c r="AD242" s="51"/>
      <c r="AE242" s="51"/>
    </row>
    <row r="243" spans="1:31" s="123" customFormat="1" ht="11.25" customHeight="1">
      <c r="A243" s="529"/>
      <c r="B243" s="53"/>
      <c r="C243" s="53"/>
      <c r="K243" s="49"/>
      <c r="L243" s="53"/>
      <c r="M243" s="53"/>
      <c r="N243" s="49"/>
      <c r="O243" s="49"/>
      <c r="P243" s="49"/>
      <c r="Q243" s="49"/>
      <c r="R243" s="53"/>
      <c r="S243" s="49"/>
      <c r="T243" s="49"/>
      <c r="U243" s="530"/>
      <c r="V243" s="49"/>
      <c r="W243" s="49"/>
      <c r="X243" s="49"/>
      <c r="Y243" s="49"/>
      <c r="Z243" s="49"/>
      <c r="AA243" s="52"/>
      <c r="AB243" s="51"/>
      <c r="AC243" s="51"/>
      <c r="AD243" s="51"/>
      <c r="AE243" s="51"/>
    </row>
    <row r="244" spans="1:31" s="123" customFormat="1" ht="11.25" customHeight="1">
      <c r="A244" s="529"/>
      <c r="B244" s="53"/>
      <c r="C244" s="53"/>
      <c r="K244" s="49"/>
      <c r="L244" s="53"/>
      <c r="M244" s="53"/>
      <c r="N244" s="49"/>
      <c r="O244" s="49"/>
      <c r="P244" s="49"/>
      <c r="Q244" s="49"/>
      <c r="R244" s="53"/>
      <c r="S244" s="49"/>
      <c r="T244" s="49"/>
      <c r="U244" s="530"/>
      <c r="V244" s="49"/>
      <c r="W244" s="49"/>
      <c r="X244" s="49"/>
      <c r="Y244" s="49"/>
      <c r="Z244" s="49"/>
      <c r="AA244" s="52"/>
      <c r="AB244" s="51"/>
      <c r="AC244" s="51"/>
      <c r="AD244" s="51"/>
      <c r="AE244" s="51"/>
    </row>
    <row r="245" spans="1:31" s="123" customFormat="1" ht="11.25" customHeight="1">
      <c r="A245" s="529"/>
      <c r="B245" s="53"/>
      <c r="C245" s="53"/>
      <c r="K245" s="49"/>
      <c r="L245" s="53"/>
      <c r="M245" s="53"/>
      <c r="N245" s="49"/>
      <c r="O245" s="49"/>
      <c r="P245" s="49"/>
      <c r="Q245" s="49"/>
      <c r="R245" s="53"/>
      <c r="S245" s="49"/>
      <c r="T245" s="49"/>
      <c r="U245" s="530"/>
      <c r="V245" s="49"/>
      <c r="W245" s="49"/>
      <c r="X245" s="49"/>
      <c r="Y245" s="49"/>
      <c r="Z245" s="49"/>
      <c r="AA245" s="52"/>
      <c r="AB245" s="51"/>
      <c r="AC245" s="51"/>
      <c r="AD245" s="51"/>
      <c r="AE245" s="51"/>
    </row>
    <row r="246" spans="1:31" s="123" customFormat="1" ht="11.25" customHeight="1">
      <c r="A246" s="529"/>
      <c r="B246" s="53"/>
      <c r="C246" s="53"/>
      <c r="K246" s="49"/>
      <c r="L246" s="53"/>
      <c r="M246" s="53"/>
      <c r="N246" s="49"/>
      <c r="O246" s="49"/>
      <c r="P246" s="49"/>
      <c r="Q246" s="49"/>
      <c r="R246" s="53"/>
      <c r="S246" s="49"/>
      <c r="T246" s="49"/>
      <c r="U246" s="530"/>
      <c r="V246" s="49"/>
      <c r="W246" s="49"/>
      <c r="X246" s="49"/>
      <c r="Y246" s="49"/>
      <c r="Z246" s="49"/>
      <c r="AA246" s="52"/>
      <c r="AB246" s="51"/>
      <c r="AC246" s="51"/>
      <c r="AD246" s="51"/>
      <c r="AE246" s="51"/>
    </row>
    <row r="247" spans="1:31" s="123" customFormat="1" ht="11.25" customHeight="1">
      <c r="A247" s="529"/>
      <c r="B247" s="53"/>
      <c r="C247" s="53"/>
      <c r="K247" s="49"/>
      <c r="L247" s="53"/>
      <c r="M247" s="53"/>
      <c r="N247" s="49"/>
      <c r="O247" s="49"/>
      <c r="P247" s="49"/>
      <c r="Q247" s="49"/>
      <c r="R247" s="53"/>
      <c r="S247" s="49"/>
      <c r="T247" s="49"/>
      <c r="U247" s="530"/>
      <c r="V247" s="49"/>
      <c r="W247" s="49"/>
      <c r="X247" s="49"/>
      <c r="Y247" s="49"/>
      <c r="Z247" s="49"/>
      <c r="AA247" s="52"/>
      <c r="AB247" s="51"/>
      <c r="AC247" s="51"/>
      <c r="AD247" s="51"/>
      <c r="AE247" s="51"/>
    </row>
    <row r="248" spans="1:31" s="123" customFormat="1" ht="11.25" customHeight="1">
      <c r="A248" s="529"/>
      <c r="B248" s="53"/>
      <c r="C248" s="53"/>
      <c r="K248" s="49"/>
      <c r="L248" s="53"/>
      <c r="M248" s="53"/>
      <c r="N248" s="49"/>
      <c r="O248" s="49"/>
      <c r="P248" s="49"/>
      <c r="Q248" s="49"/>
      <c r="R248" s="53"/>
      <c r="S248" s="49"/>
      <c r="T248" s="49"/>
      <c r="U248" s="530"/>
      <c r="V248" s="49"/>
      <c r="W248" s="49"/>
      <c r="X248" s="49"/>
      <c r="Y248" s="49"/>
      <c r="Z248" s="49"/>
      <c r="AA248" s="52"/>
      <c r="AB248" s="51"/>
      <c r="AC248" s="51"/>
      <c r="AD248" s="51"/>
      <c r="AE248" s="51"/>
    </row>
    <row r="249" spans="1:31" s="123" customFormat="1" ht="11.25" customHeight="1">
      <c r="A249" s="529"/>
      <c r="B249" s="53"/>
      <c r="C249" s="53"/>
      <c r="K249" s="49"/>
      <c r="L249" s="53"/>
      <c r="M249" s="53"/>
      <c r="N249" s="49"/>
      <c r="O249" s="49"/>
      <c r="P249" s="49"/>
      <c r="Q249" s="49"/>
      <c r="R249" s="53"/>
      <c r="S249" s="49"/>
      <c r="T249" s="49"/>
      <c r="U249" s="530"/>
      <c r="V249" s="49"/>
      <c r="W249" s="49"/>
      <c r="X249" s="49"/>
      <c r="Y249" s="49"/>
      <c r="Z249" s="49"/>
      <c r="AA249" s="52"/>
      <c r="AB249" s="51"/>
      <c r="AC249" s="51"/>
      <c r="AD249" s="51"/>
      <c r="AE249" s="51"/>
    </row>
    <row r="250" spans="1:31" s="123" customFormat="1" ht="11.25" customHeight="1">
      <c r="A250" s="529"/>
      <c r="B250" s="53"/>
      <c r="C250" s="53"/>
      <c r="K250" s="49"/>
      <c r="L250" s="53"/>
      <c r="M250" s="53"/>
      <c r="N250" s="49"/>
      <c r="O250" s="49"/>
      <c r="P250" s="49"/>
      <c r="Q250" s="49"/>
      <c r="R250" s="53"/>
      <c r="S250" s="49"/>
      <c r="T250" s="49"/>
      <c r="U250" s="530"/>
      <c r="V250" s="49"/>
      <c r="W250" s="49"/>
      <c r="X250" s="49"/>
      <c r="Y250" s="49"/>
      <c r="Z250" s="49"/>
      <c r="AA250" s="52"/>
      <c r="AB250" s="51"/>
      <c r="AC250" s="51"/>
      <c r="AD250" s="51"/>
      <c r="AE250" s="51"/>
    </row>
    <row r="251" spans="1:31" s="123" customFormat="1" ht="11.25" customHeight="1">
      <c r="A251" s="529"/>
      <c r="B251" s="53"/>
      <c r="C251" s="53"/>
      <c r="K251" s="49"/>
      <c r="L251" s="53"/>
      <c r="M251" s="53"/>
      <c r="N251" s="49"/>
      <c r="O251" s="49"/>
      <c r="P251" s="49"/>
      <c r="Q251" s="49"/>
      <c r="R251" s="53"/>
      <c r="S251" s="49"/>
      <c r="T251" s="49"/>
      <c r="U251" s="530"/>
      <c r="V251" s="49"/>
      <c r="W251" s="49"/>
      <c r="X251" s="49"/>
      <c r="Y251" s="49"/>
      <c r="Z251" s="49"/>
      <c r="AA251" s="52"/>
      <c r="AB251" s="51"/>
      <c r="AC251" s="51"/>
      <c r="AD251" s="51"/>
      <c r="AE251" s="51"/>
    </row>
    <row r="252" spans="1:31" s="123" customFormat="1" ht="11.25" customHeight="1">
      <c r="A252" s="529"/>
      <c r="B252" s="53"/>
      <c r="C252" s="53"/>
      <c r="K252" s="49"/>
      <c r="L252" s="53"/>
      <c r="M252" s="53"/>
      <c r="N252" s="49"/>
      <c r="O252" s="49"/>
      <c r="P252" s="49"/>
      <c r="Q252" s="49"/>
      <c r="R252" s="53"/>
      <c r="S252" s="49"/>
      <c r="T252" s="49"/>
      <c r="U252" s="530"/>
      <c r="V252" s="49"/>
      <c r="W252" s="49"/>
      <c r="X252" s="49"/>
      <c r="Y252" s="49"/>
      <c r="Z252" s="49"/>
      <c r="AA252" s="52"/>
      <c r="AB252" s="51"/>
      <c r="AC252" s="51"/>
      <c r="AD252" s="51"/>
      <c r="AE252" s="51"/>
    </row>
    <row r="253" spans="1:31" s="123" customFormat="1" ht="11.25" customHeight="1">
      <c r="A253" s="529"/>
      <c r="B253" s="53"/>
      <c r="C253" s="53"/>
      <c r="K253" s="49"/>
      <c r="L253" s="53"/>
      <c r="M253" s="53"/>
      <c r="N253" s="49"/>
      <c r="O253" s="49"/>
      <c r="P253" s="49"/>
      <c r="Q253" s="49"/>
      <c r="R253" s="53"/>
      <c r="S253" s="49"/>
      <c r="T253" s="49"/>
      <c r="U253" s="530"/>
      <c r="V253" s="49"/>
      <c r="W253" s="49"/>
      <c r="X253" s="49"/>
      <c r="Y253" s="49"/>
      <c r="Z253" s="49"/>
      <c r="AA253" s="52"/>
      <c r="AB253" s="51"/>
      <c r="AC253" s="51"/>
      <c r="AD253" s="51"/>
      <c r="AE253" s="51"/>
    </row>
    <row r="254" spans="1:31" s="123" customFormat="1" ht="11.25" customHeight="1">
      <c r="A254" s="529"/>
      <c r="B254" s="53"/>
      <c r="C254" s="53"/>
      <c r="K254" s="49"/>
      <c r="L254" s="53"/>
      <c r="M254" s="53"/>
      <c r="N254" s="49"/>
      <c r="O254" s="49"/>
      <c r="P254" s="49"/>
      <c r="Q254" s="49"/>
      <c r="R254" s="53"/>
      <c r="S254" s="49"/>
      <c r="T254" s="49"/>
      <c r="U254" s="530"/>
      <c r="V254" s="49"/>
      <c r="W254" s="49"/>
      <c r="X254" s="49"/>
      <c r="Y254" s="49"/>
      <c r="Z254" s="49"/>
      <c r="AA254" s="52"/>
      <c r="AB254" s="51"/>
      <c r="AC254" s="51"/>
      <c r="AD254" s="51"/>
      <c r="AE254" s="51"/>
    </row>
    <row r="255" spans="1:31" s="123" customFormat="1" ht="11.25" customHeight="1">
      <c r="A255" s="529"/>
      <c r="B255" s="53"/>
      <c r="C255" s="53"/>
      <c r="K255" s="49"/>
      <c r="L255" s="53"/>
      <c r="M255" s="53"/>
      <c r="N255" s="49"/>
      <c r="O255" s="49"/>
      <c r="P255" s="49"/>
      <c r="Q255" s="49"/>
      <c r="R255" s="53"/>
      <c r="S255" s="49"/>
      <c r="T255" s="49"/>
      <c r="U255" s="530"/>
      <c r="V255" s="49"/>
      <c r="W255" s="49"/>
      <c r="X255" s="49"/>
      <c r="Y255" s="49"/>
      <c r="Z255" s="49"/>
      <c r="AA255" s="52"/>
      <c r="AB255" s="51"/>
      <c r="AC255" s="51"/>
      <c r="AD255" s="51"/>
      <c r="AE255" s="51"/>
    </row>
    <row r="256" spans="1:31" s="123" customFormat="1" ht="11.25" customHeight="1">
      <c r="A256" s="529"/>
      <c r="B256" s="53"/>
      <c r="C256" s="53"/>
      <c r="K256" s="49"/>
      <c r="L256" s="53"/>
      <c r="M256" s="53"/>
      <c r="N256" s="49"/>
      <c r="O256" s="49"/>
      <c r="P256" s="49"/>
      <c r="Q256" s="49"/>
      <c r="R256" s="53"/>
      <c r="S256" s="49"/>
      <c r="T256" s="49"/>
      <c r="U256" s="530"/>
      <c r="V256" s="49"/>
      <c r="W256" s="49"/>
      <c r="X256" s="49"/>
      <c r="Y256" s="49"/>
      <c r="Z256" s="49"/>
      <c r="AA256" s="52"/>
      <c r="AB256" s="51"/>
      <c r="AC256" s="51"/>
      <c r="AD256" s="51"/>
      <c r="AE256" s="51"/>
    </row>
    <row r="257" spans="1:31" s="123" customFormat="1" ht="11.25" customHeight="1">
      <c r="A257" s="529"/>
      <c r="B257" s="53"/>
      <c r="C257" s="53"/>
      <c r="K257" s="49"/>
      <c r="L257" s="53"/>
      <c r="M257" s="53"/>
      <c r="N257" s="49"/>
      <c r="O257" s="49"/>
      <c r="P257" s="49"/>
      <c r="Q257" s="49"/>
      <c r="R257" s="53"/>
      <c r="S257" s="49"/>
      <c r="T257" s="49"/>
      <c r="U257" s="530"/>
      <c r="V257" s="49"/>
      <c r="W257" s="49"/>
      <c r="X257" s="49"/>
      <c r="Y257" s="49"/>
      <c r="Z257" s="49"/>
      <c r="AA257" s="52"/>
      <c r="AB257" s="51"/>
      <c r="AC257" s="51"/>
      <c r="AD257" s="51"/>
      <c r="AE257" s="51"/>
    </row>
    <row r="258" spans="1:31" s="123" customFormat="1" ht="11.25" customHeight="1">
      <c r="A258" s="529"/>
      <c r="B258" s="53"/>
      <c r="C258" s="53"/>
      <c r="K258" s="49"/>
      <c r="L258" s="53"/>
      <c r="M258" s="53"/>
      <c r="N258" s="49"/>
      <c r="O258" s="49"/>
      <c r="P258" s="49"/>
      <c r="Q258" s="49"/>
      <c r="R258" s="53"/>
      <c r="S258" s="49"/>
      <c r="T258" s="49"/>
      <c r="U258" s="530"/>
      <c r="V258" s="49"/>
      <c r="W258" s="49"/>
      <c r="X258" s="49"/>
      <c r="Y258" s="49"/>
      <c r="Z258" s="49"/>
      <c r="AA258" s="52"/>
      <c r="AB258" s="51"/>
      <c r="AC258" s="51"/>
      <c r="AD258" s="51"/>
      <c r="AE258" s="51"/>
    </row>
    <row r="259" spans="1:31" s="123" customFormat="1" ht="11.25" customHeight="1">
      <c r="A259" s="529"/>
      <c r="B259" s="53"/>
      <c r="C259" s="53"/>
      <c r="K259" s="49"/>
      <c r="L259" s="53"/>
      <c r="M259" s="53"/>
      <c r="N259" s="49"/>
      <c r="O259" s="49"/>
      <c r="P259" s="49"/>
      <c r="Q259" s="49"/>
      <c r="R259" s="53"/>
      <c r="S259" s="49"/>
      <c r="T259" s="49"/>
      <c r="U259" s="530"/>
      <c r="V259" s="49"/>
      <c r="W259" s="49"/>
      <c r="X259" s="49"/>
      <c r="Y259" s="49"/>
      <c r="Z259" s="49"/>
      <c r="AA259" s="52"/>
      <c r="AB259" s="51"/>
      <c r="AC259" s="51"/>
      <c r="AD259" s="51"/>
      <c r="AE259" s="51"/>
    </row>
    <row r="260" spans="1:31" s="123" customFormat="1" ht="11.25" customHeight="1">
      <c r="A260" s="529"/>
      <c r="B260" s="53"/>
      <c r="C260" s="53"/>
      <c r="K260" s="49"/>
      <c r="L260" s="53"/>
      <c r="M260" s="53"/>
      <c r="N260" s="49"/>
      <c r="O260" s="49"/>
      <c r="P260" s="49"/>
      <c r="Q260" s="49"/>
      <c r="R260" s="53"/>
      <c r="S260" s="49"/>
      <c r="T260" s="49"/>
      <c r="U260" s="530"/>
      <c r="V260" s="49"/>
      <c r="W260" s="49"/>
      <c r="X260" s="49"/>
      <c r="Y260" s="49"/>
      <c r="Z260" s="49"/>
      <c r="AA260" s="52"/>
      <c r="AB260" s="51"/>
      <c r="AC260" s="51"/>
      <c r="AD260" s="51"/>
      <c r="AE260" s="51"/>
    </row>
    <row r="261" spans="1:31" s="123" customFormat="1" ht="11.25" customHeight="1">
      <c r="A261" s="529"/>
      <c r="B261" s="53"/>
      <c r="C261" s="53"/>
      <c r="K261" s="49"/>
      <c r="L261" s="53"/>
      <c r="M261" s="53"/>
      <c r="N261" s="49"/>
      <c r="O261" s="49"/>
      <c r="P261" s="49"/>
      <c r="Q261" s="49"/>
      <c r="R261" s="53"/>
      <c r="S261" s="49"/>
      <c r="T261" s="49"/>
      <c r="U261" s="530"/>
      <c r="V261" s="49"/>
      <c r="W261" s="49"/>
      <c r="X261" s="49"/>
      <c r="Y261" s="49"/>
      <c r="Z261" s="49"/>
      <c r="AA261" s="52"/>
      <c r="AB261" s="51"/>
      <c r="AC261" s="51"/>
      <c r="AD261" s="51"/>
      <c r="AE261" s="51"/>
    </row>
    <row r="262" spans="1:31" s="123" customFormat="1" ht="11.25" customHeight="1">
      <c r="A262" s="529"/>
      <c r="B262" s="53"/>
      <c r="C262" s="53"/>
      <c r="K262" s="49"/>
      <c r="L262" s="53"/>
      <c r="M262" s="53"/>
      <c r="N262" s="49"/>
      <c r="O262" s="49"/>
      <c r="P262" s="49"/>
      <c r="Q262" s="49"/>
      <c r="R262" s="53"/>
      <c r="S262" s="49"/>
      <c r="T262" s="49"/>
      <c r="U262" s="530"/>
      <c r="V262" s="49"/>
      <c r="W262" s="49"/>
      <c r="X262" s="49"/>
      <c r="Y262" s="49"/>
      <c r="Z262" s="49"/>
      <c r="AA262" s="52"/>
      <c r="AB262" s="51"/>
      <c r="AC262" s="51"/>
      <c r="AD262" s="51"/>
      <c r="AE262" s="51"/>
    </row>
    <row r="263" spans="1:31" s="123" customFormat="1" ht="11.25" customHeight="1">
      <c r="A263" s="529"/>
      <c r="B263" s="53"/>
      <c r="C263" s="53"/>
      <c r="K263" s="49"/>
      <c r="L263" s="53"/>
      <c r="M263" s="53"/>
      <c r="N263" s="49"/>
      <c r="O263" s="49"/>
      <c r="P263" s="49"/>
      <c r="Q263" s="49"/>
      <c r="R263" s="53"/>
      <c r="S263" s="49"/>
      <c r="T263" s="49"/>
      <c r="U263" s="530"/>
      <c r="V263" s="49"/>
      <c r="W263" s="49"/>
      <c r="X263" s="49"/>
      <c r="Y263" s="49"/>
      <c r="Z263" s="49"/>
      <c r="AA263" s="52"/>
      <c r="AB263" s="51"/>
      <c r="AC263" s="51"/>
      <c r="AD263" s="51"/>
      <c r="AE263" s="51"/>
    </row>
    <row r="264" spans="1:31" s="123" customFormat="1" ht="11.25" customHeight="1">
      <c r="A264" s="529"/>
      <c r="B264" s="53"/>
      <c r="C264" s="53"/>
      <c r="K264" s="49"/>
      <c r="L264" s="53"/>
      <c r="M264" s="53"/>
      <c r="N264" s="49"/>
      <c r="O264" s="49"/>
      <c r="P264" s="49"/>
      <c r="Q264" s="49"/>
      <c r="R264" s="53"/>
      <c r="S264" s="49"/>
      <c r="T264" s="49"/>
      <c r="U264" s="530"/>
      <c r="V264" s="49"/>
      <c r="W264" s="49"/>
      <c r="X264" s="49"/>
      <c r="Y264" s="49"/>
      <c r="Z264" s="49"/>
      <c r="AA264" s="52"/>
      <c r="AB264" s="51"/>
      <c r="AC264" s="51"/>
      <c r="AD264" s="51"/>
      <c r="AE264" s="51"/>
    </row>
    <row r="265" spans="1:31" s="123" customFormat="1" ht="11.25" customHeight="1">
      <c r="A265" s="529"/>
      <c r="B265" s="53"/>
      <c r="C265" s="53"/>
      <c r="K265" s="49"/>
      <c r="L265" s="53"/>
      <c r="M265" s="53"/>
      <c r="N265" s="49"/>
      <c r="O265" s="49"/>
      <c r="P265" s="49"/>
      <c r="Q265" s="49"/>
      <c r="R265" s="53"/>
      <c r="S265" s="49"/>
      <c r="T265" s="49"/>
      <c r="U265" s="530"/>
      <c r="V265" s="49"/>
      <c r="W265" s="49"/>
      <c r="X265" s="49"/>
      <c r="Y265" s="49"/>
      <c r="Z265" s="49"/>
      <c r="AA265" s="52"/>
      <c r="AB265" s="51"/>
      <c r="AC265" s="51"/>
      <c r="AD265" s="51"/>
      <c r="AE265" s="51"/>
    </row>
    <row r="266" spans="1:31" s="123" customFormat="1" ht="11.25" customHeight="1">
      <c r="A266" s="529"/>
      <c r="B266" s="53"/>
      <c r="C266" s="53"/>
      <c r="K266" s="49"/>
      <c r="L266" s="53"/>
      <c r="M266" s="53"/>
      <c r="N266" s="49"/>
      <c r="O266" s="49"/>
      <c r="P266" s="49"/>
      <c r="Q266" s="49"/>
      <c r="R266" s="53"/>
      <c r="S266" s="49"/>
      <c r="T266" s="49"/>
      <c r="U266" s="530"/>
      <c r="V266" s="49"/>
      <c r="W266" s="49"/>
      <c r="X266" s="49"/>
      <c r="Y266" s="49"/>
      <c r="Z266" s="49"/>
      <c r="AA266" s="52"/>
      <c r="AB266" s="51"/>
      <c r="AC266" s="51"/>
      <c r="AD266" s="51"/>
      <c r="AE266" s="51"/>
    </row>
    <row r="267" spans="1:31" s="123" customFormat="1" ht="11.25" customHeight="1">
      <c r="A267" s="529"/>
      <c r="B267" s="53"/>
      <c r="C267" s="53"/>
      <c r="K267" s="49"/>
      <c r="L267" s="53"/>
      <c r="M267" s="53"/>
      <c r="N267" s="49"/>
      <c r="O267" s="49"/>
      <c r="P267" s="49"/>
      <c r="Q267" s="49"/>
      <c r="R267" s="53"/>
      <c r="S267" s="49"/>
      <c r="T267" s="49"/>
      <c r="U267" s="530"/>
      <c r="V267" s="49"/>
      <c r="W267" s="49"/>
      <c r="X267" s="49"/>
      <c r="Y267" s="49"/>
      <c r="Z267" s="49"/>
      <c r="AA267" s="52"/>
      <c r="AB267" s="51"/>
      <c r="AC267" s="51"/>
      <c r="AD267" s="51"/>
      <c r="AE267" s="51"/>
    </row>
    <row r="268" spans="1:31" s="123" customFormat="1" ht="11.25" customHeight="1">
      <c r="A268" s="529"/>
      <c r="B268" s="53"/>
      <c r="C268" s="53"/>
      <c r="K268" s="49"/>
      <c r="L268" s="53"/>
      <c r="M268" s="53"/>
      <c r="N268" s="49"/>
      <c r="O268" s="49"/>
      <c r="P268" s="49"/>
      <c r="Q268" s="49"/>
      <c r="R268" s="53"/>
      <c r="S268" s="49"/>
      <c r="T268" s="49"/>
      <c r="U268" s="530"/>
      <c r="V268" s="49"/>
      <c r="W268" s="49"/>
      <c r="X268" s="49"/>
      <c r="Y268" s="49"/>
      <c r="Z268" s="49"/>
      <c r="AA268" s="52"/>
      <c r="AB268" s="51"/>
      <c r="AC268" s="51"/>
      <c r="AD268" s="51"/>
      <c r="AE268" s="51"/>
    </row>
    <row r="269" spans="1:31" s="123" customFormat="1" ht="11.25" customHeight="1">
      <c r="A269" s="529"/>
      <c r="B269" s="53"/>
      <c r="C269" s="53"/>
      <c r="K269" s="49"/>
      <c r="L269" s="53"/>
      <c r="M269" s="53"/>
      <c r="N269" s="49"/>
      <c r="O269" s="49"/>
      <c r="P269" s="49"/>
      <c r="Q269" s="49"/>
      <c r="R269" s="53"/>
      <c r="S269" s="49"/>
      <c r="T269" s="49"/>
      <c r="U269" s="530"/>
      <c r="V269" s="49"/>
      <c r="W269" s="49"/>
      <c r="X269" s="49"/>
      <c r="Y269" s="49"/>
      <c r="Z269" s="49"/>
      <c r="AA269" s="52"/>
      <c r="AB269" s="51"/>
      <c r="AC269" s="51"/>
      <c r="AD269" s="51"/>
      <c r="AE269" s="51"/>
    </row>
    <row r="270" spans="1:31" s="123" customFormat="1" ht="11.25" customHeight="1">
      <c r="A270" s="529"/>
      <c r="B270" s="53"/>
      <c r="C270" s="53"/>
      <c r="K270" s="49"/>
      <c r="L270" s="53"/>
      <c r="M270" s="53"/>
      <c r="N270" s="49"/>
      <c r="O270" s="49"/>
      <c r="P270" s="49"/>
      <c r="Q270" s="49"/>
      <c r="R270" s="53"/>
      <c r="S270" s="49"/>
      <c r="T270" s="49"/>
      <c r="U270" s="530"/>
      <c r="V270" s="49"/>
      <c r="W270" s="49"/>
      <c r="X270" s="49"/>
      <c r="Y270" s="49"/>
      <c r="Z270" s="49"/>
      <c r="AA270" s="52"/>
      <c r="AB270" s="51"/>
      <c r="AC270" s="51"/>
      <c r="AD270" s="51"/>
      <c r="AE270" s="51"/>
    </row>
    <row r="271" spans="1:31" s="123" customFormat="1" ht="11.25" customHeight="1">
      <c r="A271" s="529"/>
      <c r="B271" s="53"/>
      <c r="C271" s="53"/>
      <c r="K271" s="49"/>
      <c r="L271" s="53"/>
      <c r="M271" s="53"/>
      <c r="N271" s="49"/>
      <c r="O271" s="49"/>
      <c r="P271" s="49"/>
      <c r="Q271" s="49"/>
      <c r="R271" s="53"/>
      <c r="S271" s="49"/>
      <c r="T271" s="49"/>
      <c r="U271" s="530"/>
      <c r="V271" s="49"/>
      <c r="W271" s="49"/>
      <c r="X271" s="49"/>
      <c r="Y271" s="49"/>
      <c r="Z271" s="49"/>
      <c r="AA271" s="52"/>
      <c r="AB271" s="51"/>
      <c r="AC271" s="51"/>
      <c r="AD271" s="51"/>
      <c r="AE271" s="51"/>
    </row>
    <row r="272" spans="1:31" s="123" customFormat="1" ht="11.25" customHeight="1">
      <c r="A272" s="529"/>
      <c r="B272" s="53"/>
      <c r="C272" s="53"/>
      <c r="K272" s="49"/>
      <c r="L272" s="53"/>
      <c r="M272" s="53"/>
      <c r="N272" s="49"/>
      <c r="O272" s="49"/>
      <c r="P272" s="49"/>
      <c r="Q272" s="49"/>
      <c r="R272" s="53"/>
      <c r="S272" s="49"/>
      <c r="T272" s="49"/>
      <c r="U272" s="530"/>
      <c r="V272" s="49"/>
      <c r="W272" s="49"/>
      <c r="X272" s="49"/>
      <c r="Y272" s="49"/>
      <c r="Z272" s="49"/>
      <c r="AA272" s="52"/>
      <c r="AB272" s="51"/>
      <c r="AC272" s="51"/>
      <c r="AD272" s="51"/>
      <c r="AE272" s="51"/>
    </row>
    <row r="273" spans="1:31" s="123" customFormat="1" ht="11.25" customHeight="1">
      <c r="A273" s="529"/>
      <c r="B273" s="53"/>
      <c r="C273" s="53"/>
      <c r="K273" s="49"/>
      <c r="L273" s="53"/>
      <c r="M273" s="53"/>
      <c r="N273" s="49"/>
      <c r="O273" s="49"/>
      <c r="P273" s="49"/>
      <c r="Q273" s="49"/>
      <c r="R273" s="53"/>
      <c r="S273" s="49"/>
      <c r="T273" s="49"/>
      <c r="U273" s="530"/>
      <c r="V273" s="49"/>
      <c r="W273" s="49"/>
      <c r="X273" s="49"/>
      <c r="Y273" s="49"/>
      <c r="Z273" s="49"/>
      <c r="AA273" s="52"/>
      <c r="AB273" s="51"/>
      <c r="AC273" s="51"/>
      <c r="AD273" s="51"/>
      <c r="AE273" s="51"/>
    </row>
    <row r="274" spans="1:31" s="123" customFormat="1" ht="11.25" customHeight="1">
      <c r="A274" s="529"/>
      <c r="B274" s="53"/>
      <c r="C274" s="53"/>
      <c r="K274" s="49"/>
      <c r="L274" s="53"/>
      <c r="M274" s="53"/>
      <c r="N274" s="49"/>
      <c r="O274" s="49"/>
      <c r="P274" s="49"/>
      <c r="Q274" s="49"/>
      <c r="R274" s="53"/>
      <c r="S274" s="49"/>
      <c r="T274" s="49"/>
      <c r="U274" s="530"/>
      <c r="V274" s="49"/>
      <c r="W274" s="49"/>
      <c r="X274" s="49"/>
      <c r="Y274" s="49"/>
      <c r="Z274" s="49"/>
      <c r="AA274" s="52"/>
      <c r="AB274" s="51"/>
      <c r="AC274" s="51"/>
      <c r="AD274" s="51"/>
      <c r="AE274" s="51"/>
    </row>
    <row r="275" spans="1:31" s="123" customFormat="1" ht="11.25" customHeight="1">
      <c r="A275" s="529"/>
      <c r="B275" s="53"/>
      <c r="C275" s="53"/>
      <c r="K275" s="49"/>
      <c r="L275" s="53"/>
      <c r="M275" s="53"/>
      <c r="N275" s="49"/>
      <c r="O275" s="49"/>
      <c r="P275" s="49"/>
      <c r="Q275" s="49"/>
      <c r="R275" s="53"/>
      <c r="S275" s="49"/>
      <c r="T275" s="49"/>
      <c r="U275" s="530"/>
      <c r="V275" s="49"/>
      <c r="W275" s="49"/>
      <c r="X275" s="49"/>
      <c r="Y275" s="49"/>
      <c r="Z275" s="49"/>
      <c r="AA275" s="52"/>
      <c r="AB275" s="51"/>
      <c r="AC275" s="51"/>
      <c r="AD275" s="51"/>
      <c r="AE275" s="51"/>
    </row>
    <row r="276" spans="1:31" s="123" customFormat="1" ht="11.25" customHeight="1">
      <c r="A276" s="529"/>
      <c r="B276" s="53"/>
      <c r="C276" s="53"/>
      <c r="K276" s="49"/>
      <c r="L276" s="53"/>
      <c r="M276" s="53"/>
      <c r="N276" s="49"/>
      <c r="O276" s="49"/>
      <c r="P276" s="49"/>
      <c r="Q276" s="49"/>
      <c r="R276" s="53"/>
      <c r="S276" s="49"/>
      <c r="T276" s="49"/>
      <c r="U276" s="530"/>
      <c r="V276" s="49"/>
      <c r="W276" s="49"/>
      <c r="X276" s="49"/>
      <c r="Y276" s="49"/>
      <c r="Z276" s="49"/>
      <c r="AA276" s="52"/>
      <c r="AB276" s="51"/>
      <c r="AC276" s="51"/>
      <c r="AD276" s="51"/>
      <c r="AE276" s="51"/>
    </row>
    <row r="277" spans="1:31" s="123" customFormat="1" ht="11.25" customHeight="1">
      <c r="A277" s="529"/>
      <c r="B277" s="53"/>
      <c r="C277" s="53"/>
      <c r="K277" s="49"/>
      <c r="L277" s="53"/>
      <c r="M277" s="53"/>
      <c r="N277" s="49"/>
      <c r="O277" s="49"/>
      <c r="P277" s="49"/>
      <c r="Q277" s="49"/>
      <c r="R277" s="53"/>
      <c r="S277" s="49"/>
      <c r="T277" s="49"/>
      <c r="U277" s="530"/>
      <c r="V277" s="49"/>
      <c r="W277" s="49"/>
      <c r="X277" s="49"/>
      <c r="Y277" s="49"/>
      <c r="Z277" s="49"/>
      <c r="AA277" s="52"/>
      <c r="AB277" s="51"/>
      <c r="AC277" s="51"/>
      <c r="AD277" s="51"/>
      <c r="AE277" s="51"/>
    </row>
    <row r="278" spans="1:31" s="123" customFormat="1" ht="11.25" customHeight="1">
      <c r="A278" s="529"/>
      <c r="B278" s="53"/>
      <c r="C278" s="53"/>
      <c r="K278" s="49"/>
      <c r="L278" s="53"/>
      <c r="M278" s="53"/>
      <c r="N278" s="49"/>
      <c r="O278" s="49"/>
      <c r="P278" s="49"/>
      <c r="Q278" s="49"/>
      <c r="R278" s="53"/>
      <c r="S278" s="49"/>
      <c r="T278" s="49"/>
      <c r="U278" s="530"/>
      <c r="V278" s="49"/>
      <c r="W278" s="49"/>
      <c r="X278" s="49"/>
      <c r="Y278" s="49"/>
      <c r="Z278" s="49"/>
      <c r="AA278" s="52"/>
      <c r="AB278" s="51"/>
      <c r="AC278" s="51"/>
      <c r="AD278" s="51"/>
      <c r="AE278" s="51"/>
    </row>
    <row r="279" spans="1:31" s="123" customFormat="1" ht="11.25" customHeight="1">
      <c r="A279" s="529"/>
      <c r="B279" s="53"/>
      <c r="C279" s="53"/>
      <c r="K279" s="49"/>
      <c r="L279" s="53"/>
      <c r="M279" s="53"/>
      <c r="N279" s="49"/>
      <c r="O279" s="49"/>
      <c r="P279" s="49"/>
      <c r="Q279" s="49"/>
      <c r="R279" s="53"/>
      <c r="S279" s="49"/>
      <c r="T279" s="49"/>
      <c r="U279" s="530"/>
      <c r="V279" s="49"/>
      <c r="W279" s="49"/>
      <c r="X279" s="49"/>
      <c r="Y279" s="49"/>
      <c r="Z279" s="49"/>
      <c r="AA279" s="52"/>
      <c r="AB279" s="51"/>
      <c r="AC279" s="51"/>
      <c r="AD279" s="51"/>
      <c r="AE279" s="51"/>
    </row>
    <row r="280" spans="1:31" s="123" customFormat="1" ht="11.25" customHeight="1">
      <c r="A280" s="529"/>
      <c r="B280" s="53"/>
      <c r="C280" s="53"/>
      <c r="K280" s="49"/>
      <c r="L280" s="53"/>
      <c r="M280" s="53"/>
      <c r="N280" s="49"/>
      <c r="O280" s="49"/>
      <c r="P280" s="49"/>
      <c r="Q280" s="49"/>
      <c r="R280" s="53"/>
      <c r="S280" s="49"/>
      <c r="T280" s="49"/>
      <c r="U280" s="530"/>
      <c r="V280" s="49"/>
      <c r="W280" s="49"/>
      <c r="X280" s="49"/>
      <c r="Y280" s="49"/>
      <c r="Z280" s="49"/>
      <c r="AA280" s="52"/>
      <c r="AB280" s="51"/>
      <c r="AC280" s="51"/>
      <c r="AD280" s="51"/>
      <c r="AE280" s="51"/>
    </row>
    <row r="281" spans="1:31" s="123" customFormat="1" ht="11.25" customHeight="1">
      <c r="A281" s="529"/>
      <c r="B281" s="53"/>
      <c r="C281" s="53"/>
      <c r="K281" s="49"/>
      <c r="L281" s="53"/>
      <c r="M281" s="53"/>
      <c r="N281" s="49"/>
      <c r="O281" s="49"/>
      <c r="P281" s="49"/>
      <c r="Q281" s="49"/>
      <c r="R281" s="53"/>
      <c r="S281" s="49"/>
      <c r="T281" s="49"/>
      <c r="U281" s="530"/>
      <c r="V281" s="49"/>
      <c r="W281" s="49"/>
      <c r="X281" s="49"/>
      <c r="Y281" s="49"/>
      <c r="Z281" s="49"/>
      <c r="AA281" s="52"/>
      <c r="AB281" s="51"/>
      <c r="AC281" s="51"/>
      <c r="AD281" s="51"/>
      <c r="AE281" s="51"/>
    </row>
    <row r="282" spans="1:31" s="123" customFormat="1" ht="11.25" customHeight="1">
      <c r="A282" s="529"/>
      <c r="B282" s="53"/>
      <c r="C282" s="53"/>
      <c r="K282" s="49"/>
      <c r="L282" s="53"/>
      <c r="M282" s="53"/>
      <c r="N282" s="49"/>
      <c r="O282" s="49"/>
      <c r="P282" s="49"/>
      <c r="Q282" s="49"/>
      <c r="R282" s="53"/>
      <c r="S282" s="49"/>
      <c r="T282" s="49"/>
      <c r="U282" s="530"/>
      <c r="V282" s="49"/>
      <c r="W282" s="49"/>
      <c r="X282" s="49"/>
      <c r="Y282" s="49"/>
      <c r="Z282" s="49"/>
      <c r="AA282" s="52"/>
      <c r="AB282" s="51"/>
      <c r="AC282" s="51"/>
      <c r="AD282" s="51"/>
      <c r="AE282" s="51"/>
    </row>
    <row r="283" spans="1:31" s="123" customFormat="1" ht="11.25" customHeight="1">
      <c r="A283" s="529"/>
      <c r="B283" s="53"/>
      <c r="C283" s="53"/>
      <c r="K283" s="49"/>
      <c r="L283" s="53"/>
      <c r="M283" s="53"/>
      <c r="N283" s="49"/>
      <c r="O283" s="49"/>
      <c r="P283" s="49"/>
      <c r="Q283" s="49"/>
      <c r="R283" s="53"/>
      <c r="S283" s="49"/>
      <c r="T283" s="49"/>
      <c r="U283" s="530"/>
      <c r="V283" s="49"/>
      <c r="W283" s="49"/>
      <c r="X283" s="49"/>
      <c r="Y283" s="49"/>
      <c r="Z283" s="49"/>
      <c r="AA283" s="52"/>
      <c r="AB283" s="51"/>
      <c r="AC283" s="51"/>
      <c r="AD283" s="51"/>
      <c r="AE283" s="51"/>
    </row>
    <row r="284" spans="1:31" s="123" customFormat="1" ht="11.25" customHeight="1">
      <c r="A284" s="529"/>
      <c r="B284" s="53"/>
      <c r="C284" s="53"/>
      <c r="K284" s="49"/>
      <c r="L284" s="53"/>
      <c r="M284" s="53"/>
      <c r="N284" s="49"/>
      <c r="O284" s="49"/>
      <c r="P284" s="49"/>
      <c r="Q284" s="49"/>
      <c r="R284" s="53"/>
      <c r="S284" s="49"/>
      <c r="T284" s="49"/>
      <c r="U284" s="530"/>
      <c r="V284" s="49"/>
      <c r="W284" s="49"/>
      <c r="X284" s="49"/>
      <c r="Y284" s="49"/>
      <c r="Z284" s="49"/>
      <c r="AA284" s="52"/>
      <c r="AB284" s="51"/>
      <c r="AC284" s="51"/>
      <c r="AD284" s="51"/>
      <c r="AE284" s="51"/>
    </row>
    <row r="285" spans="1:31" s="123" customFormat="1" ht="11.25" customHeight="1">
      <c r="A285" s="529"/>
      <c r="B285" s="53"/>
      <c r="C285" s="53"/>
      <c r="K285" s="49"/>
      <c r="L285" s="53"/>
      <c r="M285" s="53"/>
      <c r="N285" s="49"/>
      <c r="O285" s="49"/>
      <c r="P285" s="49"/>
      <c r="Q285" s="49"/>
      <c r="R285" s="53"/>
      <c r="S285" s="49"/>
      <c r="T285" s="49"/>
      <c r="U285" s="530"/>
      <c r="V285" s="49"/>
      <c r="W285" s="49"/>
      <c r="X285" s="49"/>
      <c r="Y285" s="49"/>
      <c r="Z285" s="49"/>
      <c r="AA285" s="52"/>
      <c r="AB285" s="51"/>
      <c r="AC285" s="51"/>
      <c r="AD285" s="51"/>
      <c r="AE285" s="51"/>
    </row>
    <row r="286" spans="1:31" s="123" customFormat="1" ht="11.25" customHeight="1">
      <c r="A286" s="529"/>
      <c r="B286" s="53"/>
      <c r="C286" s="53"/>
      <c r="K286" s="49"/>
      <c r="L286" s="53"/>
      <c r="M286" s="53"/>
      <c r="N286" s="49"/>
      <c r="O286" s="49"/>
      <c r="P286" s="49"/>
      <c r="Q286" s="49"/>
      <c r="R286" s="53"/>
      <c r="S286" s="49"/>
      <c r="T286" s="49"/>
      <c r="U286" s="530"/>
      <c r="V286" s="49"/>
      <c r="W286" s="49"/>
      <c r="X286" s="49"/>
      <c r="Y286" s="49"/>
      <c r="Z286" s="49"/>
      <c r="AA286" s="52"/>
      <c r="AB286" s="51"/>
      <c r="AC286" s="51"/>
      <c r="AD286" s="51"/>
      <c r="AE286" s="51"/>
    </row>
    <row r="287" spans="1:31" s="123" customFormat="1" ht="11.25" customHeight="1">
      <c r="A287" s="529"/>
      <c r="B287" s="53"/>
      <c r="C287" s="53"/>
      <c r="K287" s="49"/>
      <c r="L287" s="53"/>
      <c r="M287" s="53"/>
      <c r="N287" s="49"/>
      <c r="O287" s="49"/>
      <c r="P287" s="49"/>
      <c r="Q287" s="49"/>
      <c r="R287" s="53"/>
      <c r="S287" s="49"/>
      <c r="T287" s="49"/>
      <c r="U287" s="530"/>
      <c r="V287" s="49"/>
      <c r="W287" s="49"/>
      <c r="X287" s="49"/>
      <c r="Y287" s="49"/>
      <c r="Z287" s="49"/>
      <c r="AA287" s="52"/>
      <c r="AB287" s="51"/>
      <c r="AC287" s="51"/>
      <c r="AD287" s="51"/>
      <c r="AE287" s="51"/>
    </row>
    <row r="288" spans="1:31" s="123" customFormat="1" ht="11.25" customHeight="1">
      <c r="A288" s="529"/>
      <c r="B288" s="53"/>
      <c r="C288" s="53"/>
      <c r="K288" s="49"/>
      <c r="L288" s="53"/>
      <c r="M288" s="53"/>
      <c r="N288" s="49"/>
      <c r="O288" s="49"/>
      <c r="P288" s="49"/>
      <c r="Q288" s="49"/>
      <c r="R288" s="53"/>
      <c r="S288" s="49"/>
      <c r="T288" s="49"/>
      <c r="U288" s="530"/>
      <c r="V288" s="49"/>
      <c r="W288" s="49"/>
      <c r="X288" s="49"/>
      <c r="Y288" s="49"/>
      <c r="Z288" s="49"/>
      <c r="AA288" s="52"/>
      <c r="AB288" s="51"/>
      <c r="AC288" s="51"/>
      <c r="AD288" s="51"/>
      <c r="AE288" s="51"/>
    </row>
    <row r="292" spans="1:31" ht="11.25" customHeight="1">
      <c r="A292" s="594"/>
      <c r="B292" s="46"/>
      <c r="K292" s="46"/>
      <c r="N292" s="46"/>
      <c r="O292" s="46"/>
      <c r="P292" s="46"/>
      <c r="Q292" s="46"/>
      <c r="S292" s="46"/>
      <c r="T292" s="46"/>
      <c r="U292" s="46"/>
      <c r="V292" s="46"/>
      <c r="W292" s="46"/>
      <c r="X292" s="46"/>
      <c r="Y292" s="46"/>
      <c r="Z292" s="46"/>
      <c r="AA292" s="46"/>
      <c r="AB292" s="46"/>
      <c r="AC292" s="46"/>
      <c r="AD292" s="46"/>
      <c r="AE292" s="46"/>
    </row>
    <row r="293" spans="1:31" ht="11.25" customHeight="1">
      <c r="A293" s="594"/>
      <c r="B293" s="46"/>
      <c r="K293" s="46"/>
      <c r="N293" s="46"/>
      <c r="O293" s="46"/>
      <c r="P293" s="46"/>
      <c r="Q293" s="46"/>
      <c r="S293" s="46"/>
      <c r="T293" s="46"/>
      <c r="U293" s="46"/>
      <c r="V293" s="46"/>
      <c r="W293" s="46"/>
      <c r="X293" s="46"/>
      <c r="Y293" s="46"/>
      <c r="Z293" s="46"/>
      <c r="AA293" s="46"/>
      <c r="AB293" s="46"/>
      <c r="AC293" s="46"/>
      <c r="AD293" s="46"/>
      <c r="AE293" s="46"/>
    </row>
    <row r="294" spans="1:31" ht="11.25" customHeight="1">
      <c r="A294" s="594"/>
      <c r="B294" s="46"/>
      <c r="K294" s="46"/>
      <c r="N294" s="46"/>
      <c r="O294" s="46"/>
      <c r="P294" s="46"/>
      <c r="Q294" s="46"/>
      <c r="S294" s="46"/>
      <c r="T294" s="46"/>
      <c r="U294" s="46"/>
      <c r="V294" s="46"/>
      <c r="W294" s="46"/>
      <c r="X294" s="46"/>
      <c r="Y294" s="46"/>
      <c r="Z294" s="46"/>
      <c r="AA294" s="46"/>
      <c r="AB294" s="46"/>
      <c r="AC294" s="46"/>
      <c r="AD294" s="46"/>
      <c r="AE294" s="46"/>
    </row>
    <row r="295" spans="1:31" ht="11.25" customHeight="1">
      <c r="A295" s="594"/>
      <c r="B295" s="46"/>
      <c r="K295" s="46"/>
      <c r="N295" s="46"/>
      <c r="O295" s="46"/>
      <c r="P295" s="46"/>
      <c r="Q295" s="46"/>
      <c r="S295" s="46"/>
      <c r="T295" s="46"/>
      <c r="U295" s="46"/>
      <c r="V295" s="46"/>
      <c r="W295" s="46"/>
      <c r="X295" s="46"/>
      <c r="Y295" s="46"/>
      <c r="Z295" s="46"/>
      <c r="AA295" s="46"/>
      <c r="AB295" s="46"/>
      <c r="AC295" s="46"/>
      <c r="AD295" s="46"/>
      <c r="AE295" s="46"/>
    </row>
    <row r="296" spans="1:31" ht="11.25" customHeight="1">
      <c r="A296" s="594"/>
      <c r="B296" s="46"/>
      <c r="K296" s="46"/>
      <c r="N296" s="46"/>
      <c r="O296" s="46"/>
      <c r="P296" s="46"/>
      <c r="Q296" s="46"/>
      <c r="S296" s="46"/>
      <c r="T296" s="46"/>
      <c r="U296" s="46"/>
      <c r="V296" s="46"/>
      <c r="W296" s="46"/>
      <c r="X296" s="46"/>
      <c r="Y296" s="46"/>
      <c r="Z296" s="46"/>
      <c r="AA296" s="46"/>
      <c r="AB296" s="46"/>
      <c r="AC296" s="46"/>
      <c r="AD296" s="46"/>
      <c r="AE296" s="46"/>
    </row>
    <row r="297" spans="1:31" ht="11.25" customHeight="1">
      <c r="A297" s="594"/>
      <c r="B297" s="46"/>
      <c r="K297" s="46"/>
      <c r="N297" s="46"/>
      <c r="O297" s="46"/>
      <c r="P297" s="46"/>
      <c r="Q297" s="46"/>
      <c r="S297" s="46"/>
      <c r="T297" s="46"/>
      <c r="U297" s="46"/>
      <c r="V297" s="46"/>
      <c r="W297" s="46"/>
      <c r="X297" s="46"/>
      <c r="Y297" s="46"/>
      <c r="Z297" s="46"/>
      <c r="AA297" s="46"/>
      <c r="AB297" s="46"/>
      <c r="AC297" s="46"/>
      <c r="AD297" s="46"/>
      <c r="AE297" s="46"/>
    </row>
    <row r="298" spans="1:31" ht="11.25" customHeight="1">
      <c r="A298" s="594"/>
      <c r="B298" s="46"/>
      <c r="K298" s="46"/>
      <c r="N298" s="46"/>
      <c r="O298" s="46"/>
      <c r="P298" s="46"/>
      <c r="Q298" s="46"/>
      <c r="S298" s="46"/>
      <c r="T298" s="46"/>
      <c r="U298" s="46"/>
      <c r="V298" s="46"/>
      <c r="W298" s="46"/>
      <c r="X298" s="46"/>
      <c r="Y298" s="46"/>
      <c r="Z298" s="46"/>
      <c r="AA298" s="46"/>
      <c r="AB298" s="46"/>
      <c r="AC298" s="46"/>
      <c r="AD298" s="46"/>
      <c r="AE298" s="46"/>
    </row>
    <row r="299" spans="1:31" ht="11.25" customHeight="1">
      <c r="A299" s="594"/>
      <c r="B299" s="46"/>
      <c r="K299" s="46"/>
      <c r="N299" s="46"/>
      <c r="O299" s="46"/>
      <c r="P299" s="46"/>
      <c r="Q299" s="46"/>
      <c r="S299" s="46"/>
      <c r="T299" s="46"/>
      <c r="U299" s="46"/>
      <c r="V299" s="46"/>
      <c r="W299" s="46"/>
      <c r="X299" s="46"/>
      <c r="Y299" s="46"/>
      <c r="Z299" s="46"/>
      <c r="AA299" s="46"/>
      <c r="AB299" s="46"/>
      <c r="AC299" s="46"/>
      <c r="AD299" s="46"/>
      <c r="AE299" s="46"/>
    </row>
    <row r="300" spans="1:31" ht="11.25" customHeight="1">
      <c r="A300" s="594"/>
      <c r="B300" s="46"/>
      <c r="K300" s="46"/>
      <c r="N300" s="46"/>
      <c r="O300" s="46"/>
      <c r="P300" s="46"/>
      <c r="Q300" s="46"/>
      <c r="S300" s="46"/>
      <c r="T300" s="46"/>
      <c r="U300" s="46"/>
      <c r="V300" s="46"/>
      <c r="W300" s="46"/>
      <c r="X300" s="46"/>
      <c r="Y300" s="46"/>
      <c r="Z300" s="46"/>
      <c r="AA300" s="46"/>
      <c r="AB300" s="46"/>
      <c r="AC300" s="46"/>
      <c r="AD300" s="46"/>
      <c r="AE300" s="46"/>
    </row>
    <row r="301" spans="1:31" ht="11.25" customHeight="1">
      <c r="A301" s="594"/>
      <c r="B301" s="46"/>
      <c r="K301" s="46"/>
      <c r="N301" s="46"/>
      <c r="O301" s="46"/>
      <c r="P301" s="46"/>
      <c r="Q301" s="46"/>
      <c r="S301" s="46"/>
      <c r="T301" s="46"/>
      <c r="U301" s="46"/>
      <c r="V301" s="46"/>
      <c r="W301" s="46"/>
      <c r="X301" s="46"/>
      <c r="Y301" s="46"/>
      <c r="Z301" s="46"/>
      <c r="AA301" s="46"/>
      <c r="AB301" s="46"/>
      <c r="AC301" s="46"/>
      <c r="AD301" s="46"/>
      <c r="AE301" s="46"/>
    </row>
    <row r="302" spans="1:31" ht="11.25" customHeight="1">
      <c r="A302" s="594"/>
      <c r="B302" s="46"/>
      <c r="K302" s="46"/>
      <c r="N302" s="46"/>
      <c r="O302" s="46"/>
      <c r="P302" s="46"/>
      <c r="Q302" s="46"/>
      <c r="S302" s="46"/>
      <c r="T302" s="46"/>
      <c r="U302" s="46"/>
      <c r="V302" s="46"/>
      <c r="W302" s="46"/>
      <c r="X302" s="46"/>
      <c r="Y302" s="46"/>
      <c r="Z302" s="46"/>
      <c r="AA302" s="46"/>
      <c r="AB302" s="46"/>
      <c r="AC302" s="46"/>
      <c r="AD302" s="46"/>
      <c r="AE302" s="46"/>
    </row>
  </sheetData>
  <mergeCells count="18">
    <mergeCell ref="A91:A95"/>
    <mergeCell ref="A96:A98"/>
    <mergeCell ref="A99:A111"/>
    <mergeCell ref="A115:A119"/>
    <mergeCell ref="A120:A130"/>
    <mergeCell ref="A33:A40"/>
    <mergeCell ref="B34:B39"/>
    <mergeCell ref="A41:A43"/>
    <mergeCell ref="A67:A68"/>
    <mergeCell ref="A82:A90"/>
    <mergeCell ref="B2:B7"/>
    <mergeCell ref="E21:I21"/>
    <mergeCell ref="E22:I22"/>
    <mergeCell ref="F25:G25"/>
    <mergeCell ref="J25:J29"/>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6:I66 H68:I68">
      <formula1>0</formula1>
      <formula2>0</formula2>
    </dataValidation>
    <dataValidation type="textLength" operator="lessThanOrEqual" allowBlank="1" showInputMessage="1" showErrorMessage="1" errorTitle="Ошибка" error="Допускается ввод не более 900 символов!" sqref="G4 H34:I34 H39:I39">
      <formula1>900</formula1>
      <formula2>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formula2>0</formula2>
    </dataValidation>
    <dataValidation type="decimal" allowBlank="1" showErrorMessage="1" errorTitle="Ошибка" error="Допускается ввод только неотрицательных чисел!" sqref="H4:I6 H9:I13 H15:I15 H17:I17 H30:I30 H32:I33 H35:I38 H40:I65 H67:I67 H69:I69 H74:I74 H82:I86 H88:I89 H91:I94 H96:I119 H127:I127">
      <formula1>0</formula1>
      <formula2>9.99999999999999E+23</formula2>
    </dataValidation>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75:I80 H120:I120 H123:I123 H126:I126">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G93">
      <formula1>kind_of_volume_te_unit</formula1>
      <formula2>0</formula2>
    </dataValidation>
    <dataValidation type="list" allowBlank="1" showInputMessage="1" showErrorMessage="1" errorTitle="Ошибка" error="Выберите значение из списка" prompt="Выберите значение из списка" sqref="F2">
      <formula1>kind_of_fuels</formula1>
      <formula2>0</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0 F12 H70:I70">
      <formula1>900</formula1>
      <formula2>0</formula2>
    </dataValidation>
    <dataValidation type="list" allowBlank="1" showInputMessage="1" showErrorMessage="1" errorTitle="Ошибка" error="Выберите значение из списка" prompt="Выберите значение из списка" sqref="H7:I7">
      <formula1>kind_of_purchase_method</formula1>
      <formula2>0</formula2>
    </dataValidation>
  </dataValidations>
  <pageMargins left="0.7" right="0.7" top="0.625" bottom="0.62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CE27"/>
  <sheetViews>
    <sheetView showGridLines="0" topLeftCell="C4" zoomScale="90" zoomScaleNormal="90" workbookViewId="0"/>
  </sheetViews>
  <sheetFormatPr defaultColWidth="9.140625" defaultRowHeight="11.25"/>
  <cols>
    <col min="1" max="1" width="14.7109375" style="595" hidden="1" customWidth="1"/>
    <col min="2" max="2" width="17" style="52" hidden="1" customWidth="1"/>
    <col min="3" max="3" width="3.7109375" style="46" customWidth="1"/>
    <col min="4" max="4" width="1.85546875" style="46" hidden="1" customWidth="1"/>
    <col min="5" max="6" width="7.7109375" style="46" customWidth="1"/>
    <col min="7" max="7" width="29.7109375" style="46" customWidth="1"/>
    <col min="8" max="8" width="3.7109375" style="46" customWidth="1"/>
    <col min="9" max="9" width="5.42578125" style="46" customWidth="1"/>
    <col min="10" max="10" width="24.5703125" style="46" customWidth="1"/>
    <col min="11" max="11" width="24.42578125" style="46" customWidth="1"/>
    <col min="12" max="12" width="3.7109375" style="46" customWidth="1"/>
    <col min="13" max="13" width="6.28515625" style="46" customWidth="1"/>
    <col min="14" max="14" width="25.85546875" style="46" customWidth="1"/>
    <col min="15" max="18" width="18.7109375" style="46" customWidth="1"/>
    <col min="19" max="19" width="93.42578125" style="46" customWidth="1"/>
    <col min="20" max="20" width="10.5703125" style="46" customWidth="1"/>
    <col min="21" max="21" width="10.5703125" style="53" customWidth="1"/>
    <col min="22" max="22" width="11.7109375" style="53" customWidth="1"/>
    <col min="23" max="27" width="10.5703125" style="52" customWidth="1"/>
    <col min="28" max="83" width="9.140625" style="46"/>
  </cols>
  <sheetData>
    <row r="1" spans="1:83" ht="11.25" hidden="1" customHeight="1"/>
    <row r="2" spans="1:83" ht="11.25" hidden="1" customHeight="1"/>
    <row r="3" spans="1:83" ht="11.25" hidden="1" customHeight="1"/>
    <row r="4" spans="1:83" ht="3" customHeight="1">
      <c r="K4" s="131"/>
      <c r="L4" s="131"/>
      <c r="M4" s="131"/>
    </row>
    <row r="5" spans="1:83" ht="28.5" customHeight="1">
      <c r="D5" s="596"/>
      <c r="E5" s="110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106"/>
      <c r="G5" s="1106"/>
      <c r="H5" s="1106"/>
      <c r="I5" s="1106"/>
      <c r="J5" s="1106"/>
      <c r="K5" s="1106"/>
      <c r="L5" s="47"/>
      <c r="M5" s="47"/>
    </row>
    <row r="6" spans="1:83" s="46" customFormat="1" ht="16.5" customHeight="1">
      <c r="A6" s="595"/>
      <c r="B6" s="52"/>
      <c r="D6" s="597"/>
      <c r="E6" s="1127" t="str">
        <f>IF(org=0,"Не определено",org)</f>
        <v>Филиал ПАО "ОГК-2" - Серовская ГРЭС, г. Серов</v>
      </c>
      <c r="F6" s="1127"/>
      <c r="G6" s="1127"/>
      <c r="H6" s="1127"/>
      <c r="I6" s="1127"/>
      <c r="J6" s="1127"/>
      <c r="K6" s="1127"/>
      <c r="L6" s="47"/>
      <c r="M6" s="47"/>
      <c r="U6" s="53"/>
      <c r="V6" s="53"/>
      <c r="W6" s="52"/>
      <c r="X6" s="52"/>
      <c r="Y6" s="52"/>
      <c r="Z6" s="52"/>
      <c r="AA6" s="52"/>
    </row>
    <row r="7" spans="1:83" ht="11.25" customHeight="1">
      <c r="G7" s="47"/>
      <c r="H7" s="47"/>
      <c r="I7" s="47"/>
      <c r="J7" s="47"/>
      <c r="K7" s="598"/>
      <c r="L7" s="598"/>
      <c r="M7" s="598"/>
      <c r="R7" s="272"/>
    </row>
    <row r="8" spans="1:83" s="123" customFormat="1" ht="5.25" customHeight="1">
      <c r="A8" s="599"/>
      <c r="B8" s="51"/>
      <c r="G8" s="600"/>
      <c r="H8" s="600"/>
      <c r="I8" s="600"/>
      <c r="J8" s="600"/>
      <c r="K8" s="601"/>
      <c r="L8" s="601"/>
      <c r="M8" s="601"/>
      <c r="R8" s="602"/>
      <c r="U8" s="53"/>
      <c r="V8" s="53"/>
      <c r="W8" s="51"/>
      <c r="X8" s="51"/>
      <c r="Y8" s="51"/>
      <c r="Z8" s="51"/>
      <c r="AA8" s="51"/>
    </row>
    <row r="9" spans="1:83" ht="18.75" customHeight="1">
      <c r="D9" s="395"/>
      <c r="E9" s="1087" t="s">
        <v>287</v>
      </c>
      <c r="F9" s="1087"/>
      <c r="G9" s="1087"/>
      <c r="H9" s="1087"/>
      <c r="I9" s="1087"/>
      <c r="J9" s="1087"/>
      <c r="K9" s="1087"/>
      <c r="L9" s="1087"/>
      <c r="M9" s="1087"/>
      <c r="N9" s="1087"/>
      <c r="O9" s="1087"/>
      <c r="P9" s="1087"/>
      <c r="Q9" s="1087"/>
      <c r="R9" s="1087"/>
      <c r="S9" s="1087" t="s">
        <v>288</v>
      </c>
      <c r="T9" s="603"/>
    </row>
    <row r="10" spans="1:83" ht="33.75" customHeight="1">
      <c r="D10" s="149" t="s">
        <v>84</v>
      </c>
      <c r="E10" s="1087" t="s">
        <v>84</v>
      </c>
      <c r="F10" s="1087"/>
      <c r="G10" s="148" t="s">
        <v>289</v>
      </c>
      <c r="H10" s="1087" t="s">
        <v>84</v>
      </c>
      <c r="I10" s="1087"/>
      <c r="J10" s="148" t="s">
        <v>582</v>
      </c>
      <c r="K10" s="148" t="s">
        <v>583</v>
      </c>
      <c r="L10" s="1087" t="s">
        <v>84</v>
      </c>
      <c r="M10" s="1087"/>
      <c r="N10" s="148" t="s">
        <v>584</v>
      </c>
      <c r="O10" s="148" t="s">
        <v>585</v>
      </c>
      <c r="P10" s="148" t="s">
        <v>586</v>
      </c>
      <c r="Q10" s="148" t="s">
        <v>587</v>
      </c>
      <c r="R10" s="148" t="s">
        <v>588</v>
      </c>
      <c r="S10" s="1087"/>
      <c r="T10" s="603"/>
    </row>
    <row r="11" spans="1:83" s="53" customFormat="1" ht="15" hidden="1" customHeight="1">
      <c r="A11" s="431"/>
      <c r="D11" s="431" t="s">
        <v>105</v>
      </c>
      <c r="E11" s="431"/>
      <c r="F11" s="431" t="s">
        <v>106</v>
      </c>
      <c r="G11" s="431" t="s">
        <v>86</v>
      </c>
      <c r="H11" s="431"/>
      <c r="I11" s="431" t="s">
        <v>87</v>
      </c>
      <c r="J11" s="431" t="s">
        <v>107</v>
      </c>
      <c r="K11" s="431" t="s">
        <v>88</v>
      </c>
      <c r="L11" s="431"/>
      <c r="M11" s="431" t="s">
        <v>89</v>
      </c>
      <c r="N11" s="431" t="s">
        <v>108</v>
      </c>
      <c r="O11" s="431" t="s">
        <v>144</v>
      </c>
      <c r="P11" s="431" t="s">
        <v>145</v>
      </c>
      <c r="Q11" s="431" t="s">
        <v>146</v>
      </c>
      <c r="R11" s="431" t="s">
        <v>147</v>
      </c>
      <c r="S11" s="431" t="s">
        <v>148</v>
      </c>
    </row>
    <row r="12" spans="1:83" s="46" customFormat="1" ht="0.75" customHeight="1">
      <c r="A12" s="595"/>
      <c r="B12" s="52"/>
      <c r="D12" s="431"/>
      <c r="E12" s="117"/>
      <c r="F12" s="117"/>
      <c r="Q12" s="133"/>
      <c r="R12" s="604"/>
      <c r="T12" s="603"/>
      <c r="U12" s="53"/>
      <c r="V12" s="53"/>
      <c r="W12" s="52"/>
      <c r="X12" s="52"/>
      <c r="Y12" s="52"/>
      <c r="Z12" s="52"/>
      <c r="AA12" s="52"/>
    </row>
    <row r="13" spans="1:83" s="123" customFormat="1" ht="0.75" customHeight="1">
      <c r="A13" s="599"/>
      <c r="B13" s="51"/>
      <c r="D13" s="431" t="s">
        <v>365</v>
      </c>
      <c r="E13" s="552"/>
      <c r="F13" s="552"/>
      <c r="G13" s="552"/>
      <c r="H13" s="552"/>
      <c r="I13" s="552"/>
      <c r="J13" s="552"/>
      <c r="K13" s="552"/>
      <c r="L13" s="552"/>
      <c r="M13" s="552"/>
      <c r="N13" s="552"/>
      <c r="O13" s="552"/>
      <c r="P13" s="552"/>
      <c r="Q13" s="552"/>
      <c r="R13" s="552"/>
      <c r="T13" s="603"/>
      <c r="U13" s="53"/>
      <c r="V13" s="53"/>
      <c r="W13" s="51"/>
      <c r="X13" s="51"/>
      <c r="Y13" s="51"/>
      <c r="Z13" s="51"/>
      <c r="AA13" s="51"/>
    </row>
    <row r="14" spans="1:83" s="59" customFormat="1" ht="15" hidden="1" customHeight="1">
      <c r="A14" s="605" t="s">
        <v>113</v>
      </c>
      <c r="D14" s="1126" t="s">
        <v>105</v>
      </c>
      <c r="E14" s="1201" t="s">
        <v>101</v>
      </c>
      <c r="F14" s="1201"/>
      <c r="G14" s="1201"/>
      <c r="H14" s="1202">
        <f>IF(A14="","",INDEX(DIFFERENTIATION_UNMERGE_VD,MATCH(A14,DIFFERENTIATION_ID_DIFF,0)))</f>
        <v>0</v>
      </c>
      <c r="I14" s="1202"/>
      <c r="J14" s="1202"/>
      <c r="K14" s="1202"/>
      <c r="L14" s="1202"/>
      <c r="M14" s="1202"/>
      <c r="N14" s="1202"/>
      <c r="O14" s="1202"/>
      <c r="P14" s="1202"/>
      <c r="Q14" s="1202"/>
      <c r="R14" s="1202"/>
      <c r="S14" s="606"/>
      <c r="T14" s="607"/>
      <c r="U14" s="158"/>
      <c r="V14" s="158"/>
      <c r="W14" s="60"/>
      <c r="X14" s="60"/>
      <c r="Y14" s="60"/>
      <c r="Z14" s="60"/>
      <c r="AA14" s="158"/>
      <c r="AB14" s="60"/>
      <c r="AC14" s="1203"/>
      <c r="AD14" s="60"/>
      <c r="AE14" s="609"/>
      <c r="AF14" s="609"/>
      <c r="AG14" s="610" t="s">
        <v>589</v>
      </c>
      <c r="AH14" s="611">
        <v>3</v>
      </c>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60"/>
      <c r="BW14" s="60"/>
      <c r="BX14" s="60"/>
      <c r="BY14" s="60"/>
      <c r="BZ14" s="60"/>
      <c r="CA14" s="60"/>
      <c r="CB14" s="60"/>
      <c r="CC14" s="60"/>
      <c r="CD14" s="60"/>
      <c r="CE14" s="60"/>
    </row>
    <row r="15" spans="1:83" s="59" customFormat="1" ht="15" hidden="1" customHeight="1">
      <c r="A15" s="605"/>
      <c r="D15" s="1126"/>
      <c r="E15" s="1201" t="s">
        <v>544</v>
      </c>
      <c r="F15" s="1201"/>
      <c r="G15" s="1201"/>
      <c r="H15" s="1202" t="str">
        <f>IF(A14="","",INDEX(DIFFERENTIATION_UNMERGE_AREA,MATCH(A14,DIFFERENTIATION_ID_DIFF,0)))</f>
        <v/>
      </c>
      <c r="I15" s="1202"/>
      <c r="J15" s="1202"/>
      <c r="K15" s="1202"/>
      <c r="L15" s="1202"/>
      <c r="M15" s="1202"/>
      <c r="N15" s="1202"/>
      <c r="O15" s="1202"/>
      <c r="P15" s="1202"/>
      <c r="Q15" s="1202"/>
      <c r="R15" s="1202"/>
      <c r="S15" s="606"/>
      <c r="T15" s="607"/>
      <c r="U15" s="158"/>
      <c r="V15" s="158"/>
      <c r="W15" s="60"/>
      <c r="X15" s="60"/>
      <c r="Y15" s="60"/>
      <c r="Z15" s="60"/>
      <c r="AA15" s="158"/>
      <c r="AB15" s="60"/>
      <c r="AC15" s="1203"/>
      <c r="AD15" s="60"/>
      <c r="AE15" s="609"/>
      <c r="AF15" s="609"/>
      <c r="AG15" s="610"/>
      <c r="AH15" s="611"/>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60"/>
      <c r="BW15" s="60"/>
      <c r="BX15" s="60"/>
      <c r="BY15" s="60"/>
      <c r="BZ15" s="60"/>
      <c r="CA15" s="60"/>
      <c r="CB15" s="60"/>
      <c r="CC15" s="60"/>
      <c r="CD15" s="60"/>
      <c r="CE15" s="60"/>
    </row>
    <row r="16" spans="1:83" s="59" customFormat="1" ht="15" hidden="1" customHeight="1">
      <c r="A16" s="605"/>
      <c r="D16" s="1126"/>
      <c r="E16" s="1201" t="s">
        <v>545</v>
      </c>
      <c r="F16" s="1201"/>
      <c r="G16" s="1201"/>
      <c r="H16" s="1202" t="str">
        <f>IF(A14="","",INDEX(DIFFERENTIATION_UNMERGE_SYSTEM,MATCH(A14,DIFFERENTIATION_ID_DIFF,0)))</f>
        <v>без дифференциации</v>
      </c>
      <c r="I16" s="1202"/>
      <c r="J16" s="1202"/>
      <c r="K16" s="1202"/>
      <c r="L16" s="1202"/>
      <c r="M16" s="1202"/>
      <c r="N16" s="1202"/>
      <c r="O16" s="1202"/>
      <c r="P16" s="1202"/>
      <c r="Q16" s="1202"/>
      <c r="R16" s="1202"/>
      <c r="S16" s="606"/>
      <c r="T16" s="607"/>
      <c r="U16" s="158"/>
      <c r="V16" s="158"/>
      <c r="W16" s="60"/>
      <c r="X16" s="60"/>
      <c r="Y16" s="60"/>
      <c r="Z16" s="60"/>
      <c r="AA16" s="158"/>
      <c r="AB16" s="60"/>
      <c r="AC16" s="1203"/>
      <c r="AD16" s="60"/>
      <c r="AE16" s="609"/>
      <c r="AF16" s="609"/>
      <c r="AG16" s="610"/>
      <c r="AH16" s="611"/>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60"/>
      <c r="BW16" s="60"/>
      <c r="BX16" s="60"/>
      <c r="BY16" s="60"/>
      <c r="BZ16" s="60"/>
      <c r="CA16" s="60"/>
      <c r="CB16" s="60"/>
      <c r="CC16" s="60"/>
      <c r="CD16" s="60"/>
      <c r="CE16" s="60"/>
    </row>
    <row r="17" spans="1:83" s="59" customFormat="1" ht="22.5" hidden="1" customHeight="1">
      <c r="A17" s="107"/>
      <c r="B17" s="49"/>
      <c r="C17" s="159"/>
      <c r="D17" s="1126"/>
      <c r="E17" s="1204" t="s">
        <v>590</v>
      </c>
      <c r="F17" s="1204"/>
      <c r="G17" s="1204"/>
      <c r="H17" s="1204"/>
      <c r="I17" s="1204"/>
      <c r="J17" s="1204"/>
      <c r="K17" s="1204"/>
      <c r="L17" s="1204"/>
      <c r="M17" s="1204"/>
      <c r="N17" s="1204"/>
      <c r="O17" s="1204"/>
      <c r="P17" s="1204"/>
      <c r="Q17" s="551">
        <f>SUMIF(T18:T19,"i",Q18:Q19)</f>
        <v>0</v>
      </c>
      <c r="R17" s="613"/>
      <c r="S17" s="549" t="s">
        <v>591</v>
      </c>
      <c r="T17" s="607" t="s">
        <v>592</v>
      </c>
      <c r="U17" s="1156">
        <v>1</v>
      </c>
      <c r="V17" s="1156" t="str">
        <f>INDEX(B_FHD_FLAG_INDEX_1,1,MATCH(A14,B_FHD_FLAG_DIFFERENTIATION,0))</f>
        <v>отсутствует</v>
      </c>
      <c r="W17" s="49"/>
      <c r="X17" s="49"/>
      <c r="Y17" s="49"/>
      <c r="Z17" s="49"/>
      <c r="AA17" s="53"/>
      <c r="AB17" s="49"/>
      <c r="AC17" s="1203"/>
      <c r="AD17" s="60"/>
      <c r="AE17" s="49"/>
      <c r="AF17" s="49"/>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49"/>
      <c r="BW17" s="49"/>
      <c r="BX17" s="49"/>
      <c r="BY17" s="49"/>
      <c r="BZ17" s="49"/>
      <c r="CA17" s="49"/>
      <c r="CB17" s="49"/>
      <c r="CC17" s="49"/>
      <c r="CD17" s="49"/>
      <c r="CE17" s="49"/>
    </row>
    <row r="18" spans="1:83" s="59" customFormat="1" ht="11.25" hidden="1" customHeight="1">
      <c r="A18" s="124"/>
      <c r="B18" s="53"/>
      <c r="C18" s="53"/>
      <c r="D18" s="1126"/>
      <c r="E18" s="280"/>
      <c r="F18" s="280">
        <v>0</v>
      </c>
      <c r="G18" s="280"/>
      <c r="H18" s="280"/>
      <c r="I18" s="280"/>
      <c r="J18" s="280"/>
      <c r="K18" s="280"/>
      <c r="L18" s="280"/>
      <c r="M18" s="280"/>
      <c r="N18" s="280"/>
      <c r="O18" s="280"/>
      <c r="P18" s="280"/>
      <c r="Q18" s="280"/>
      <c r="R18" s="280"/>
      <c r="S18" s="279"/>
      <c r="T18" s="614"/>
      <c r="U18" s="1156"/>
      <c r="V18" s="1156"/>
      <c r="W18" s="53"/>
      <c r="X18" s="53"/>
      <c r="Y18" s="53"/>
      <c r="Z18" s="53"/>
      <c r="AA18" s="53"/>
      <c r="AB18" s="49"/>
      <c r="AC18" s="1203"/>
      <c r="AD18" s="60"/>
      <c r="AE18" s="49"/>
      <c r="AF18" s="49"/>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row>
    <row r="19" spans="1:83" s="59" customFormat="1" ht="11.25" hidden="1" customHeight="1">
      <c r="A19" s="107"/>
      <c r="B19" s="49"/>
      <c r="C19" s="159"/>
      <c r="D19" s="1126"/>
      <c r="E19" s="489"/>
      <c r="F19" s="163"/>
      <c r="G19" s="163"/>
      <c r="H19" s="168"/>
      <c r="I19" s="168"/>
      <c r="J19" s="168"/>
      <c r="K19" s="168"/>
      <c r="L19" s="168"/>
      <c r="M19" s="168"/>
      <c r="N19" s="168"/>
      <c r="O19" s="168"/>
      <c r="P19" s="168"/>
      <c r="Q19" s="168"/>
      <c r="R19" s="194"/>
      <c r="S19" s="612"/>
      <c r="T19" s="614"/>
      <c r="U19" s="1156"/>
      <c r="V19" s="1156"/>
      <c r="W19" s="49"/>
      <c r="X19" s="49"/>
      <c r="Y19" s="49"/>
      <c r="Z19" s="49"/>
      <c r="AA19" s="53"/>
      <c r="AB19" s="49"/>
      <c r="AC19" s="1203"/>
      <c r="AD19" s="60"/>
      <c r="AE19" s="49"/>
      <c r="AF19" s="49"/>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49"/>
      <c r="BW19" s="49"/>
      <c r="BX19" s="49"/>
      <c r="BY19" s="49"/>
      <c r="BZ19" s="49"/>
      <c r="CA19" s="49"/>
      <c r="CB19" s="49"/>
      <c r="CC19" s="49"/>
      <c r="CD19" s="49"/>
      <c r="CE19" s="49"/>
    </row>
    <row r="20" spans="1:83" s="59" customFormat="1" ht="22.5" hidden="1" customHeight="1">
      <c r="A20" s="107"/>
      <c r="B20" s="49"/>
      <c r="C20" s="159"/>
      <c r="D20" s="1126"/>
      <c r="E20" s="1204" t="s">
        <v>593</v>
      </c>
      <c r="F20" s="1204"/>
      <c r="G20" s="1204"/>
      <c r="H20" s="1204"/>
      <c r="I20" s="1204"/>
      <c r="J20" s="1204"/>
      <c r="K20" s="1204"/>
      <c r="L20" s="1204"/>
      <c r="M20" s="1204"/>
      <c r="N20" s="1204"/>
      <c r="O20" s="1204"/>
      <c r="P20" s="1204"/>
      <c r="Q20" s="551">
        <f>SUMIF(T21:T22,"i",Q21:Q22)</f>
        <v>0</v>
      </c>
      <c r="R20" s="613"/>
      <c r="S20" s="549" t="s">
        <v>594</v>
      </c>
      <c r="T20" s="607" t="s">
        <v>592</v>
      </c>
      <c r="U20" s="1156">
        <v>2</v>
      </c>
      <c r="V20" s="1156" t="str">
        <f>INDEX(B_FHD_FLAG_INDEX_2,1,MATCH(A14,B_FHD_FLAG_DIFFERENTIATION,0))</f>
        <v>отсутствует</v>
      </c>
      <c r="W20" s="49"/>
      <c r="X20" s="49"/>
      <c r="Y20" s="49"/>
      <c r="Z20" s="49"/>
      <c r="AA20" s="53"/>
      <c r="AB20" s="49"/>
      <c r="AC20" s="608"/>
      <c r="AD20" s="60"/>
      <c r="AE20" s="49"/>
      <c r="AF20" s="49"/>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49"/>
      <c r="BW20" s="49"/>
      <c r="BX20" s="49"/>
      <c r="BY20" s="49"/>
      <c r="BZ20" s="49"/>
      <c r="CA20" s="49"/>
      <c r="CB20" s="49"/>
      <c r="CC20" s="49"/>
      <c r="CD20" s="49"/>
      <c r="CE20" s="49"/>
    </row>
    <row r="21" spans="1:83" s="59" customFormat="1" ht="11.25" hidden="1" customHeight="1">
      <c r="A21" s="124"/>
      <c r="B21" s="53"/>
      <c r="C21" s="53"/>
      <c r="D21" s="1126"/>
      <c r="E21" s="280"/>
      <c r="F21" s="280">
        <v>0</v>
      </c>
      <c r="G21" s="280"/>
      <c r="H21" s="280"/>
      <c r="I21" s="280"/>
      <c r="J21" s="280"/>
      <c r="K21" s="280"/>
      <c r="L21" s="280"/>
      <c r="M21" s="280"/>
      <c r="N21" s="280"/>
      <c r="O21" s="280"/>
      <c r="P21" s="280"/>
      <c r="Q21" s="280"/>
      <c r="R21" s="280"/>
      <c r="S21" s="279"/>
      <c r="T21" s="614"/>
      <c r="U21" s="1156"/>
      <c r="V21" s="1156"/>
      <c r="W21" s="53"/>
      <c r="X21" s="53"/>
      <c r="Y21" s="53"/>
      <c r="Z21" s="53"/>
      <c r="AA21" s="53"/>
      <c r="AB21" s="49"/>
      <c r="AC21" s="608"/>
      <c r="AD21" s="60"/>
      <c r="AE21" s="49"/>
      <c r="AF21" s="49"/>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row>
    <row r="22" spans="1:83" s="59" customFormat="1" ht="11.25" hidden="1" customHeight="1">
      <c r="A22" s="107"/>
      <c r="B22" s="49"/>
      <c r="C22" s="159"/>
      <c r="D22" s="1126"/>
      <c r="E22" s="489"/>
      <c r="F22" s="163"/>
      <c r="G22" s="163"/>
      <c r="H22" s="168"/>
      <c r="I22" s="168"/>
      <c r="J22" s="168"/>
      <c r="K22" s="168"/>
      <c r="L22" s="168"/>
      <c r="M22" s="168"/>
      <c r="N22" s="168"/>
      <c r="O22" s="168"/>
      <c r="P22" s="168"/>
      <c r="Q22" s="168"/>
      <c r="R22" s="194"/>
      <c r="S22" s="612"/>
      <c r="T22" s="614"/>
      <c r="U22" s="1156"/>
      <c r="V22" s="1156"/>
      <c r="W22" s="49"/>
      <c r="X22" s="49"/>
      <c r="Y22" s="49"/>
      <c r="Z22" s="49"/>
      <c r="AA22" s="53"/>
      <c r="AB22" s="49"/>
      <c r="AC22" s="608"/>
      <c r="AD22" s="60"/>
      <c r="AE22" s="49"/>
      <c r="AF22" s="49"/>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49"/>
      <c r="BW22" s="49"/>
      <c r="BX22" s="49"/>
      <c r="BY22" s="49"/>
      <c r="BZ22" s="49"/>
      <c r="CA22" s="49"/>
      <c r="CB22" s="49"/>
      <c r="CC22" s="49"/>
      <c r="CD22" s="49"/>
      <c r="CE22" s="49"/>
    </row>
    <row r="23" spans="1:83" ht="18.75" customHeight="1">
      <c r="D23" s="615"/>
      <c r="E23" s="615"/>
      <c r="F23" s="615"/>
      <c r="G23" s="615"/>
      <c r="H23" s="615"/>
      <c r="I23" s="615"/>
      <c r="J23" s="615"/>
      <c r="K23" s="615"/>
      <c r="L23" s="615"/>
      <c r="M23" s="615"/>
      <c r="N23" s="615"/>
      <c r="O23" s="615"/>
      <c r="P23" s="615"/>
      <c r="Q23" s="615"/>
      <c r="R23" s="615"/>
      <c r="S23" s="615"/>
      <c r="T23" s="603"/>
    </row>
    <row r="25" spans="1:83" ht="11.25" customHeight="1">
      <c r="D25" s="131"/>
      <c r="E25" s="131"/>
      <c r="F25" s="131"/>
      <c r="G25" s="174"/>
    </row>
    <row r="27" spans="1:83" ht="11.25" customHeight="1">
      <c r="D27" s="319"/>
      <c r="E27" s="1205"/>
      <c r="F27" s="1205"/>
      <c r="G27" s="1205"/>
      <c r="H27" s="1205"/>
      <c r="I27" s="1205"/>
      <c r="J27" s="1205"/>
      <c r="K27" s="1205"/>
      <c r="L27" s="1205"/>
      <c r="M27" s="1205"/>
      <c r="N27" s="1205"/>
      <c r="O27" s="1205"/>
      <c r="P27" s="1205"/>
      <c r="Q27" s="1205"/>
      <c r="R27" s="1205"/>
    </row>
  </sheetData>
  <mergeCells count="22">
    <mergeCell ref="E27:R27"/>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5:K5"/>
    <mergeCell ref="E6:K6"/>
    <mergeCell ref="E9:R9"/>
    <mergeCell ref="S9:S10"/>
    <mergeCell ref="E10:F10"/>
    <mergeCell ref="H10:I10"/>
    <mergeCell ref="L10:M10"/>
  </mergeCells>
  <pageMargins left="0.7" right="0.7" top="0.625" bottom="0.62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E218"/>
  <sheetViews>
    <sheetView showGridLines="0" topLeftCell="D5" zoomScale="90" zoomScaleNormal="90" workbookViewId="0"/>
  </sheetViews>
  <sheetFormatPr defaultColWidth="9.140625" defaultRowHeight="11.25"/>
  <cols>
    <col min="1" max="1" width="10.7109375" style="529" hidden="1" customWidth="1"/>
    <col min="2" max="2" width="16.85546875" style="49" hidden="1" customWidth="1"/>
    <col min="3" max="3" width="5.5703125" style="53" hidden="1" customWidth="1"/>
    <col min="4" max="4" width="3.7109375" style="46" customWidth="1"/>
    <col min="5" max="5" width="7.7109375" style="46" customWidth="1"/>
    <col min="6" max="6" width="56.140625" style="46" customWidth="1"/>
    <col min="7" max="7" width="10.42578125" style="46" customWidth="1"/>
    <col min="8" max="8" width="40.7109375" style="46" hidden="1" customWidth="1"/>
    <col min="9" max="9" width="40.7109375" style="46" customWidth="1"/>
    <col min="10" max="10" width="102.85546875" style="46" customWidth="1"/>
    <col min="11" max="11" width="9.7109375" style="49" customWidth="1"/>
    <col min="12" max="12" width="5.28515625" style="53" customWidth="1"/>
    <col min="13" max="13" width="3.7109375" style="53" customWidth="1"/>
    <col min="14" max="17" width="3.7109375" style="49" customWidth="1"/>
    <col min="18" max="18" width="10.5703125" style="53" customWidth="1"/>
    <col min="19" max="19" width="34.7109375" style="49" customWidth="1"/>
    <col min="20" max="20" width="9.42578125" style="49" customWidth="1"/>
    <col min="21" max="21" width="9.140625" style="530"/>
    <col min="22" max="26" width="9.140625" style="49"/>
    <col min="27" max="31" width="9.140625" style="52"/>
  </cols>
  <sheetData>
    <row r="1" spans="1:31" s="49" customFormat="1" ht="11.25" hidden="1" customHeight="1">
      <c r="A1" s="529"/>
      <c r="C1" s="53"/>
      <c r="H1" s="49">
        <v>4</v>
      </c>
      <c r="I1" s="49">
        <v>4</v>
      </c>
      <c r="L1" s="53"/>
      <c r="M1" s="53"/>
      <c r="R1" s="53"/>
    </row>
    <row r="2" spans="1:31" s="49" customFormat="1" ht="22.5" hidden="1" customHeight="1">
      <c r="A2" s="529"/>
      <c r="C2" s="53"/>
      <c r="D2" s="539"/>
      <c r="E2" s="148"/>
      <c r="F2" s="150"/>
      <c r="G2" s="148" t="s">
        <v>532</v>
      </c>
      <c r="H2" s="411"/>
      <c r="I2" s="411"/>
      <c r="J2" s="540" t="s">
        <v>595</v>
      </c>
      <c r="K2" s="534"/>
      <c r="L2" s="53"/>
      <c r="M2" s="53"/>
      <c r="R2" s="53"/>
      <c r="U2" s="530"/>
      <c r="AA2" s="52"/>
      <c r="AB2" s="52"/>
      <c r="AC2" s="52"/>
      <c r="AD2" s="52"/>
      <c r="AE2" s="52"/>
    </row>
    <row r="3" spans="1:31" ht="11.25" hidden="1" customHeight="1"/>
    <row r="4" spans="1:31" s="52" customFormat="1" ht="11.25" hidden="1" customHeight="1">
      <c r="A4" s="529"/>
      <c r="B4" s="49"/>
      <c r="C4" s="53"/>
      <c r="J4" s="52">
        <v>4</v>
      </c>
      <c r="K4" s="49"/>
      <c r="L4" s="53"/>
      <c r="M4" s="53"/>
      <c r="N4" s="49"/>
      <c r="O4" s="49"/>
      <c r="P4" s="49"/>
      <c r="Q4" s="49"/>
      <c r="R4" s="53"/>
      <c r="S4" s="49"/>
      <c r="T4" s="49"/>
      <c r="U4" s="530"/>
      <c r="V4" s="49"/>
      <c r="W4" s="49"/>
      <c r="X4" s="49"/>
      <c r="Y4" s="49"/>
      <c r="Z4" s="49"/>
    </row>
    <row r="6" spans="1:31" ht="22.5" customHeight="1">
      <c r="E6" s="1090" t="s">
        <v>596</v>
      </c>
      <c r="F6" s="1090"/>
      <c r="G6" s="1090"/>
      <c r="H6" s="1090"/>
      <c r="I6" s="1090"/>
      <c r="J6" s="201"/>
    </row>
    <row r="7" spans="1:31" ht="24" customHeight="1">
      <c r="E7" s="1127" t="str">
        <f>IF(org=0,"Не определено",org)</f>
        <v>Филиал ПАО "ОГК-2" - Серовская ГРЭС, г. Серов</v>
      </c>
      <c r="F7" s="1127"/>
      <c r="G7" s="1127"/>
      <c r="H7" s="1127"/>
      <c r="I7" s="1127"/>
    </row>
    <row r="8" spans="1:31" ht="11.25" customHeight="1">
      <c r="E8" s="543"/>
      <c r="F8" s="543"/>
      <c r="G8" s="543"/>
      <c r="H8" s="543"/>
      <c r="I8" s="543"/>
    </row>
    <row r="9" spans="1:31" s="53" customFormat="1" ht="0.75" customHeight="1">
      <c r="A9" s="431"/>
      <c r="H9" s="544"/>
      <c r="I9" s="544" t="s">
        <v>113</v>
      </c>
    </row>
    <row r="10" spans="1:31" ht="11.25" customHeight="1">
      <c r="E10" s="545"/>
      <c r="F10" s="1197" t="s">
        <v>101</v>
      </c>
      <c r="G10" s="1197"/>
      <c r="H10" s="547" t="str">
        <f>IF(H9="","",INDEX(DIFFERENTIATION_UNMERGE_VD,MATCH(H9,DIFFERENTIATION_ID_DIFF,0)))</f>
        <v/>
      </c>
      <c r="I10" s="547">
        <f>IF(I9="","",INDEX(DIFFERENTIATION_UNMERGE_VD,MATCH(I9,DIFFERENTIATION_ID_DIFF,0)))</f>
        <v>0</v>
      </c>
      <c r="J10" s="1087"/>
    </row>
    <row r="11" spans="1:31" ht="11.25" customHeight="1">
      <c r="E11" s="545"/>
      <c r="F11" s="1197" t="s">
        <v>544</v>
      </c>
      <c r="G11" s="1197"/>
      <c r="H11" s="547" t="str">
        <f>IF(H9="","",INDEX(DIFFERENTIATION_UNMERGE_AREA,MATCH(H9,DIFFERENTIATION_ID_DIFF,0)))</f>
        <v/>
      </c>
      <c r="I11" s="547" t="str">
        <f>IF(I9="","",INDEX(DIFFERENTIATION_UNMERGE_AREA,MATCH(I9,DIFFERENTIATION_ID_DIFF,0)))</f>
        <v/>
      </c>
      <c r="J11" s="1087"/>
    </row>
    <row r="12" spans="1:31" ht="11.25" hidden="1" customHeight="1">
      <c r="E12" s="616"/>
      <c r="F12" s="1206" t="s">
        <v>545</v>
      </c>
      <c r="G12" s="1206"/>
      <c r="H12" s="617" t="str">
        <f>IF(H9="","",INDEX(DIFFERENTIATION_UNMERGE_SYSTEM,MATCH(H9,DIFFERENTIATION_ID_DIFF,0)))</f>
        <v/>
      </c>
      <c r="I12" s="617" t="str">
        <f>IF(I9="","",INDEX(DIFFERENTIATION_UNMERGE_SYSTEM,MATCH(I9,DIFFERENTIATION_ID_DIFF,0)))</f>
        <v>без дифференциации</v>
      </c>
      <c r="J12" s="1087"/>
    </row>
    <row r="13" spans="1:31" ht="11.25" customHeight="1">
      <c r="E13" s="1198" t="s">
        <v>287</v>
      </c>
      <c r="F13" s="1198"/>
      <c r="G13" s="1198"/>
      <c r="H13" s="548"/>
      <c r="I13" s="548"/>
      <c r="J13" s="1087"/>
    </row>
    <row r="14" spans="1:31" ht="22.5" customHeight="1">
      <c r="E14" s="148" t="s">
        <v>84</v>
      </c>
      <c r="F14" s="148" t="s">
        <v>289</v>
      </c>
      <c r="G14" s="148" t="s">
        <v>546</v>
      </c>
      <c r="H14" s="148" t="s">
        <v>290</v>
      </c>
      <c r="I14" s="148" t="s">
        <v>290</v>
      </c>
      <c r="J14" s="1087"/>
    </row>
    <row r="15" spans="1:31" ht="18.75" customHeight="1">
      <c r="D15" s="117"/>
      <c r="E15" s="618" t="s">
        <v>105</v>
      </c>
      <c r="F15" s="549" t="s">
        <v>597</v>
      </c>
      <c r="G15" s="148" t="s">
        <v>532</v>
      </c>
      <c r="H15" s="550"/>
      <c r="I15" s="550"/>
      <c r="J15" s="395" t="s">
        <v>598</v>
      </c>
      <c r="K15" s="534" t="s">
        <v>599</v>
      </c>
    </row>
    <row r="16" spans="1:31" ht="33.75" customHeight="1">
      <c r="D16" s="117"/>
      <c r="E16" s="618" t="s">
        <v>106</v>
      </c>
      <c r="F16" s="549" t="s">
        <v>600</v>
      </c>
      <c r="G16" s="148" t="s">
        <v>532</v>
      </c>
      <c r="H16" s="551">
        <f>SUM(H17,H20:H32)</f>
        <v>0</v>
      </c>
      <c r="I16" s="551">
        <f>SUM(I17,I20:I32)</f>
        <v>0</v>
      </c>
      <c r="J16" s="395" t="s">
        <v>601</v>
      </c>
      <c r="K16" s="534" t="s">
        <v>599</v>
      </c>
    </row>
    <row r="17" spans="1:31" ht="18.75" customHeight="1">
      <c r="D17" s="117"/>
      <c r="E17" s="619" t="s">
        <v>602</v>
      </c>
      <c r="F17" s="513" t="s">
        <v>603</v>
      </c>
      <c r="G17" s="458" t="s">
        <v>532</v>
      </c>
      <c r="H17" s="550"/>
      <c r="I17" s="550"/>
      <c r="J17" s="395" t="s">
        <v>604</v>
      </c>
      <c r="K17" s="534"/>
    </row>
    <row r="18" spans="1:31" ht="22.5" customHeight="1">
      <c r="D18" s="117"/>
      <c r="E18" s="619" t="s">
        <v>605</v>
      </c>
      <c r="F18" s="564" t="s">
        <v>606</v>
      </c>
      <c r="G18" s="458" t="s">
        <v>532</v>
      </c>
      <c r="H18" s="550"/>
      <c r="I18" s="550"/>
      <c r="J18" s="395" t="s">
        <v>607</v>
      </c>
      <c r="K18" s="534"/>
    </row>
    <row r="19" spans="1:31" ht="33.75" customHeight="1">
      <c r="D19" s="117"/>
      <c r="E19" s="619" t="s">
        <v>608</v>
      </c>
      <c r="F19" s="564" t="s">
        <v>609</v>
      </c>
      <c r="G19" s="458" t="s">
        <v>532</v>
      </c>
      <c r="H19" s="550"/>
      <c r="I19" s="550"/>
      <c r="J19" s="395"/>
      <c r="K19" s="534"/>
    </row>
    <row r="20" spans="1:31" ht="18.75" customHeight="1">
      <c r="D20" s="117"/>
      <c r="E20" s="619" t="s">
        <v>294</v>
      </c>
      <c r="F20" s="513" t="s">
        <v>610</v>
      </c>
      <c r="G20" s="458" t="s">
        <v>532</v>
      </c>
      <c r="H20" s="550"/>
      <c r="I20" s="550"/>
      <c r="J20" s="395" t="s">
        <v>611</v>
      </c>
      <c r="K20" s="534"/>
    </row>
    <row r="21" spans="1:31" ht="18.75" customHeight="1">
      <c r="D21" s="117"/>
      <c r="E21" s="619" t="s">
        <v>612</v>
      </c>
      <c r="F21" s="564" t="s">
        <v>613</v>
      </c>
      <c r="G21" s="458" t="s">
        <v>532</v>
      </c>
      <c r="H21" s="550"/>
      <c r="I21" s="550"/>
      <c r="J21" s="395"/>
      <c r="K21" s="534"/>
    </row>
    <row r="22" spans="1:31" ht="18.75" customHeight="1">
      <c r="D22" s="117"/>
      <c r="E22" s="619" t="s">
        <v>614</v>
      </c>
      <c r="F22" s="564" t="s">
        <v>615</v>
      </c>
      <c r="G22" s="458" t="s">
        <v>532</v>
      </c>
      <c r="H22" s="550"/>
      <c r="I22" s="550"/>
      <c r="J22" s="395"/>
      <c r="K22" s="534"/>
    </row>
    <row r="23" spans="1:31" ht="22.5" customHeight="1">
      <c r="D23" s="117"/>
      <c r="E23" s="619" t="s">
        <v>297</v>
      </c>
      <c r="F23" s="513" t="s">
        <v>616</v>
      </c>
      <c r="G23" s="458" t="s">
        <v>532</v>
      </c>
      <c r="H23" s="550"/>
      <c r="I23" s="550"/>
      <c r="J23" s="395" t="s">
        <v>617</v>
      </c>
      <c r="K23" s="534"/>
    </row>
    <row r="24" spans="1:31" ht="18.75" customHeight="1">
      <c r="D24" s="117"/>
      <c r="E24" s="619" t="s">
        <v>618</v>
      </c>
      <c r="F24" s="564" t="s">
        <v>619</v>
      </c>
      <c r="G24" s="458" t="s">
        <v>532</v>
      </c>
      <c r="H24" s="550"/>
      <c r="I24" s="550"/>
      <c r="J24" s="395"/>
      <c r="K24" s="534"/>
    </row>
    <row r="25" spans="1:31" ht="33.75" customHeight="1">
      <c r="D25" s="117"/>
      <c r="E25" s="619" t="s">
        <v>620</v>
      </c>
      <c r="F25" s="564" t="s">
        <v>621</v>
      </c>
      <c r="G25" s="458" t="s">
        <v>532</v>
      </c>
      <c r="H25" s="550"/>
      <c r="I25" s="550"/>
      <c r="J25" s="395"/>
      <c r="K25" s="534"/>
    </row>
    <row r="26" spans="1:31" ht="22.5" customHeight="1">
      <c r="D26" s="117"/>
      <c r="E26" s="619" t="s">
        <v>622</v>
      </c>
      <c r="F26" s="513" t="s">
        <v>623</v>
      </c>
      <c r="G26" s="458" t="s">
        <v>532</v>
      </c>
      <c r="H26" s="550"/>
      <c r="I26" s="550"/>
      <c r="J26" s="395" t="s">
        <v>624</v>
      </c>
      <c r="K26" s="534"/>
    </row>
    <row r="27" spans="1:31" ht="18.75" customHeight="1">
      <c r="D27" s="117"/>
      <c r="E27" s="620" t="s">
        <v>625</v>
      </c>
      <c r="F27" s="564" t="s">
        <v>626</v>
      </c>
      <c r="G27" s="458" t="s">
        <v>532</v>
      </c>
      <c r="H27" s="621"/>
      <c r="I27" s="621"/>
      <c r="J27" s="395"/>
      <c r="K27" s="534"/>
    </row>
    <row r="28" spans="1:31" ht="18.75" customHeight="1">
      <c r="D28" s="117"/>
      <c r="E28" s="620" t="s">
        <v>627</v>
      </c>
      <c r="F28" s="564" t="s">
        <v>628</v>
      </c>
      <c r="G28" s="458" t="s">
        <v>532</v>
      </c>
      <c r="H28" s="621"/>
      <c r="I28" s="621"/>
      <c r="J28" s="395"/>
      <c r="K28" s="534"/>
    </row>
    <row r="29" spans="1:31" ht="18.75" customHeight="1">
      <c r="D29" s="117"/>
      <c r="E29" s="620" t="s">
        <v>629</v>
      </c>
      <c r="F29" s="513" t="s">
        <v>630</v>
      </c>
      <c r="G29" s="458" t="s">
        <v>532</v>
      </c>
      <c r="H29" s="621"/>
      <c r="I29" s="621"/>
      <c r="J29" s="395"/>
      <c r="K29" s="534"/>
    </row>
    <row r="30" spans="1:31" ht="18.75" customHeight="1">
      <c r="D30" s="117"/>
      <c r="E30" s="620" t="s">
        <v>631</v>
      </c>
      <c r="F30" s="513" t="s">
        <v>632</v>
      </c>
      <c r="G30" s="458" t="s">
        <v>532</v>
      </c>
      <c r="H30" s="621"/>
      <c r="I30" s="621"/>
      <c r="J30" s="395"/>
      <c r="K30" s="534"/>
    </row>
    <row r="31" spans="1:31" ht="18.75" customHeight="1">
      <c r="D31" s="117"/>
      <c r="E31" s="620" t="s">
        <v>633</v>
      </c>
      <c r="F31" s="513" t="s">
        <v>634</v>
      </c>
      <c r="G31" s="458" t="s">
        <v>532</v>
      </c>
      <c r="H31" s="621"/>
      <c r="I31" s="621"/>
      <c r="J31" s="395"/>
      <c r="K31" s="534"/>
    </row>
    <row r="32" spans="1:31" s="49" customFormat="1" ht="22.5" customHeight="1">
      <c r="A32" s="529"/>
      <c r="C32" s="53"/>
      <c r="D32" s="117"/>
      <c r="E32" s="620" t="s">
        <v>635</v>
      </c>
      <c r="F32" s="513" t="s">
        <v>636</v>
      </c>
      <c r="G32" s="242" t="s">
        <v>532</v>
      </c>
      <c r="H32" s="571">
        <f>SUM(H33:H34)</f>
        <v>0</v>
      </c>
      <c r="I32" s="571">
        <f>SUM(I33:I34)</f>
        <v>0</v>
      </c>
      <c r="J32" s="395" t="s">
        <v>637</v>
      </c>
      <c r="K32" s="534"/>
      <c r="L32" s="53"/>
      <c r="M32" s="53"/>
      <c r="R32" s="53"/>
      <c r="U32" s="530"/>
      <c r="AA32" s="52"/>
      <c r="AB32" s="52"/>
      <c r="AC32" s="52"/>
      <c r="AD32" s="52"/>
      <c r="AE32" s="52"/>
    </row>
    <row r="33" spans="1:31" s="53" customFormat="1" ht="0.75" customHeight="1">
      <c r="A33" s="431"/>
      <c r="D33" s="431"/>
      <c r="E33" s="149" t="str">
        <f>E32&amp;".0"</f>
        <v>2.8.0</v>
      </c>
      <c r="F33" s="572"/>
      <c r="G33" s="149"/>
      <c r="H33" s="573"/>
      <c r="I33" s="573"/>
      <c r="J33" s="574"/>
    </row>
    <row r="34" spans="1:31" s="49" customFormat="1" ht="18.75" customHeight="1">
      <c r="A34" s="529"/>
      <c r="C34" s="53"/>
      <c r="D34" s="120"/>
      <c r="E34" s="561"/>
      <c r="F34" s="622" t="s">
        <v>557</v>
      </c>
      <c r="G34" s="562"/>
      <c r="H34" s="563"/>
      <c r="I34" s="563"/>
      <c r="J34" s="444" t="s">
        <v>638</v>
      </c>
      <c r="K34" s="534"/>
      <c r="L34" s="53"/>
      <c r="M34" s="53"/>
      <c r="R34" s="53"/>
      <c r="U34" s="530"/>
      <c r="AA34" s="52"/>
      <c r="AB34" s="52"/>
      <c r="AC34" s="52"/>
      <c r="AD34" s="52"/>
      <c r="AE34" s="52"/>
    </row>
    <row r="35" spans="1:31" ht="56.25" customHeight="1">
      <c r="D35" s="117"/>
      <c r="E35" s="620" t="s">
        <v>639</v>
      </c>
      <c r="F35" s="513" t="s">
        <v>640</v>
      </c>
      <c r="G35" s="458" t="s">
        <v>532</v>
      </c>
      <c r="H35" s="621"/>
      <c r="I35" s="621"/>
      <c r="J35" s="395" t="s">
        <v>641</v>
      </c>
      <c r="K35" s="534"/>
    </row>
    <row r="36" spans="1:31" s="49" customFormat="1" ht="22.5" customHeight="1">
      <c r="A36" s="566" t="s">
        <v>558</v>
      </c>
      <c r="C36" s="53"/>
      <c r="D36" s="117"/>
      <c r="E36" s="619" t="s">
        <v>86</v>
      </c>
      <c r="F36" s="549" t="s">
        <v>642</v>
      </c>
      <c r="G36" s="458" t="s">
        <v>532</v>
      </c>
      <c r="H36" s="550"/>
      <c r="I36" s="550"/>
      <c r="J36" s="395" t="s">
        <v>643</v>
      </c>
      <c r="K36" s="534"/>
      <c r="L36" s="53"/>
      <c r="M36" s="53"/>
      <c r="R36" s="53"/>
      <c r="U36" s="530"/>
      <c r="AA36" s="52"/>
      <c r="AB36" s="52"/>
      <c r="AC36" s="52"/>
      <c r="AD36" s="52"/>
      <c r="AE36" s="52"/>
    </row>
    <row r="37" spans="1:31" s="49" customFormat="1" ht="22.5" customHeight="1">
      <c r="A37" s="566"/>
      <c r="C37" s="53"/>
      <c r="D37" s="117"/>
      <c r="E37" s="619" t="s">
        <v>313</v>
      </c>
      <c r="F37" s="513" t="s">
        <v>644</v>
      </c>
      <c r="G37" s="458"/>
      <c r="H37" s="550"/>
      <c r="I37" s="550"/>
      <c r="J37" s="395"/>
      <c r="K37" s="534"/>
      <c r="L37" s="53"/>
      <c r="M37" s="53"/>
      <c r="R37" s="53"/>
      <c r="U37" s="530"/>
      <c r="AA37" s="52"/>
      <c r="AB37" s="52"/>
      <c r="AC37" s="52"/>
      <c r="AD37" s="52"/>
      <c r="AE37" s="52"/>
    </row>
    <row r="38" spans="1:31" s="49" customFormat="1" ht="18.75" customHeight="1">
      <c r="A38" s="529"/>
      <c r="C38" s="53"/>
      <c r="D38" s="567"/>
      <c r="E38" s="619" t="s">
        <v>87</v>
      </c>
      <c r="F38" s="549" t="s">
        <v>645</v>
      </c>
      <c r="G38" s="458" t="s">
        <v>532</v>
      </c>
      <c r="H38" s="550"/>
      <c r="I38" s="550"/>
      <c r="J38" s="395" t="s">
        <v>646</v>
      </c>
      <c r="K38" s="534"/>
      <c r="L38" s="53"/>
      <c r="M38" s="53"/>
      <c r="R38" s="53"/>
      <c r="U38" s="530"/>
      <c r="AA38" s="52"/>
      <c r="AB38" s="52"/>
      <c r="AC38" s="52"/>
      <c r="AD38" s="52"/>
      <c r="AE38" s="52"/>
    </row>
    <row r="39" spans="1:31" s="49" customFormat="1" ht="22.5" customHeight="1">
      <c r="A39" s="529"/>
      <c r="C39" s="53"/>
      <c r="D39" s="567"/>
      <c r="E39" s="619" t="s">
        <v>647</v>
      </c>
      <c r="F39" s="513" t="s">
        <v>648</v>
      </c>
      <c r="G39" s="458" t="s">
        <v>532</v>
      </c>
      <c r="H39" s="550"/>
      <c r="I39" s="550"/>
      <c r="J39" s="395" t="s">
        <v>649</v>
      </c>
      <c r="K39" s="534"/>
      <c r="L39" s="53"/>
      <c r="M39" s="53"/>
      <c r="R39" s="53"/>
      <c r="U39" s="530"/>
      <c r="AA39" s="52"/>
      <c r="AB39" s="52"/>
      <c r="AC39" s="52"/>
      <c r="AD39" s="52"/>
      <c r="AE39" s="52"/>
    </row>
    <row r="40" spans="1:31" s="49" customFormat="1" ht="22.5" customHeight="1">
      <c r="A40" s="529"/>
      <c r="C40" s="53"/>
      <c r="D40" s="117"/>
      <c r="E40" s="619" t="s">
        <v>650</v>
      </c>
      <c r="F40" s="564" t="s">
        <v>651</v>
      </c>
      <c r="G40" s="458" t="s">
        <v>532</v>
      </c>
      <c r="H40" s="550"/>
      <c r="I40" s="550"/>
      <c r="J40" s="395" t="s">
        <v>652</v>
      </c>
      <c r="K40" s="534"/>
      <c r="L40" s="53"/>
      <c r="M40" s="53"/>
      <c r="R40" s="53"/>
      <c r="U40" s="530"/>
      <c r="AA40" s="52"/>
      <c r="AB40" s="52"/>
      <c r="AC40" s="52"/>
      <c r="AD40" s="52"/>
      <c r="AE40" s="52"/>
    </row>
    <row r="41" spans="1:31" s="49" customFormat="1" ht="22.5" customHeight="1">
      <c r="A41" s="529"/>
      <c r="C41" s="53"/>
      <c r="D41" s="117"/>
      <c r="E41" s="619" t="s">
        <v>653</v>
      </c>
      <c r="F41" s="564" t="s">
        <v>654</v>
      </c>
      <c r="G41" s="458" t="s">
        <v>532</v>
      </c>
      <c r="H41" s="550"/>
      <c r="I41" s="550"/>
      <c r="J41" s="395" t="s">
        <v>655</v>
      </c>
      <c r="K41" s="534"/>
      <c r="L41" s="53"/>
      <c r="M41" s="53"/>
      <c r="R41" s="53"/>
      <c r="U41" s="530"/>
      <c r="AA41" s="52"/>
      <c r="AB41" s="52"/>
      <c r="AC41" s="52"/>
      <c r="AD41" s="52"/>
      <c r="AE41" s="52"/>
    </row>
    <row r="42" spans="1:31" s="49" customFormat="1" ht="22.5" customHeight="1">
      <c r="A42" s="529"/>
      <c r="C42" s="53"/>
      <c r="D42" s="117"/>
      <c r="E42" s="619" t="s">
        <v>656</v>
      </c>
      <c r="F42" s="564" t="s">
        <v>657</v>
      </c>
      <c r="G42" s="458" t="s">
        <v>532</v>
      </c>
      <c r="H42" s="550"/>
      <c r="I42" s="550"/>
      <c r="J42" s="395" t="s">
        <v>658</v>
      </c>
      <c r="K42" s="534"/>
      <c r="L42" s="53"/>
      <c r="M42" s="53"/>
      <c r="R42" s="53"/>
      <c r="U42" s="530"/>
      <c r="AA42" s="52"/>
      <c r="AB42" s="52"/>
      <c r="AC42" s="52"/>
      <c r="AD42" s="52"/>
      <c r="AE42" s="52"/>
    </row>
    <row r="43" spans="1:31" s="49" customFormat="1" ht="33.75" customHeight="1">
      <c r="A43" s="529"/>
      <c r="C43" s="53" t="s">
        <v>568</v>
      </c>
      <c r="D43" s="117"/>
      <c r="E43" s="619" t="s">
        <v>107</v>
      </c>
      <c r="F43" s="549" t="s">
        <v>659</v>
      </c>
      <c r="G43" s="148" t="s">
        <v>660</v>
      </c>
      <c r="H43" s="577"/>
      <c r="I43" s="577"/>
      <c r="J43" s="533" t="s">
        <v>661</v>
      </c>
      <c r="K43" s="534"/>
      <c r="L43" s="53"/>
      <c r="M43" s="53"/>
      <c r="R43" s="53"/>
      <c r="U43" s="530"/>
      <c r="AA43" s="52"/>
      <c r="AB43" s="52"/>
      <c r="AC43" s="52"/>
      <c r="AD43" s="52"/>
      <c r="AE43" s="52"/>
    </row>
    <row r="44" spans="1:31" s="49" customFormat="1" ht="22.5" customHeight="1">
      <c r="A44" s="529"/>
      <c r="C44" s="53"/>
      <c r="D44" s="117"/>
      <c r="E44" s="619" t="s">
        <v>88</v>
      </c>
      <c r="F44" s="549" t="s">
        <v>662</v>
      </c>
      <c r="G44" s="623" t="s">
        <v>663</v>
      </c>
      <c r="H44" s="541"/>
      <c r="I44" s="541"/>
      <c r="J44" s="395" t="s">
        <v>664</v>
      </c>
      <c r="K44" s="534"/>
      <c r="L44" s="53"/>
      <c r="M44" s="53"/>
      <c r="R44" s="53"/>
      <c r="U44" s="530"/>
      <c r="AA44" s="52"/>
      <c r="AB44" s="52"/>
      <c r="AC44" s="52"/>
      <c r="AD44" s="52"/>
      <c r="AE44" s="52"/>
    </row>
    <row r="45" spans="1:31" s="49" customFormat="1" ht="22.5" customHeight="1">
      <c r="A45" s="529"/>
      <c r="C45" s="53"/>
      <c r="D45" s="117"/>
      <c r="E45" s="619" t="s">
        <v>89</v>
      </c>
      <c r="F45" s="549" t="s">
        <v>665</v>
      </c>
      <c r="G45" s="458" t="s">
        <v>666</v>
      </c>
      <c r="H45" s="541"/>
      <c r="I45" s="541"/>
      <c r="J45" s="395" t="s">
        <v>667</v>
      </c>
      <c r="K45" s="534"/>
      <c r="L45" s="53"/>
      <c r="M45" s="53"/>
      <c r="R45" s="53"/>
      <c r="U45" s="530"/>
      <c r="AA45" s="52"/>
      <c r="AB45" s="52"/>
      <c r="AC45" s="52"/>
      <c r="AD45" s="52"/>
      <c r="AE45" s="52"/>
    </row>
    <row r="46" spans="1:31" s="49" customFormat="1" ht="18.75" customHeight="1">
      <c r="A46" s="529"/>
      <c r="C46" s="53"/>
      <c r="D46" s="117"/>
      <c r="E46" s="619" t="s">
        <v>108</v>
      </c>
      <c r="F46" s="549" t="s">
        <v>668</v>
      </c>
      <c r="G46" s="458" t="s">
        <v>570</v>
      </c>
      <c r="H46" s="568"/>
      <c r="I46" s="568"/>
      <c r="J46" s="395"/>
      <c r="K46" s="534"/>
      <c r="L46" s="53"/>
      <c r="M46" s="53"/>
      <c r="R46" s="53"/>
      <c r="U46" s="530"/>
      <c r="AA46" s="52"/>
      <c r="AB46" s="52"/>
      <c r="AC46" s="52"/>
      <c r="AD46" s="52"/>
      <c r="AE46" s="52"/>
    </row>
    <row r="47" spans="1:31" ht="11.25" customHeight="1">
      <c r="D47" s="117"/>
    </row>
    <row r="48" spans="1:31" ht="26.25" customHeight="1">
      <c r="D48" s="117"/>
      <c r="E48" s="387"/>
      <c r="F48" s="1171"/>
      <c r="G48" s="1171"/>
      <c r="H48" s="1171"/>
      <c r="I48" s="1171"/>
      <c r="J48" s="1171"/>
    </row>
    <row r="49" spans="1:31" s="123" customFormat="1" ht="37.5" customHeight="1">
      <c r="A49" s="529"/>
      <c r="B49" s="53"/>
      <c r="C49" s="53"/>
      <c r="F49" s="1171"/>
      <c r="G49" s="1171"/>
      <c r="H49" s="1171"/>
      <c r="I49" s="1171"/>
      <c r="J49" s="1171"/>
      <c r="K49" s="49"/>
      <c r="L49" s="53"/>
      <c r="M49" s="53"/>
      <c r="N49" s="49"/>
      <c r="O49" s="49"/>
      <c r="P49" s="49"/>
      <c r="Q49" s="49"/>
      <c r="R49" s="53"/>
      <c r="S49" s="49"/>
      <c r="T49" s="49"/>
      <c r="U49" s="530"/>
      <c r="V49" s="49"/>
      <c r="W49" s="49"/>
      <c r="X49" s="49"/>
      <c r="Y49" s="49"/>
      <c r="Z49" s="49"/>
      <c r="AA49" s="52"/>
      <c r="AB49" s="51"/>
      <c r="AC49" s="51"/>
      <c r="AD49" s="51"/>
      <c r="AE49" s="51"/>
    </row>
    <row r="50" spans="1:31" s="123" customFormat="1" ht="11.25" customHeight="1">
      <c r="A50" s="529"/>
      <c r="B50" s="53"/>
      <c r="C50" s="53"/>
      <c r="K50" s="49"/>
      <c r="L50" s="53"/>
      <c r="M50" s="53"/>
      <c r="N50" s="49"/>
      <c r="O50" s="49"/>
      <c r="P50" s="49"/>
      <c r="Q50" s="49"/>
      <c r="R50" s="53"/>
      <c r="S50" s="49"/>
      <c r="T50" s="49"/>
      <c r="U50" s="530"/>
      <c r="V50" s="49"/>
      <c r="W50" s="49"/>
      <c r="X50" s="49"/>
      <c r="Y50" s="49"/>
      <c r="Z50" s="49"/>
      <c r="AA50" s="52"/>
      <c r="AB50" s="51"/>
      <c r="AC50" s="51"/>
      <c r="AD50" s="51"/>
      <c r="AE50" s="51"/>
    </row>
    <row r="51" spans="1:31" s="123" customFormat="1" ht="11.25" customHeight="1">
      <c r="A51" s="529"/>
      <c r="B51" s="53"/>
      <c r="C51" s="53"/>
      <c r="K51" s="49"/>
      <c r="L51" s="53"/>
      <c r="M51" s="53"/>
      <c r="N51" s="49"/>
      <c r="O51" s="49"/>
      <c r="P51" s="49"/>
      <c r="Q51" s="49"/>
      <c r="R51" s="53"/>
      <c r="S51" s="49"/>
      <c r="T51" s="49"/>
      <c r="U51" s="530"/>
      <c r="V51" s="49"/>
      <c r="W51" s="49"/>
      <c r="X51" s="49"/>
      <c r="Y51" s="49"/>
      <c r="Z51" s="49"/>
      <c r="AA51" s="52"/>
      <c r="AB51" s="51"/>
      <c r="AC51" s="51"/>
      <c r="AD51" s="51"/>
      <c r="AE51" s="51"/>
    </row>
    <row r="52" spans="1:31" s="123" customFormat="1" ht="11.25" customHeight="1">
      <c r="A52" s="529"/>
      <c r="B52" s="53"/>
      <c r="C52" s="53"/>
      <c r="H52" s="51"/>
      <c r="I52" s="51"/>
      <c r="K52" s="49"/>
      <c r="L52" s="53"/>
      <c r="M52" s="53"/>
      <c r="N52" s="49"/>
      <c r="O52" s="49"/>
      <c r="P52" s="49"/>
      <c r="Q52" s="49"/>
      <c r="R52" s="53"/>
      <c r="S52" s="49"/>
      <c r="T52" s="49"/>
      <c r="U52" s="530"/>
      <c r="V52" s="49"/>
      <c r="W52" s="49"/>
      <c r="X52" s="49"/>
      <c r="Y52" s="49"/>
      <c r="Z52" s="49"/>
      <c r="AA52" s="52"/>
      <c r="AB52" s="51"/>
      <c r="AC52" s="51"/>
      <c r="AD52" s="51"/>
      <c r="AE52" s="51"/>
    </row>
    <row r="53" spans="1:31" s="123" customFormat="1" ht="11.25" customHeight="1">
      <c r="A53" s="529"/>
      <c r="B53" s="53"/>
      <c r="C53" s="53"/>
      <c r="K53" s="49"/>
      <c r="L53" s="53"/>
      <c r="M53" s="53"/>
      <c r="N53" s="49"/>
      <c r="O53" s="49"/>
      <c r="P53" s="49"/>
      <c r="Q53" s="49"/>
      <c r="R53" s="53"/>
      <c r="S53" s="49"/>
      <c r="T53" s="49"/>
      <c r="U53" s="530"/>
      <c r="V53" s="49"/>
      <c r="W53" s="49"/>
      <c r="X53" s="49"/>
      <c r="Y53" s="49"/>
      <c r="Z53" s="49"/>
      <c r="AA53" s="52"/>
      <c r="AB53" s="51"/>
      <c r="AC53" s="51"/>
      <c r="AD53" s="51"/>
      <c r="AE53" s="51"/>
    </row>
    <row r="54" spans="1:31" s="123" customFormat="1" ht="11.25" customHeight="1">
      <c r="A54" s="529"/>
      <c r="B54" s="53"/>
      <c r="C54" s="53"/>
      <c r="K54" s="49"/>
      <c r="L54" s="53"/>
      <c r="M54" s="53"/>
      <c r="N54" s="49"/>
      <c r="O54" s="49"/>
      <c r="P54" s="49"/>
      <c r="Q54" s="49"/>
      <c r="R54" s="53"/>
      <c r="S54" s="49"/>
      <c r="T54" s="49"/>
      <c r="U54" s="530"/>
      <c r="V54" s="49"/>
      <c r="W54" s="49"/>
      <c r="X54" s="49"/>
      <c r="Y54" s="49"/>
      <c r="Z54" s="49"/>
      <c r="AA54" s="52"/>
      <c r="AB54" s="51"/>
      <c r="AC54" s="51"/>
      <c r="AD54" s="51"/>
      <c r="AE54" s="51"/>
    </row>
    <row r="55" spans="1:31" s="123" customFormat="1" ht="11.25" customHeight="1">
      <c r="A55" s="529"/>
      <c r="B55" s="53"/>
      <c r="C55" s="53"/>
      <c r="K55" s="49"/>
      <c r="L55" s="53"/>
      <c r="M55" s="53"/>
      <c r="N55" s="49"/>
      <c r="O55" s="49"/>
      <c r="P55" s="49"/>
      <c r="Q55" s="49"/>
      <c r="R55" s="53"/>
      <c r="S55" s="49"/>
      <c r="T55" s="49"/>
      <c r="U55" s="530"/>
      <c r="V55" s="49"/>
      <c r="W55" s="49"/>
      <c r="X55" s="49"/>
      <c r="Y55" s="49"/>
      <c r="Z55" s="49"/>
      <c r="AA55" s="52"/>
      <c r="AB55" s="51"/>
      <c r="AC55" s="51"/>
      <c r="AD55" s="51"/>
      <c r="AE55" s="51"/>
    </row>
    <row r="56" spans="1:31" s="123" customFormat="1" ht="11.25" customHeight="1">
      <c r="A56" s="529"/>
      <c r="B56" s="53"/>
      <c r="C56" s="53"/>
      <c r="K56" s="49"/>
      <c r="L56" s="53"/>
      <c r="M56" s="53"/>
      <c r="N56" s="49"/>
      <c r="O56" s="49"/>
      <c r="P56" s="49"/>
      <c r="Q56" s="49"/>
      <c r="R56" s="53"/>
      <c r="S56" s="49"/>
      <c r="T56" s="49"/>
      <c r="U56" s="530"/>
      <c r="V56" s="49"/>
      <c r="W56" s="49"/>
      <c r="X56" s="49"/>
      <c r="Y56" s="49"/>
      <c r="Z56" s="49"/>
      <c r="AA56" s="52"/>
      <c r="AB56" s="51"/>
      <c r="AC56" s="51"/>
      <c r="AD56" s="51"/>
      <c r="AE56" s="51"/>
    </row>
    <row r="57" spans="1:31" s="123" customFormat="1" ht="11.25" customHeight="1">
      <c r="A57" s="529"/>
      <c r="B57" s="53"/>
      <c r="C57" s="53"/>
      <c r="K57" s="49"/>
      <c r="L57" s="53"/>
      <c r="M57" s="53"/>
      <c r="N57" s="49"/>
      <c r="O57" s="49"/>
      <c r="P57" s="49"/>
      <c r="Q57" s="49"/>
      <c r="R57" s="53"/>
      <c r="S57" s="49"/>
      <c r="T57" s="49"/>
      <c r="U57" s="530"/>
      <c r="V57" s="49"/>
      <c r="W57" s="49"/>
      <c r="X57" s="49"/>
      <c r="Y57" s="49"/>
      <c r="Z57" s="49"/>
      <c r="AA57" s="52"/>
      <c r="AB57" s="51"/>
      <c r="AC57" s="51"/>
      <c r="AD57" s="51"/>
      <c r="AE57" s="51"/>
    </row>
    <row r="58" spans="1:31" s="123" customFormat="1" ht="11.25" customHeight="1">
      <c r="A58" s="529"/>
      <c r="B58" s="53"/>
      <c r="C58" s="53"/>
      <c r="K58" s="49"/>
      <c r="L58" s="53"/>
      <c r="M58" s="53"/>
      <c r="N58" s="49"/>
      <c r="O58" s="49"/>
      <c r="P58" s="49"/>
      <c r="Q58" s="49"/>
      <c r="R58" s="53"/>
      <c r="S58" s="49"/>
      <c r="T58" s="49"/>
      <c r="U58" s="530"/>
      <c r="V58" s="49"/>
      <c r="W58" s="49"/>
      <c r="X58" s="49"/>
      <c r="Y58" s="49"/>
      <c r="Z58" s="49"/>
      <c r="AA58" s="52"/>
      <c r="AB58" s="51"/>
      <c r="AC58" s="51"/>
      <c r="AD58" s="51"/>
      <c r="AE58" s="51"/>
    </row>
    <row r="59" spans="1:31" s="123" customFormat="1" ht="11.25" customHeight="1">
      <c r="A59" s="529"/>
      <c r="B59" s="53"/>
      <c r="C59" s="53"/>
      <c r="K59" s="49"/>
      <c r="L59" s="53"/>
      <c r="M59" s="53"/>
      <c r="N59" s="49"/>
      <c r="O59" s="49"/>
      <c r="P59" s="49"/>
      <c r="Q59" s="49"/>
      <c r="R59" s="53"/>
      <c r="S59" s="49"/>
      <c r="T59" s="49"/>
      <c r="U59" s="530"/>
      <c r="V59" s="49"/>
      <c r="W59" s="49"/>
      <c r="X59" s="49"/>
      <c r="Y59" s="49"/>
      <c r="Z59" s="49"/>
      <c r="AA59" s="52"/>
      <c r="AB59" s="51"/>
      <c r="AC59" s="51"/>
      <c r="AD59" s="51"/>
      <c r="AE59" s="51"/>
    </row>
    <row r="60" spans="1:31" s="123" customFormat="1" ht="11.25" customHeight="1">
      <c r="A60" s="529"/>
      <c r="B60" s="53"/>
      <c r="C60" s="53"/>
      <c r="K60" s="49"/>
      <c r="L60" s="53"/>
      <c r="M60" s="53"/>
      <c r="N60" s="49"/>
      <c r="O60" s="49"/>
      <c r="P60" s="49"/>
      <c r="Q60" s="49"/>
      <c r="R60" s="53"/>
      <c r="S60" s="49"/>
      <c r="T60" s="49"/>
      <c r="U60" s="530"/>
      <c r="V60" s="49"/>
      <c r="W60" s="49"/>
      <c r="X60" s="49"/>
      <c r="Y60" s="49"/>
      <c r="Z60" s="49"/>
      <c r="AA60" s="52"/>
      <c r="AB60" s="51"/>
      <c r="AC60" s="51"/>
      <c r="AD60" s="51"/>
      <c r="AE60" s="51"/>
    </row>
    <row r="61" spans="1:31" s="123" customFormat="1" ht="11.25" customHeight="1">
      <c r="A61" s="529"/>
      <c r="B61" s="53"/>
      <c r="C61" s="53"/>
      <c r="K61" s="49"/>
      <c r="L61" s="53"/>
      <c r="M61" s="53"/>
      <c r="N61" s="49"/>
      <c r="O61" s="49"/>
      <c r="P61" s="49"/>
      <c r="Q61" s="49"/>
      <c r="R61" s="53"/>
      <c r="S61" s="49"/>
      <c r="T61" s="49"/>
      <c r="U61" s="530"/>
      <c r="V61" s="49"/>
      <c r="W61" s="49"/>
      <c r="X61" s="49"/>
      <c r="Y61" s="49"/>
      <c r="Z61" s="49"/>
      <c r="AA61" s="52"/>
      <c r="AB61" s="51"/>
      <c r="AC61" s="51"/>
      <c r="AD61" s="51"/>
      <c r="AE61" s="51"/>
    </row>
    <row r="62" spans="1:31" s="123" customFormat="1" ht="11.25" customHeight="1">
      <c r="A62" s="529"/>
      <c r="B62" s="53"/>
      <c r="C62" s="53"/>
      <c r="K62" s="49"/>
      <c r="L62" s="53"/>
      <c r="M62" s="53"/>
      <c r="N62" s="49"/>
      <c r="O62" s="49"/>
      <c r="P62" s="49"/>
      <c r="Q62" s="49"/>
      <c r="R62" s="53"/>
      <c r="S62" s="49"/>
      <c r="T62" s="49"/>
      <c r="U62" s="530"/>
      <c r="V62" s="49"/>
      <c r="W62" s="49"/>
      <c r="X62" s="49"/>
      <c r="Y62" s="49"/>
      <c r="Z62" s="49"/>
      <c r="AA62" s="52"/>
      <c r="AB62" s="51"/>
      <c r="AC62" s="51"/>
      <c r="AD62" s="51"/>
      <c r="AE62" s="51"/>
    </row>
    <row r="63" spans="1:31" s="123" customFormat="1" ht="11.25" customHeight="1">
      <c r="A63" s="529"/>
      <c r="B63" s="53"/>
      <c r="C63" s="53"/>
      <c r="K63" s="49"/>
      <c r="L63" s="53"/>
      <c r="M63" s="53"/>
      <c r="N63" s="49"/>
      <c r="O63" s="49"/>
      <c r="P63" s="49"/>
      <c r="Q63" s="49"/>
      <c r="R63" s="53"/>
      <c r="S63" s="49"/>
      <c r="T63" s="49"/>
      <c r="U63" s="530"/>
      <c r="V63" s="49"/>
      <c r="W63" s="49"/>
      <c r="X63" s="49"/>
      <c r="Y63" s="49"/>
      <c r="Z63" s="49"/>
      <c r="AA63" s="52"/>
      <c r="AB63" s="51"/>
      <c r="AC63" s="51"/>
      <c r="AD63" s="51"/>
      <c r="AE63" s="51"/>
    </row>
    <row r="64" spans="1:31" s="123" customFormat="1" ht="11.25" customHeight="1">
      <c r="A64" s="529"/>
      <c r="B64" s="53"/>
      <c r="C64" s="53"/>
      <c r="K64" s="49"/>
      <c r="L64" s="53"/>
      <c r="M64" s="53"/>
      <c r="N64" s="49"/>
      <c r="O64" s="49"/>
      <c r="P64" s="49"/>
      <c r="Q64" s="49"/>
      <c r="R64" s="53"/>
      <c r="S64" s="49"/>
      <c r="T64" s="49"/>
      <c r="U64" s="530"/>
      <c r="V64" s="49"/>
      <c r="W64" s="49"/>
      <c r="X64" s="49"/>
      <c r="Y64" s="49"/>
      <c r="Z64" s="49"/>
      <c r="AA64" s="52"/>
      <c r="AB64" s="51"/>
      <c r="AC64" s="51"/>
      <c r="AD64" s="51"/>
      <c r="AE64" s="51"/>
    </row>
    <row r="65" spans="1:31" s="123" customFormat="1" ht="11.25" customHeight="1">
      <c r="A65" s="529"/>
      <c r="B65" s="53"/>
      <c r="C65" s="53"/>
      <c r="K65" s="49"/>
      <c r="L65" s="53"/>
      <c r="M65" s="53"/>
      <c r="N65" s="49"/>
      <c r="O65" s="49"/>
      <c r="P65" s="49"/>
      <c r="Q65" s="49"/>
      <c r="R65" s="53"/>
      <c r="S65" s="49"/>
      <c r="T65" s="49"/>
      <c r="U65" s="530"/>
      <c r="V65" s="49"/>
      <c r="W65" s="49"/>
      <c r="X65" s="49"/>
      <c r="Y65" s="49"/>
      <c r="Z65" s="49"/>
      <c r="AA65" s="52"/>
      <c r="AB65" s="51"/>
      <c r="AC65" s="51"/>
      <c r="AD65" s="51"/>
      <c r="AE65" s="51"/>
    </row>
    <row r="66" spans="1:31" s="123" customFormat="1" ht="11.25" customHeight="1">
      <c r="A66" s="529"/>
      <c r="B66" s="53"/>
      <c r="C66" s="53"/>
      <c r="K66" s="49"/>
      <c r="L66" s="53"/>
      <c r="M66" s="53"/>
      <c r="N66" s="49"/>
      <c r="O66" s="49"/>
      <c r="P66" s="49"/>
      <c r="Q66" s="49"/>
      <c r="R66" s="53"/>
      <c r="S66" s="49"/>
      <c r="T66" s="49"/>
      <c r="U66" s="530"/>
      <c r="V66" s="49"/>
      <c r="W66" s="49"/>
      <c r="X66" s="49"/>
      <c r="Y66" s="49"/>
      <c r="Z66" s="49"/>
      <c r="AA66" s="52"/>
      <c r="AB66" s="51"/>
      <c r="AC66" s="51"/>
      <c r="AD66" s="51"/>
      <c r="AE66" s="51"/>
    </row>
    <row r="67" spans="1:31" s="123" customFormat="1" ht="11.25" customHeight="1">
      <c r="A67" s="529"/>
      <c r="B67" s="53"/>
      <c r="C67" s="53"/>
      <c r="K67" s="49"/>
      <c r="L67" s="53"/>
      <c r="M67" s="53"/>
      <c r="N67" s="49"/>
      <c r="O67" s="49"/>
      <c r="P67" s="49"/>
      <c r="Q67" s="49"/>
      <c r="R67" s="53"/>
      <c r="S67" s="49"/>
      <c r="T67" s="49"/>
      <c r="U67" s="530"/>
      <c r="V67" s="49"/>
      <c r="W67" s="49"/>
      <c r="X67" s="49"/>
      <c r="Y67" s="49"/>
      <c r="Z67" s="49"/>
      <c r="AA67" s="52"/>
      <c r="AB67" s="51"/>
      <c r="AC67" s="51"/>
      <c r="AD67" s="51"/>
      <c r="AE67" s="51"/>
    </row>
    <row r="68" spans="1:31" s="123" customFormat="1" ht="11.25" customHeight="1">
      <c r="A68" s="529"/>
      <c r="B68" s="53"/>
      <c r="C68" s="53"/>
      <c r="K68" s="49"/>
      <c r="L68" s="53"/>
      <c r="M68" s="53"/>
      <c r="N68" s="49"/>
      <c r="O68" s="49"/>
      <c r="P68" s="49"/>
      <c r="Q68" s="49"/>
      <c r="R68" s="53"/>
      <c r="S68" s="49"/>
      <c r="T68" s="49"/>
      <c r="U68" s="530"/>
      <c r="V68" s="49"/>
      <c r="W68" s="49"/>
      <c r="X68" s="49"/>
      <c r="Y68" s="49"/>
      <c r="Z68" s="49"/>
      <c r="AA68" s="52"/>
      <c r="AB68" s="51"/>
      <c r="AC68" s="51"/>
      <c r="AD68" s="51"/>
      <c r="AE68" s="51"/>
    </row>
    <row r="69" spans="1:31" s="123" customFormat="1" ht="11.25" customHeight="1">
      <c r="A69" s="529"/>
      <c r="B69" s="53"/>
      <c r="C69" s="53"/>
      <c r="K69" s="49"/>
      <c r="L69" s="53"/>
      <c r="M69" s="53"/>
      <c r="N69" s="49"/>
      <c r="O69" s="49"/>
      <c r="P69" s="49"/>
      <c r="Q69" s="49"/>
      <c r="R69" s="53"/>
      <c r="S69" s="49"/>
      <c r="T69" s="49"/>
      <c r="U69" s="530"/>
      <c r="V69" s="49"/>
      <c r="W69" s="49"/>
      <c r="X69" s="49"/>
      <c r="Y69" s="49"/>
      <c r="Z69" s="49"/>
      <c r="AA69" s="52"/>
      <c r="AB69" s="51"/>
      <c r="AC69" s="51"/>
      <c r="AD69" s="51"/>
      <c r="AE69" s="51"/>
    </row>
    <row r="70" spans="1:31" s="123" customFormat="1" ht="11.25" customHeight="1">
      <c r="A70" s="529"/>
      <c r="B70" s="53"/>
      <c r="C70" s="53"/>
      <c r="K70" s="49"/>
      <c r="L70" s="53"/>
      <c r="M70" s="53"/>
      <c r="N70" s="49"/>
      <c r="O70" s="49"/>
      <c r="P70" s="49"/>
      <c r="Q70" s="49"/>
      <c r="R70" s="53"/>
      <c r="S70" s="49"/>
      <c r="T70" s="49"/>
      <c r="U70" s="530"/>
      <c r="V70" s="49"/>
      <c r="W70" s="49"/>
      <c r="X70" s="49"/>
      <c r="Y70" s="49"/>
      <c r="Z70" s="49"/>
      <c r="AA70" s="52"/>
      <c r="AB70" s="51"/>
      <c r="AC70" s="51"/>
      <c r="AD70" s="51"/>
      <c r="AE70" s="51"/>
    </row>
    <row r="71" spans="1:31" s="123" customFormat="1" ht="11.25" customHeight="1">
      <c r="A71" s="529"/>
      <c r="B71" s="53"/>
      <c r="C71" s="53"/>
      <c r="K71" s="49"/>
      <c r="L71" s="53"/>
      <c r="M71" s="53"/>
      <c r="N71" s="49"/>
      <c r="O71" s="49"/>
      <c r="P71" s="49"/>
      <c r="Q71" s="49"/>
      <c r="R71" s="53"/>
      <c r="S71" s="49"/>
      <c r="T71" s="49"/>
      <c r="U71" s="530"/>
      <c r="V71" s="49"/>
      <c r="W71" s="49"/>
      <c r="X71" s="49"/>
      <c r="Y71" s="49"/>
      <c r="Z71" s="49"/>
      <c r="AA71" s="52"/>
      <c r="AB71" s="51"/>
      <c r="AC71" s="51"/>
      <c r="AD71" s="51"/>
      <c r="AE71" s="51"/>
    </row>
    <row r="72" spans="1:31" s="123" customFormat="1" ht="11.25" customHeight="1">
      <c r="A72" s="529"/>
      <c r="B72" s="53"/>
      <c r="C72" s="53"/>
      <c r="K72" s="49"/>
      <c r="L72" s="53"/>
      <c r="M72" s="53"/>
      <c r="N72" s="49"/>
      <c r="O72" s="49"/>
      <c r="P72" s="49"/>
      <c r="Q72" s="49"/>
      <c r="R72" s="53"/>
      <c r="S72" s="49"/>
      <c r="T72" s="49"/>
      <c r="U72" s="530"/>
      <c r="V72" s="49"/>
      <c r="W72" s="49"/>
      <c r="X72" s="49"/>
      <c r="Y72" s="49"/>
      <c r="Z72" s="49"/>
      <c r="AA72" s="52"/>
      <c r="AB72" s="51"/>
      <c r="AC72" s="51"/>
      <c r="AD72" s="51"/>
      <c r="AE72" s="51"/>
    </row>
    <row r="73" spans="1:31" s="123" customFormat="1" ht="11.25" customHeight="1">
      <c r="A73" s="529"/>
      <c r="B73" s="53"/>
      <c r="C73" s="53"/>
      <c r="K73" s="49"/>
      <c r="L73" s="53"/>
      <c r="M73" s="53"/>
      <c r="N73" s="49"/>
      <c r="O73" s="49"/>
      <c r="P73" s="49"/>
      <c r="Q73" s="49"/>
      <c r="R73" s="53"/>
      <c r="S73" s="49"/>
      <c r="T73" s="49"/>
      <c r="U73" s="530"/>
      <c r="V73" s="49"/>
      <c r="W73" s="49"/>
      <c r="X73" s="49"/>
      <c r="Y73" s="49"/>
      <c r="Z73" s="49"/>
      <c r="AA73" s="52"/>
      <c r="AB73" s="51"/>
      <c r="AC73" s="51"/>
      <c r="AD73" s="51"/>
      <c r="AE73" s="51"/>
    </row>
    <row r="74" spans="1:31" s="123" customFormat="1" ht="11.25" customHeight="1">
      <c r="A74" s="529"/>
      <c r="B74" s="53"/>
      <c r="C74" s="53"/>
      <c r="K74" s="49"/>
      <c r="L74" s="53"/>
      <c r="M74" s="53"/>
      <c r="N74" s="49"/>
      <c r="O74" s="49"/>
      <c r="P74" s="49"/>
      <c r="Q74" s="49"/>
      <c r="R74" s="53"/>
      <c r="S74" s="49"/>
      <c r="T74" s="49"/>
      <c r="U74" s="530"/>
      <c r="V74" s="49"/>
      <c r="W74" s="49"/>
      <c r="X74" s="49"/>
      <c r="Y74" s="49"/>
      <c r="Z74" s="49"/>
      <c r="AA74" s="52"/>
      <c r="AB74" s="51"/>
      <c r="AC74" s="51"/>
      <c r="AD74" s="51"/>
      <c r="AE74" s="51"/>
    </row>
    <row r="75" spans="1:31" s="123" customFormat="1" ht="11.25" customHeight="1">
      <c r="A75" s="529"/>
      <c r="B75" s="53"/>
      <c r="C75" s="53"/>
      <c r="K75" s="49"/>
      <c r="L75" s="53"/>
      <c r="M75" s="53"/>
      <c r="N75" s="49"/>
      <c r="O75" s="49"/>
      <c r="P75" s="49"/>
      <c r="Q75" s="49"/>
      <c r="R75" s="53"/>
      <c r="S75" s="49"/>
      <c r="T75" s="49"/>
      <c r="U75" s="530"/>
      <c r="V75" s="49"/>
      <c r="W75" s="49"/>
      <c r="X75" s="49"/>
      <c r="Y75" s="49"/>
      <c r="Z75" s="49"/>
      <c r="AA75" s="52"/>
      <c r="AB75" s="51"/>
      <c r="AC75" s="51"/>
      <c r="AD75" s="51"/>
      <c r="AE75" s="51"/>
    </row>
    <row r="76" spans="1:31" s="123" customFormat="1" ht="11.25" customHeight="1">
      <c r="A76" s="529"/>
      <c r="B76" s="53"/>
      <c r="C76" s="53"/>
      <c r="K76" s="49"/>
      <c r="L76" s="53"/>
      <c r="M76" s="53"/>
      <c r="N76" s="49"/>
      <c r="O76" s="49"/>
      <c r="P76" s="49"/>
      <c r="Q76" s="49"/>
      <c r="R76" s="53"/>
      <c r="S76" s="49"/>
      <c r="T76" s="49"/>
      <c r="U76" s="530"/>
      <c r="V76" s="49"/>
      <c r="W76" s="49"/>
      <c r="X76" s="49"/>
      <c r="Y76" s="49"/>
      <c r="Z76" s="49"/>
      <c r="AA76" s="52"/>
      <c r="AB76" s="51"/>
      <c r="AC76" s="51"/>
      <c r="AD76" s="51"/>
      <c r="AE76" s="51"/>
    </row>
    <row r="77" spans="1:31" s="123" customFormat="1" ht="11.25" customHeight="1">
      <c r="A77" s="529"/>
      <c r="B77" s="53"/>
      <c r="C77" s="53"/>
      <c r="K77" s="49"/>
      <c r="L77" s="53"/>
      <c r="M77" s="53"/>
      <c r="N77" s="49"/>
      <c r="O77" s="49"/>
      <c r="P77" s="49"/>
      <c r="Q77" s="49"/>
      <c r="R77" s="53"/>
      <c r="S77" s="49"/>
      <c r="T77" s="49"/>
      <c r="U77" s="530"/>
      <c r="V77" s="49"/>
      <c r="W77" s="49"/>
      <c r="X77" s="49"/>
      <c r="Y77" s="49"/>
      <c r="Z77" s="49"/>
      <c r="AA77" s="52"/>
      <c r="AB77" s="51"/>
      <c r="AC77" s="51"/>
      <c r="AD77" s="51"/>
      <c r="AE77" s="51"/>
    </row>
    <row r="78" spans="1:31" s="123" customFormat="1" ht="11.25" customHeight="1">
      <c r="A78" s="529"/>
      <c r="B78" s="53"/>
      <c r="C78" s="53"/>
      <c r="K78" s="49"/>
      <c r="L78" s="53"/>
      <c r="M78" s="53"/>
      <c r="N78" s="49"/>
      <c r="O78" s="49"/>
      <c r="P78" s="49"/>
      <c r="Q78" s="49"/>
      <c r="R78" s="53"/>
      <c r="S78" s="49"/>
      <c r="T78" s="49"/>
      <c r="U78" s="530"/>
      <c r="V78" s="49"/>
      <c r="W78" s="49"/>
      <c r="X78" s="49"/>
      <c r="Y78" s="49"/>
      <c r="Z78" s="49"/>
      <c r="AA78" s="52"/>
      <c r="AB78" s="51"/>
      <c r="AC78" s="51"/>
      <c r="AD78" s="51"/>
      <c r="AE78" s="51"/>
    </row>
    <row r="79" spans="1:31" s="123" customFormat="1" ht="11.25" customHeight="1">
      <c r="A79" s="529"/>
      <c r="B79" s="53"/>
      <c r="C79" s="53"/>
      <c r="K79" s="49"/>
      <c r="L79" s="53"/>
      <c r="M79" s="53"/>
      <c r="N79" s="49"/>
      <c r="O79" s="49"/>
      <c r="P79" s="49"/>
      <c r="Q79" s="49"/>
      <c r="R79" s="53"/>
      <c r="S79" s="49"/>
      <c r="T79" s="49"/>
      <c r="U79" s="530"/>
      <c r="V79" s="49"/>
      <c r="W79" s="49"/>
      <c r="X79" s="49"/>
      <c r="Y79" s="49"/>
      <c r="Z79" s="49"/>
      <c r="AA79" s="52"/>
      <c r="AB79" s="51"/>
      <c r="AC79" s="51"/>
      <c r="AD79" s="51"/>
      <c r="AE79" s="51"/>
    </row>
    <row r="80" spans="1:31" s="123" customFormat="1" ht="11.25" customHeight="1">
      <c r="A80" s="529"/>
      <c r="B80" s="53"/>
      <c r="C80" s="53"/>
      <c r="K80" s="49"/>
      <c r="L80" s="53"/>
      <c r="M80" s="53"/>
      <c r="N80" s="49"/>
      <c r="O80" s="49"/>
      <c r="P80" s="49"/>
      <c r="Q80" s="49"/>
      <c r="R80" s="53"/>
      <c r="S80" s="49"/>
      <c r="T80" s="49"/>
      <c r="U80" s="530"/>
      <c r="V80" s="49"/>
      <c r="W80" s="49"/>
      <c r="X80" s="49"/>
      <c r="Y80" s="49"/>
      <c r="Z80" s="49"/>
      <c r="AA80" s="52"/>
      <c r="AB80" s="51"/>
      <c r="AC80" s="51"/>
      <c r="AD80" s="51"/>
      <c r="AE80" s="51"/>
    </row>
    <row r="81" spans="1:31" s="123" customFormat="1" ht="11.25" customHeight="1">
      <c r="A81" s="529"/>
      <c r="B81" s="53"/>
      <c r="C81" s="53"/>
      <c r="K81" s="49"/>
      <c r="L81" s="53"/>
      <c r="M81" s="53"/>
      <c r="N81" s="49"/>
      <c r="O81" s="49"/>
      <c r="P81" s="49"/>
      <c r="Q81" s="49"/>
      <c r="R81" s="53"/>
      <c r="S81" s="49"/>
      <c r="T81" s="49"/>
      <c r="U81" s="530"/>
      <c r="V81" s="49"/>
      <c r="W81" s="49"/>
      <c r="X81" s="49"/>
      <c r="Y81" s="49"/>
      <c r="Z81" s="49"/>
      <c r="AA81" s="52"/>
      <c r="AB81" s="51"/>
      <c r="AC81" s="51"/>
      <c r="AD81" s="51"/>
      <c r="AE81" s="51"/>
    </row>
    <row r="82" spans="1:31" s="123" customFormat="1" ht="11.25" customHeight="1">
      <c r="A82" s="529"/>
      <c r="B82" s="53"/>
      <c r="C82" s="53"/>
      <c r="K82" s="49"/>
      <c r="L82" s="53"/>
      <c r="M82" s="53"/>
      <c r="N82" s="49"/>
      <c r="O82" s="49"/>
      <c r="P82" s="49"/>
      <c r="Q82" s="49"/>
      <c r="R82" s="53"/>
      <c r="S82" s="49"/>
      <c r="T82" s="49"/>
      <c r="U82" s="530"/>
      <c r="V82" s="49"/>
      <c r="W82" s="49"/>
      <c r="X82" s="49"/>
      <c r="Y82" s="49"/>
      <c r="Z82" s="49"/>
      <c r="AA82" s="52"/>
      <c r="AB82" s="51"/>
      <c r="AC82" s="51"/>
      <c r="AD82" s="51"/>
      <c r="AE82" s="51"/>
    </row>
    <row r="83" spans="1:31" s="123" customFormat="1" ht="11.25" customHeight="1">
      <c r="A83" s="529"/>
      <c r="B83" s="53"/>
      <c r="C83" s="53"/>
      <c r="K83" s="49"/>
      <c r="L83" s="53"/>
      <c r="M83" s="53"/>
      <c r="N83" s="49"/>
      <c r="O83" s="49"/>
      <c r="P83" s="49"/>
      <c r="Q83" s="49"/>
      <c r="R83" s="53"/>
      <c r="S83" s="49"/>
      <c r="T83" s="49"/>
      <c r="U83" s="530"/>
      <c r="V83" s="49"/>
      <c r="W83" s="49"/>
      <c r="X83" s="49"/>
      <c r="Y83" s="49"/>
      <c r="Z83" s="49"/>
      <c r="AA83" s="52"/>
      <c r="AB83" s="51"/>
      <c r="AC83" s="51"/>
      <c r="AD83" s="51"/>
      <c r="AE83" s="51"/>
    </row>
    <row r="84" spans="1:31" s="123" customFormat="1" ht="11.25" customHeight="1">
      <c r="A84" s="529"/>
      <c r="B84" s="53"/>
      <c r="C84" s="53"/>
      <c r="K84" s="49"/>
      <c r="L84" s="53"/>
      <c r="M84" s="53"/>
      <c r="N84" s="49"/>
      <c r="O84" s="49"/>
      <c r="P84" s="49"/>
      <c r="Q84" s="49"/>
      <c r="R84" s="53"/>
      <c r="S84" s="49"/>
      <c r="T84" s="49"/>
      <c r="U84" s="530"/>
      <c r="V84" s="49"/>
      <c r="W84" s="49"/>
      <c r="X84" s="49"/>
      <c r="Y84" s="49"/>
      <c r="Z84" s="49"/>
      <c r="AA84" s="52"/>
      <c r="AB84" s="51"/>
      <c r="AC84" s="51"/>
      <c r="AD84" s="51"/>
      <c r="AE84" s="51"/>
    </row>
    <row r="85" spans="1:31" s="123" customFormat="1" ht="11.25" customHeight="1">
      <c r="A85" s="529"/>
      <c r="B85" s="53"/>
      <c r="C85" s="53"/>
      <c r="K85" s="49"/>
      <c r="L85" s="53"/>
      <c r="M85" s="53"/>
      <c r="N85" s="49"/>
      <c r="O85" s="49"/>
      <c r="P85" s="49"/>
      <c r="Q85" s="49"/>
      <c r="R85" s="53"/>
      <c r="S85" s="49"/>
      <c r="T85" s="49"/>
      <c r="U85" s="530"/>
      <c r="V85" s="49"/>
      <c r="W85" s="49"/>
      <c r="X85" s="49"/>
      <c r="Y85" s="49"/>
      <c r="Z85" s="49"/>
      <c r="AA85" s="52"/>
      <c r="AB85" s="51"/>
      <c r="AC85" s="51"/>
      <c r="AD85" s="51"/>
      <c r="AE85" s="51"/>
    </row>
    <row r="86" spans="1:31" s="123" customFormat="1" ht="11.25" customHeight="1">
      <c r="A86" s="529"/>
      <c r="B86" s="53"/>
      <c r="C86" s="53"/>
      <c r="K86" s="49"/>
      <c r="L86" s="53"/>
      <c r="M86" s="53"/>
      <c r="N86" s="49"/>
      <c r="O86" s="49"/>
      <c r="P86" s="49"/>
      <c r="Q86" s="49"/>
      <c r="R86" s="53"/>
      <c r="S86" s="49"/>
      <c r="T86" s="49"/>
      <c r="U86" s="530"/>
      <c r="V86" s="49"/>
      <c r="W86" s="49"/>
      <c r="X86" s="49"/>
      <c r="Y86" s="49"/>
      <c r="Z86" s="49"/>
      <c r="AA86" s="52"/>
      <c r="AB86" s="51"/>
      <c r="AC86" s="51"/>
      <c r="AD86" s="51"/>
      <c r="AE86" s="51"/>
    </row>
    <row r="87" spans="1:31" s="123" customFormat="1" ht="11.25" customHeight="1">
      <c r="A87" s="529"/>
      <c r="B87" s="53"/>
      <c r="C87" s="53"/>
      <c r="K87" s="49"/>
      <c r="L87" s="53"/>
      <c r="M87" s="53"/>
      <c r="N87" s="49"/>
      <c r="O87" s="49"/>
      <c r="P87" s="49"/>
      <c r="Q87" s="49"/>
      <c r="R87" s="53"/>
      <c r="S87" s="49"/>
      <c r="T87" s="49"/>
      <c r="U87" s="530"/>
      <c r="V87" s="49"/>
      <c r="W87" s="49"/>
      <c r="X87" s="49"/>
      <c r="Y87" s="49"/>
      <c r="Z87" s="49"/>
      <c r="AA87" s="52"/>
      <c r="AB87" s="51"/>
      <c r="AC87" s="51"/>
      <c r="AD87" s="51"/>
      <c r="AE87" s="51"/>
    </row>
    <row r="88" spans="1:31" s="123" customFormat="1" ht="11.25" customHeight="1">
      <c r="A88" s="529"/>
      <c r="B88" s="53"/>
      <c r="C88" s="53"/>
      <c r="K88" s="49"/>
      <c r="L88" s="53"/>
      <c r="M88" s="53"/>
      <c r="N88" s="49"/>
      <c r="O88" s="49"/>
      <c r="P88" s="49"/>
      <c r="Q88" s="49"/>
      <c r="R88" s="53"/>
      <c r="S88" s="49"/>
      <c r="T88" s="49"/>
      <c r="U88" s="530"/>
      <c r="V88" s="49"/>
      <c r="W88" s="49"/>
      <c r="X88" s="49"/>
      <c r="Y88" s="49"/>
      <c r="Z88" s="49"/>
      <c r="AA88" s="52"/>
      <c r="AB88" s="51"/>
      <c r="AC88" s="51"/>
      <c r="AD88" s="51"/>
      <c r="AE88" s="51"/>
    </row>
    <row r="89" spans="1:31" s="123" customFormat="1" ht="11.25" customHeight="1">
      <c r="A89" s="529"/>
      <c r="B89" s="53"/>
      <c r="C89" s="53"/>
      <c r="K89" s="49"/>
      <c r="L89" s="53"/>
      <c r="M89" s="53"/>
      <c r="N89" s="49"/>
      <c r="O89" s="49"/>
      <c r="P89" s="49"/>
      <c r="Q89" s="49"/>
      <c r="R89" s="53"/>
      <c r="S89" s="49"/>
      <c r="T89" s="49"/>
      <c r="U89" s="530"/>
      <c r="V89" s="49"/>
      <c r="W89" s="49"/>
      <c r="X89" s="49"/>
      <c r="Y89" s="49"/>
      <c r="Z89" s="49"/>
      <c r="AA89" s="52"/>
      <c r="AB89" s="51"/>
      <c r="AC89" s="51"/>
      <c r="AD89" s="51"/>
      <c r="AE89" s="51"/>
    </row>
    <row r="90" spans="1:31" s="123" customFormat="1" ht="11.25" customHeight="1">
      <c r="A90" s="529"/>
      <c r="B90" s="53"/>
      <c r="C90" s="53"/>
      <c r="K90" s="49"/>
      <c r="L90" s="53"/>
      <c r="M90" s="53"/>
      <c r="N90" s="49"/>
      <c r="O90" s="49"/>
      <c r="P90" s="49"/>
      <c r="Q90" s="49"/>
      <c r="R90" s="53"/>
      <c r="S90" s="49"/>
      <c r="T90" s="49"/>
      <c r="U90" s="530"/>
      <c r="V90" s="49"/>
      <c r="W90" s="49"/>
      <c r="X90" s="49"/>
      <c r="Y90" s="49"/>
      <c r="Z90" s="49"/>
      <c r="AA90" s="52"/>
      <c r="AB90" s="51"/>
      <c r="AC90" s="51"/>
      <c r="AD90" s="51"/>
      <c r="AE90" s="51"/>
    </row>
    <row r="91" spans="1:31" s="123" customFormat="1" ht="11.25" customHeight="1">
      <c r="A91" s="529"/>
      <c r="B91" s="53"/>
      <c r="C91" s="53"/>
      <c r="K91" s="49"/>
      <c r="L91" s="53"/>
      <c r="M91" s="53"/>
      <c r="N91" s="49"/>
      <c r="O91" s="49"/>
      <c r="P91" s="49"/>
      <c r="Q91" s="49"/>
      <c r="R91" s="53"/>
      <c r="S91" s="49"/>
      <c r="T91" s="49"/>
      <c r="U91" s="530"/>
      <c r="V91" s="49"/>
      <c r="W91" s="49"/>
      <c r="X91" s="49"/>
      <c r="Y91" s="49"/>
      <c r="Z91" s="49"/>
      <c r="AA91" s="52"/>
      <c r="AB91" s="51"/>
      <c r="AC91" s="51"/>
      <c r="AD91" s="51"/>
      <c r="AE91" s="51"/>
    </row>
    <row r="92" spans="1:31" s="123" customFormat="1" ht="11.25" customHeight="1">
      <c r="A92" s="529"/>
      <c r="B92" s="53"/>
      <c r="C92" s="53"/>
      <c r="K92" s="49"/>
      <c r="L92" s="53"/>
      <c r="M92" s="53"/>
      <c r="N92" s="49"/>
      <c r="O92" s="49"/>
      <c r="P92" s="49"/>
      <c r="Q92" s="49"/>
      <c r="R92" s="53"/>
      <c r="S92" s="49"/>
      <c r="T92" s="49"/>
      <c r="U92" s="530"/>
      <c r="V92" s="49"/>
      <c r="W92" s="49"/>
      <c r="X92" s="49"/>
      <c r="Y92" s="49"/>
      <c r="Z92" s="49"/>
      <c r="AA92" s="52"/>
      <c r="AB92" s="51"/>
      <c r="AC92" s="51"/>
      <c r="AD92" s="51"/>
      <c r="AE92" s="51"/>
    </row>
    <row r="93" spans="1:31" s="123" customFormat="1" ht="11.25" customHeight="1">
      <c r="A93" s="529"/>
      <c r="B93" s="53"/>
      <c r="C93" s="53"/>
      <c r="K93" s="49"/>
      <c r="L93" s="53"/>
      <c r="M93" s="53"/>
      <c r="N93" s="49"/>
      <c r="O93" s="49"/>
      <c r="P93" s="49"/>
      <c r="Q93" s="49"/>
      <c r="R93" s="53"/>
      <c r="S93" s="49"/>
      <c r="T93" s="49"/>
      <c r="U93" s="530"/>
      <c r="V93" s="49"/>
      <c r="W93" s="49"/>
      <c r="X93" s="49"/>
      <c r="Y93" s="49"/>
      <c r="Z93" s="49"/>
      <c r="AA93" s="52"/>
      <c r="AB93" s="51"/>
      <c r="AC93" s="51"/>
      <c r="AD93" s="51"/>
      <c r="AE93" s="51"/>
    </row>
    <row r="94" spans="1:31" s="123" customFormat="1" ht="11.25" customHeight="1">
      <c r="A94" s="529"/>
      <c r="B94" s="53"/>
      <c r="C94" s="53"/>
      <c r="K94" s="49"/>
      <c r="L94" s="53"/>
      <c r="M94" s="53"/>
      <c r="N94" s="49"/>
      <c r="O94" s="49"/>
      <c r="P94" s="49"/>
      <c r="Q94" s="49"/>
      <c r="R94" s="53"/>
      <c r="S94" s="49"/>
      <c r="T94" s="49"/>
      <c r="U94" s="530"/>
      <c r="V94" s="49"/>
      <c r="W94" s="49"/>
      <c r="X94" s="49"/>
      <c r="Y94" s="49"/>
      <c r="Z94" s="49"/>
      <c r="AA94" s="52"/>
      <c r="AB94" s="51"/>
      <c r="AC94" s="51"/>
      <c r="AD94" s="51"/>
      <c r="AE94" s="51"/>
    </row>
    <row r="95" spans="1:31" s="123" customFormat="1" ht="11.25" customHeight="1">
      <c r="A95" s="529"/>
      <c r="B95" s="53"/>
      <c r="C95" s="53"/>
      <c r="K95" s="49"/>
      <c r="L95" s="53"/>
      <c r="M95" s="53"/>
      <c r="N95" s="49"/>
      <c r="O95" s="49"/>
      <c r="P95" s="49"/>
      <c r="Q95" s="49"/>
      <c r="R95" s="53"/>
      <c r="S95" s="49"/>
      <c r="T95" s="49"/>
      <c r="U95" s="530"/>
      <c r="V95" s="49"/>
      <c r="W95" s="49"/>
      <c r="X95" s="49"/>
      <c r="Y95" s="49"/>
      <c r="Z95" s="49"/>
      <c r="AA95" s="52"/>
      <c r="AB95" s="51"/>
      <c r="AC95" s="51"/>
      <c r="AD95" s="51"/>
      <c r="AE95" s="51"/>
    </row>
    <row r="96" spans="1:31" s="123" customFormat="1" ht="11.25" customHeight="1">
      <c r="A96" s="529"/>
      <c r="B96" s="53"/>
      <c r="C96" s="53"/>
      <c r="K96" s="49"/>
      <c r="L96" s="53"/>
      <c r="M96" s="53"/>
      <c r="N96" s="49"/>
      <c r="O96" s="49"/>
      <c r="P96" s="49"/>
      <c r="Q96" s="49"/>
      <c r="R96" s="53"/>
      <c r="S96" s="49"/>
      <c r="T96" s="49"/>
      <c r="U96" s="530"/>
      <c r="V96" s="49"/>
      <c r="W96" s="49"/>
      <c r="X96" s="49"/>
      <c r="Y96" s="49"/>
      <c r="Z96" s="49"/>
      <c r="AA96" s="52"/>
      <c r="AB96" s="51"/>
      <c r="AC96" s="51"/>
      <c r="AD96" s="51"/>
      <c r="AE96" s="51"/>
    </row>
    <row r="97" spans="1:31" s="123" customFormat="1" ht="11.25" customHeight="1">
      <c r="A97" s="529"/>
      <c r="B97" s="53"/>
      <c r="C97" s="53"/>
      <c r="K97" s="49"/>
      <c r="L97" s="53"/>
      <c r="M97" s="53"/>
      <c r="N97" s="49"/>
      <c r="O97" s="49"/>
      <c r="P97" s="49"/>
      <c r="Q97" s="49"/>
      <c r="R97" s="53"/>
      <c r="S97" s="49"/>
      <c r="T97" s="49"/>
      <c r="U97" s="530"/>
      <c r="V97" s="49"/>
      <c r="W97" s="49"/>
      <c r="X97" s="49"/>
      <c r="Y97" s="49"/>
      <c r="Z97" s="49"/>
      <c r="AA97" s="52"/>
      <c r="AB97" s="51"/>
      <c r="AC97" s="51"/>
      <c r="AD97" s="51"/>
      <c r="AE97" s="51"/>
    </row>
    <row r="98" spans="1:31" s="123" customFormat="1" ht="11.25" customHeight="1">
      <c r="A98" s="529"/>
      <c r="B98" s="53"/>
      <c r="C98" s="53"/>
      <c r="K98" s="49"/>
      <c r="L98" s="53"/>
      <c r="M98" s="53"/>
      <c r="N98" s="49"/>
      <c r="O98" s="49"/>
      <c r="P98" s="49"/>
      <c r="Q98" s="49"/>
      <c r="R98" s="53"/>
      <c r="S98" s="49"/>
      <c r="T98" s="49"/>
      <c r="U98" s="530"/>
      <c r="V98" s="49"/>
      <c r="W98" s="49"/>
      <c r="X98" s="49"/>
      <c r="Y98" s="49"/>
      <c r="Z98" s="49"/>
      <c r="AA98" s="52"/>
      <c r="AB98" s="51"/>
      <c r="AC98" s="51"/>
      <c r="AD98" s="51"/>
      <c r="AE98" s="51"/>
    </row>
    <row r="99" spans="1:31" s="123" customFormat="1" ht="11.25" customHeight="1">
      <c r="A99" s="529"/>
      <c r="B99" s="53"/>
      <c r="C99" s="53"/>
      <c r="K99" s="49"/>
      <c r="L99" s="53"/>
      <c r="M99" s="53"/>
      <c r="N99" s="49"/>
      <c r="O99" s="49"/>
      <c r="P99" s="49"/>
      <c r="Q99" s="49"/>
      <c r="R99" s="53"/>
      <c r="S99" s="49"/>
      <c r="T99" s="49"/>
      <c r="U99" s="530"/>
      <c r="V99" s="49"/>
      <c r="W99" s="49"/>
      <c r="X99" s="49"/>
      <c r="Y99" s="49"/>
      <c r="Z99" s="49"/>
      <c r="AA99" s="52"/>
      <c r="AB99" s="51"/>
      <c r="AC99" s="51"/>
      <c r="AD99" s="51"/>
      <c r="AE99" s="51"/>
    </row>
    <row r="100" spans="1:31" s="123" customFormat="1" ht="11.25" customHeight="1">
      <c r="A100" s="529"/>
      <c r="B100" s="53"/>
      <c r="C100" s="53"/>
      <c r="K100" s="49"/>
      <c r="L100" s="53"/>
      <c r="M100" s="53"/>
      <c r="N100" s="49"/>
      <c r="O100" s="49"/>
      <c r="P100" s="49"/>
      <c r="Q100" s="49"/>
      <c r="R100" s="53"/>
      <c r="S100" s="49"/>
      <c r="T100" s="49"/>
      <c r="U100" s="530"/>
      <c r="V100" s="49"/>
      <c r="W100" s="49"/>
      <c r="X100" s="49"/>
      <c r="Y100" s="49"/>
      <c r="Z100" s="49"/>
      <c r="AA100" s="52"/>
      <c r="AB100" s="51"/>
      <c r="AC100" s="51"/>
      <c r="AD100" s="51"/>
      <c r="AE100" s="51"/>
    </row>
    <row r="101" spans="1:31" s="123" customFormat="1" ht="11.25" customHeight="1">
      <c r="A101" s="529"/>
      <c r="B101" s="53"/>
      <c r="C101" s="53"/>
      <c r="K101" s="49"/>
      <c r="L101" s="53"/>
      <c r="M101" s="53"/>
      <c r="N101" s="49"/>
      <c r="O101" s="49"/>
      <c r="P101" s="49"/>
      <c r="Q101" s="49"/>
      <c r="R101" s="53"/>
      <c r="S101" s="49"/>
      <c r="T101" s="49"/>
      <c r="U101" s="530"/>
      <c r="V101" s="49"/>
      <c r="W101" s="49"/>
      <c r="X101" s="49"/>
      <c r="Y101" s="49"/>
      <c r="Z101" s="49"/>
      <c r="AA101" s="52"/>
      <c r="AB101" s="51"/>
      <c r="AC101" s="51"/>
      <c r="AD101" s="51"/>
      <c r="AE101" s="51"/>
    </row>
    <row r="102" spans="1:31" s="123" customFormat="1" ht="11.25" customHeight="1">
      <c r="A102" s="529"/>
      <c r="B102" s="53"/>
      <c r="C102" s="53"/>
      <c r="K102" s="49"/>
      <c r="L102" s="53"/>
      <c r="M102" s="53"/>
      <c r="N102" s="49"/>
      <c r="O102" s="49"/>
      <c r="P102" s="49"/>
      <c r="Q102" s="49"/>
      <c r="R102" s="53"/>
      <c r="S102" s="49"/>
      <c r="T102" s="49"/>
      <c r="U102" s="530"/>
      <c r="V102" s="49"/>
      <c r="W102" s="49"/>
      <c r="X102" s="49"/>
      <c r="Y102" s="49"/>
      <c r="Z102" s="49"/>
      <c r="AA102" s="52"/>
      <c r="AB102" s="51"/>
      <c r="AC102" s="51"/>
      <c r="AD102" s="51"/>
      <c r="AE102" s="51"/>
    </row>
    <row r="103" spans="1:31" s="123" customFormat="1" ht="11.25" customHeight="1">
      <c r="A103" s="529"/>
      <c r="B103" s="53"/>
      <c r="C103" s="53"/>
      <c r="K103" s="49"/>
      <c r="L103" s="53"/>
      <c r="M103" s="53"/>
      <c r="N103" s="49"/>
      <c r="O103" s="49"/>
      <c r="P103" s="49"/>
      <c r="Q103" s="49"/>
      <c r="R103" s="53"/>
      <c r="S103" s="49"/>
      <c r="T103" s="49"/>
      <c r="U103" s="530"/>
      <c r="V103" s="49"/>
      <c r="W103" s="49"/>
      <c r="X103" s="49"/>
      <c r="Y103" s="49"/>
      <c r="Z103" s="49"/>
      <c r="AA103" s="52"/>
      <c r="AB103" s="51"/>
      <c r="AC103" s="51"/>
      <c r="AD103" s="51"/>
      <c r="AE103" s="51"/>
    </row>
    <row r="104" spans="1:31" s="123" customFormat="1" ht="11.25" customHeight="1">
      <c r="A104" s="529"/>
      <c r="B104" s="53"/>
      <c r="C104" s="53"/>
      <c r="K104" s="49"/>
      <c r="L104" s="53"/>
      <c r="M104" s="53"/>
      <c r="N104" s="49"/>
      <c r="O104" s="49"/>
      <c r="P104" s="49"/>
      <c r="Q104" s="49"/>
      <c r="R104" s="53"/>
      <c r="S104" s="49"/>
      <c r="T104" s="49"/>
      <c r="U104" s="530"/>
      <c r="V104" s="49"/>
      <c r="W104" s="49"/>
      <c r="X104" s="49"/>
      <c r="Y104" s="49"/>
      <c r="Z104" s="49"/>
      <c r="AA104" s="52"/>
      <c r="AB104" s="51"/>
      <c r="AC104" s="51"/>
      <c r="AD104" s="51"/>
      <c r="AE104" s="51"/>
    </row>
    <row r="105" spans="1:31" s="123" customFormat="1" ht="11.25" customHeight="1">
      <c r="A105" s="529"/>
      <c r="B105" s="53"/>
      <c r="C105" s="53"/>
      <c r="K105" s="49"/>
      <c r="L105" s="53"/>
      <c r="M105" s="53"/>
      <c r="N105" s="49"/>
      <c r="O105" s="49"/>
      <c r="P105" s="49"/>
      <c r="Q105" s="49"/>
      <c r="R105" s="53"/>
      <c r="S105" s="49"/>
      <c r="T105" s="49"/>
      <c r="U105" s="530"/>
      <c r="V105" s="49"/>
      <c r="W105" s="49"/>
      <c r="X105" s="49"/>
      <c r="Y105" s="49"/>
      <c r="Z105" s="49"/>
      <c r="AA105" s="52"/>
      <c r="AB105" s="51"/>
      <c r="AC105" s="51"/>
      <c r="AD105" s="51"/>
      <c r="AE105" s="51"/>
    </row>
    <row r="106" spans="1:31" s="123" customFormat="1" ht="11.25" customHeight="1">
      <c r="A106" s="529"/>
      <c r="B106" s="53"/>
      <c r="C106" s="53"/>
      <c r="K106" s="49"/>
      <c r="L106" s="53"/>
      <c r="M106" s="53"/>
      <c r="N106" s="49"/>
      <c r="O106" s="49"/>
      <c r="P106" s="49"/>
      <c r="Q106" s="49"/>
      <c r="R106" s="53"/>
      <c r="S106" s="49"/>
      <c r="T106" s="49"/>
      <c r="U106" s="530"/>
      <c r="V106" s="49"/>
      <c r="W106" s="49"/>
      <c r="X106" s="49"/>
      <c r="Y106" s="49"/>
      <c r="Z106" s="49"/>
      <c r="AA106" s="52"/>
      <c r="AB106" s="51"/>
      <c r="AC106" s="51"/>
      <c r="AD106" s="51"/>
      <c r="AE106" s="51"/>
    </row>
    <row r="107" spans="1:31" s="123" customFormat="1" ht="11.25" customHeight="1">
      <c r="A107" s="529"/>
      <c r="B107" s="53"/>
      <c r="C107" s="53"/>
      <c r="K107" s="49"/>
      <c r="L107" s="53"/>
      <c r="M107" s="53"/>
      <c r="N107" s="49"/>
      <c r="O107" s="49"/>
      <c r="P107" s="49"/>
      <c r="Q107" s="49"/>
      <c r="R107" s="53"/>
      <c r="S107" s="49"/>
      <c r="T107" s="49"/>
      <c r="U107" s="530"/>
      <c r="V107" s="49"/>
      <c r="W107" s="49"/>
      <c r="X107" s="49"/>
      <c r="Y107" s="49"/>
      <c r="Z107" s="49"/>
      <c r="AA107" s="52"/>
      <c r="AB107" s="51"/>
      <c r="AC107" s="51"/>
      <c r="AD107" s="51"/>
      <c r="AE107" s="51"/>
    </row>
    <row r="108" spans="1:31" s="123" customFormat="1" ht="11.25" customHeight="1">
      <c r="A108" s="529"/>
      <c r="B108" s="53"/>
      <c r="C108" s="53"/>
      <c r="K108" s="49"/>
      <c r="L108" s="53"/>
      <c r="M108" s="53"/>
      <c r="N108" s="49"/>
      <c r="O108" s="49"/>
      <c r="P108" s="49"/>
      <c r="Q108" s="49"/>
      <c r="R108" s="53"/>
      <c r="S108" s="49"/>
      <c r="T108" s="49"/>
      <c r="U108" s="530"/>
      <c r="V108" s="49"/>
      <c r="W108" s="49"/>
      <c r="X108" s="49"/>
      <c r="Y108" s="49"/>
      <c r="Z108" s="49"/>
      <c r="AA108" s="52"/>
      <c r="AB108" s="51"/>
      <c r="AC108" s="51"/>
      <c r="AD108" s="51"/>
      <c r="AE108" s="51"/>
    </row>
    <row r="109" spans="1:31" s="123" customFormat="1" ht="11.25" customHeight="1">
      <c r="A109" s="529"/>
      <c r="B109" s="53"/>
      <c r="C109" s="53"/>
      <c r="K109" s="49"/>
      <c r="L109" s="53"/>
      <c r="M109" s="53"/>
      <c r="N109" s="49"/>
      <c r="O109" s="49"/>
      <c r="P109" s="49"/>
      <c r="Q109" s="49"/>
      <c r="R109" s="53"/>
      <c r="S109" s="49"/>
      <c r="T109" s="49"/>
      <c r="U109" s="530"/>
      <c r="V109" s="49"/>
      <c r="W109" s="49"/>
      <c r="X109" s="49"/>
      <c r="Y109" s="49"/>
      <c r="Z109" s="49"/>
      <c r="AA109" s="52"/>
      <c r="AB109" s="51"/>
      <c r="AC109" s="51"/>
      <c r="AD109" s="51"/>
      <c r="AE109" s="51"/>
    </row>
    <row r="110" spans="1:31" s="123" customFormat="1" ht="11.25" customHeight="1">
      <c r="A110" s="529"/>
      <c r="B110" s="53"/>
      <c r="C110" s="53"/>
      <c r="K110" s="49"/>
      <c r="L110" s="53"/>
      <c r="M110" s="53"/>
      <c r="N110" s="49"/>
      <c r="O110" s="49"/>
      <c r="P110" s="49"/>
      <c r="Q110" s="49"/>
      <c r="R110" s="53"/>
      <c r="S110" s="49"/>
      <c r="T110" s="49"/>
      <c r="U110" s="530"/>
      <c r="V110" s="49"/>
      <c r="W110" s="49"/>
      <c r="X110" s="49"/>
      <c r="Y110" s="49"/>
      <c r="Z110" s="49"/>
      <c r="AA110" s="52"/>
      <c r="AB110" s="51"/>
      <c r="AC110" s="51"/>
      <c r="AD110" s="51"/>
      <c r="AE110" s="51"/>
    </row>
    <row r="111" spans="1:31" s="123" customFormat="1" ht="11.25" customHeight="1">
      <c r="A111" s="529"/>
      <c r="B111" s="53"/>
      <c r="C111" s="53"/>
      <c r="K111" s="49"/>
      <c r="L111" s="53"/>
      <c r="M111" s="53"/>
      <c r="N111" s="49"/>
      <c r="O111" s="49"/>
      <c r="P111" s="49"/>
      <c r="Q111" s="49"/>
      <c r="R111" s="53"/>
      <c r="S111" s="49"/>
      <c r="T111" s="49"/>
      <c r="U111" s="530"/>
      <c r="V111" s="49"/>
      <c r="W111" s="49"/>
      <c r="X111" s="49"/>
      <c r="Y111" s="49"/>
      <c r="Z111" s="49"/>
      <c r="AA111" s="52"/>
      <c r="AB111" s="51"/>
      <c r="AC111" s="51"/>
      <c r="AD111" s="51"/>
      <c r="AE111" s="51"/>
    </row>
    <row r="112" spans="1:31" s="123" customFormat="1" ht="11.25" customHeight="1">
      <c r="A112" s="529"/>
      <c r="B112" s="53"/>
      <c r="C112" s="53"/>
      <c r="K112" s="49"/>
      <c r="L112" s="53"/>
      <c r="M112" s="53"/>
      <c r="N112" s="49"/>
      <c r="O112" s="49"/>
      <c r="P112" s="49"/>
      <c r="Q112" s="49"/>
      <c r="R112" s="53"/>
      <c r="S112" s="49"/>
      <c r="T112" s="49"/>
      <c r="U112" s="530"/>
      <c r="V112" s="49"/>
      <c r="W112" s="49"/>
      <c r="X112" s="49"/>
      <c r="Y112" s="49"/>
      <c r="Z112" s="49"/>
      <c r="AA112" s="52"/>
      <c r="AB112" s="51"/>
      <c r="AC112" s="51"/>
      <c r="AD112" s="51"/>
      <c r="AE112" s="51"/>
    </row>
    <row r="113" spans="1:31" s="123" customFormat="1" ht="11.25" customHeight="1">
      <c r="A113" s="529"/>
      <c r="B113" s="53"/>
      <c r="C113" s="53"/>
      <c r="K113" s="49"/>
      <c r="L113" s="53"/>
      <c r="M113" s="53"/>
      <c r="N113" s="49"/>
      <c r="O113" s="49"/>
      <c r="P113" s="49"/>
      <c r="Q113" s="49"/>
      <c r="R113" s="53"/>
      <c r="S113" s="49"/>
      <c r="T113" s="49"/>
      <c r="U113" s="530"/>
      <c r="V113" s="49"/>
      <c r="W113" s="49"/>
      <c r="X113" s="49"/>
      <c r="Y113" s="49"/>
      <c r="Z113" s="49"/>
      <c r="AA113" s="52"/>
      <c r="AB113" s="51"/>
      <c r="AC113" s="51"/>
      <c r="AD113" s="51"/>
      <c r="AE113" s="51"/>
    </row>
    <row r="114" spans="1:31" s="123" customFormat="1" ht="11.25" customHeight="1">
      <c r="A114" s="529"/>
      <c r="B114" s="53"/>
      <c r="C114" s="53"/>
      <c r="K114" s="49"/>
      <c r="L114" s="53"/>
      <c r="M114" s="53"/>
      <c r="N114" s="49"/>
      <c r="O114" s="49"/>
      <c r="P114" s="49"/>
      <c r="Q114" s="49"/>
      <c r="R114" s="53"/>
      <c r="S114" s="49"/>
      <c r="T114" s="49"/>
      <c r="U114" s="530"/>
      <c r="V114" s="49"/>
      <c r="W114" s="49"/>
      <c r="X114" s="49"/>
      <c r="Y114" s="49"/>
      <c r="Z114" s="49"/>
      <c r="AA114" s="52"/>
      <c r="AB114" s="51"/>
      <c r="AC114" s="51"/>
      <c r="AD114" s="51"/>
      <c r="AE114" s="51"/>
    </row>
    <row r="115" spans="1:31" s="123" customFormat="1" ht="11.25" customHeight="1">
      <c r="A115" s="529"/>
      <c r="B115" s="53"/>
      <c r="C115" s="53"/>
      <c r="K115" s="49"/>
      <c r="L115" s="53"/>
      <c r="M115" s="53"/>
      <c r="N115" s="49"/>
      <c r="O115" s="49"/>
      <c r="P115" s="49"/>
      <c r="Q115" s="49"/>
      <c r="R115" s="53"/>
      <c r="S115" s="49"/>
      <c r="T115" s="49"/>
      <c r="U115" s="530"/>
      <c r="V115" s="49"/>
      <c r="W115" s="49"/>
      <c r="X115" s="49"/>
      <c r="Y115" s="49"/>
      <c r="Z115" s="49"/>
      <c r="AA115" s="52"/>
      <c r="AB115" s="51"/>
      <c r="AC115" s="51"/>
      <c r="AD115" s="51"/>
      <c r="AE115" s="51"/>
    </row>
    <row r="116" spans="1:31" s="123" customFormat="1" ht="11.25" customHeight="1">
      <c r="A116" s="529"/>
      <c r="B116" s="53"/>
      <c r="C116" s="53"/>
      <c r="K116" s="49"/>
      <c r="L116" s="53"/>
      <c r="M116" s="53"/>
      <c r="N116" s="49"/>
      <c r="O116" s="49"/>
      <c r="P116" s="49"/>
      <c r="Q116" s="49"/>
      <c r="R116" s="53"/>
      <c r="S116" s="49"/>
      <c r="T116" s="49"/>
      <c r="U116" s="530"/>
      <c r="V116" s="49"/>
      <c r="W116" s="49"/>
      <c r="X116" s="49"/>
      <c r="Y116" s="49"/>
      <c r="Z116" s="49"/>
      <c r="AA116" s="52"/>
      <c r="AB116" s="51"/>
      <c r="AC116" s="51"/>
      <c r="AD116" s="51"/>
      <c r="AE116" s="51"/>
    </row>
    <row r="117" spans="1:31" s="123" customFormat="1" ht="11.25" customHeight="1">
      <c r="A117" s="529"/>
      <c r="B117" s="53"/>
      <c r="C117" s="53"/>
      <c r="K117" s="49"/>
      <c r="L117" s="53"/>
      <c r="M117" s="53"/>
      <c r="N117" s="49"/>
      <c r="O117" s="49"/>
      <c r="P117" s="49"/>
      <c r="Q117" s="49"/>
      <c r="R117" s="53"/>
      <c r="S117" s="49"/>
      <c r="T117" s="49"/>
      <c r="U117" s="530"/>
      <c r="V117" s="49"/>
      <c r="W117" s="49"/>
      <c r="X117" s="49"/>
      <c r="Y117" s="49"/>
      <c r="Z117" s="49"/>
      <c r="AA117" s="52"/>
      <c r="AB117" s="51"/>
      <c r="AC117" s="51"/>
      <c r="AD117" s="51"/>
      <c r="AE117" s="51"/>
    </row>
    <row r="118" spans="1:31" s="123" customFormat="1" ht="11.25" customHeight="1">
      <c r="A118" s="529"/>
      <c r="B118" s="53"/>
      <c r="C118" s="53"/>
      <c r="K118" s="49"/>
      <c r="L118" s="53"/>
      <c r="M118" s="53"/>
      <c r="N118" s="49"/>
      <c r="O118" s="49"/>
      <c r="P118" s="49"/>
      <c r="Q118" s="49"/>
      <c r="R118" s="53"/>
      <c r="S118" s="49"/>
      <c r="T118" s="49"/>
      <c r="U118" s="530"/>
      <c r="V118" s="49"/>
      <c r="W118" s="49"/>
      <c r="X118" s="49"/>
      <c r="Y118" s="49"/>
      <c r="Z118" s="49"/>
      <c r="AA118" s="52"/>
      <c r="AB118" s="51"/>
      <c r="AC118" s="51"/>
      <c r="AD118" s="51"/>
      <c r="AE118" s="51"/>
    </row>
    <row r="119" spans="1:31" s="123" customFormat="1" ht="11.25" customHeight="1">
      <c r="A119" s="529"/>
      <c r="B119" s="53"/>
      <c r="C119" s="53"/>
      <c r="K119" s="49"/>
      <c r="L119" s="53"/>
      <c r="M119" s="53"/>
      <c r="N119" s="49"/>
      <c r="O119" s="49"/>
      <c r="P119" s="49"/>
      <c r="Q119" s="49"/>
      <c r="R119" s="53"/>
      <c r="S119" s="49"/>
      <c r="T119" s="49"/>
      <c r="U119" s="530"/>
      <c r="V119" s="49"/>
      <c r="W119" s="49"/>
      <c r="X119" s="49"/>
      <c r="Y119" s="49"/>
      <c r="Z119" s="49"/>
      <c r="AA119" s="52"/>
      <c r="AB119" s="51"/>
      <c r="AC119" s="51"/>
      <c r="AD119" s="51"/>
      <c r="AE119" s="51"/>
    </row>
    <row r="120" spans="1:31" s="123" customFormat="1" ht="11.25" customHeight="1">
      <c r="A120" s="529"/>
      <c r="B120" s="53"/>
      <c r="C120" s="53"/>
      <c r="K120" s="49"/>
      <c r="L120" s="53"/>
      <c r="M120" s="53"/>
      <c r="N120" s="49"/>
      <c r="O120" s="49"/>
      <c r="P120" s="49"/>
      <c r="Q120" s="49"/>
      <c r="R120" s="53"/>
      <c r="S120" s="49"/>
      <c r="T120" s="49"/>
      <c r="U120" s="530"/>
      <c r="V120" s="49"/>
      <c r="W120" s="49"/>
      <c r="X120" s="49"/>
      <c r="Y120" s="49"/>
      <c r="Z120" s="49"/>
      <c r="AA120" s="52"/>
      <c r="AB120" s="51"/>
      <c r="AC120" s="51"/>
      <c r="AD120" s="51"/>
      <c r="AE120" s="51"/>
    </row>
    <row r="121" spans="1:31" s="123" customFormat="1" ht="11.25" customHeight="1">
      <c r="A121" s="529"/>
      <c r="B121" s="53"/>
      <c r="C121" s="53"/>
      <c r="K121" s="49"/>
      <c r="L121" s="53"/>
      <c r="M121" s="53"/>
      <c r="N121" s="49"/>
      <c r="O121" s="49"/>
      <c r="P121" s="49"/>
      <c r="Q121" s="49"/>
      <c r="R121" s="53"/>
      <c r="S121" s="49"/>
      <c r="T121" s="49"/>
      <c r="U121" s="530"/>
      <c r="V121" s="49"/>
      <c r="W121" s="49"/>
      <c r="X121" s="49"/>
      <c r="Y121" s="49"/>
      <c r="Z121" s="49"/>
      <c r="AA121" s="52"/>
      <c r="AB121" s="51"/>
      <c r="AC121" s="51"/>
      <c r="AD121" s="51"/>
      <c r="AE121" s="51"/>
    </row>
    <row r="122" spans="1:31" s="123" customFormat="1" ht="11.25" customHeight="1">
      <c r="A122" s="529"/>
      <c r="B122" s="53"/>
      <c r="C122" s="53"/>
      <c r="K122" s="49"/>
      <c r="L122" s="53"/>
      <c r="M122" s="53"/>
      <c r="N122" s="49"/>
      <c r="O122" s="49"/>
      <c r="P122" s="49"/>
      <c r="Q122" s="49"/>
      <c r="R122" s="53"/>
      <c r="S122" s="49"/>
      <c r="T122" s="49"/>
      <c r="U122" s="530"/>
      <c r="V122" s="49"/>
      <c r="W122" s="49"/>
      <c r="X122" s="49"/>
      <c r="Y122" s="49"/>
      <c r="Z122" s="49"/>
      <c r="AA122" s="52"/>
      <c r="AB122" s="51"/>
      <c r="AC122" s="51"/>
      <c r="AD122" s="51"/>
      <c r="AE122" s="51"/>
    </row>
    <row r="123" spans="1:31" s="123" customFormat="1" ht="11.25" customHeight="1">
      <c r="A123" s="529"/>
      <c r="B123" s="53"/>
      <c r="C123" s="53"/>
      <c r="K123" s="49"/>
      <c r="L123" s="53"/>
      <c r="M123" s="53"/>
      <c r="N123" s="49"/>
      <c r="O123" s="49"/>
      <c r="P123" s="49"/>
      <c r="Q123" s="49"/>
      <c r="R123" s="53"/>
      <c r="S123" s="49"/>
      <c r="T123" s="49"/>
      <c r="U123" s="530"/>
      <c r="V123" s="49"/>
      <c r="W123" s="49"/>
      <c r="X123" s="49"/>
      <c r="Y123" s="49"/>
      <c r="Z123" s="49"/>
      <c r="AA123" s="52"/>
      <c r="AB123" s="51"/>
      <c r="AC123" s="51"/>
      <c r="AD123" s="51"/>
      <c r="AE123" s="51"/>
    </row>
    <row r="124" spans="1:31" s="123" customFormat="1" ht="11.25" customHeight="1">
      <c r="A124" s="529"/>
      <c r="B124" s="53"/>
      <c r="C124" s="53"/>
      <c r="K124" s="49"/>
      <c r="L124" s="53"/>
      <c r="M124" s="53"/>
      <c r="N124" s="49"/>
      <c r="O124" s="49"/>
      <c r="P124" s="49"/>
      <c r="Q124" s="49"/>
      <c r="R124" s="53"/>
      <c r="S124" s="49"/>
      <c r="T124" s="49"/>
      <c r="U124" s="530"/>
      <c r="V124" s="49"/>
      <c r="W124" s="49"/>
      <c r="X124" s="49"/>
      <c r="Y124" s="49"/>
      <c r="Z124" s="49"/>
      <c r="AA124" s="52"/>
      <c r="AB124" s="51"/>
      <c r="AC124" s="51"/>
      <c r="AD124" s="51"/>
      <c r="AE124" s="51"/>
    </row>
    <row r="125" spans="1:31" s="123" customFormat="1" ht="11.25" customHeight="1">
      <c r="A125" s="529"/>
      <c r="B125" s="53"/>
      <c r="C125" s="53"/>
      <c r="K125" s="49"/>
      <c r="L125" s="53"/>
      <c r="M125" s="53"/>
      <c r="N125" s="49"/>
      <c r="O125" s="49"/>
      <c r="P125" s="49"/>
      <c r="Q125" s="49"/>
      <c r="R125" s="53"/>
      <c r="S125" s="49"/>
      <c r="T125" s="49"/>
      <c r="U125" s="530"/>
      <c r="V125" s="49"/>
      <c r="W125" s="49"/>
      <c r="X125" s="49"/>
      <c r="Y125" s="49"/>
      <c r="Z125" s="49"/>
      <c r="AA125" s="52"/>
      <c r="AB125" s="51"/>
      <c r="AC125" s="51"/>
      <c r="AD125" s="51"/>
      <c r="AE125" s="51"/>
    </row>
    <row r="126" spans="1:31" s="123" customFormat="1" ht="11.25" customHeight="1">
      <c r="A126" s="529"/>
      <c r="B126" s="53"/>
      <c r="C126" s="53"/>
      <c r="K126" s="49"/>
      <c r="L126" s="53"/>
      <c r="M126" s="53"/>
      <c r="N126" s="49"/>
      <c r="O126" s="49"/>
      <c r="P126" s="49"/>
      <c r="Q126" s="49"/>
      <c r="R126" s="53"/>
      <c r="S126" s="49"/>
      <c r="T126" s="49"/>
      <c r="U126" s="530"/>
      <c r="V126" s="49"/>
      <c r="W126" s="49"/>
      <c r="X126" s="49"/>
      <c r="Y126" s="49"/>
      <c r="Z126" s="49"/>
      <c r="AA126" s="52"/>
      <c r="AB126" s="51"/>
      <c r="AC126" s="51"/>
      <c r="AD126" s="51"/>
      <c r="AE126" s="51"/>
    </row>
    <row r="127" spans="1:31" s="123" customFormat="1" ht="11.25" customHeight="1">
      <c r="A127" s="529"/>
      <c r="B127" s="53"/>
      <c r="C127" s="53"/>
      <c r="K127" s="49"/>
      <c r="L127" s="53"/>
      <c r="M127" s="53"/>
      <c r="N127" s="49"/>
      <c r="O127" s="49"/>
      <c r="P127" s="49"/>
      <c r="Q127" s="49"/>
      <c r="R127" s="53"/>
      <c r="S127" s="49"/>
      <c r="T127" s="49"/>
      <c r="U127" s="530"/>
      <c r="V127" s="49"/>
      <c r="W127" s="49"/>
      <c r="X127" s="49"/>
      <c r="Y127" s="49"/>
      <c r="Z127" s="49"/>
      <c r="AA127" s="52"/>
      <c r="AB127" s="51"/>
      <c r="AC127" s="51"/>
      <c r="AD127" s="51"/>
      <c r="AE127" s="51"/>
    </row>
    <row r="128" spans="1:31" s="123" customFormat="1" ht="11.25" customHeight="1">
      <c r="A128" s="529"/>
      <c r="B128" s="53"/>
      <c r="C128" s="53"/>
      <c r="K128" s="49"/>
      <c r="L128" s="53"/>
      <c r="M128" s="53"/>
      <c r="N128" s="49"/>
      <c r="O128" s="49"/>
      <c r="P128" s="49"/>
      <c r="Q128" s="49"/>
      <c r="R128" s="53"/>
      <c r="S128" s="49"/>
      <c r="T128" s="49"/>
      <c r="U128" s="530"/>
      <c r="V128" s="49"/>
      <c r="W128" s="49"/>
      <c r="X128" s="49"/>
      <c r="Y128" s="49"/>
      <c r="Z128" s="49"/>
      <c r="AA128" s="52"/>
      <c r="AB128" s="51"/>
      <c r="AC128" s="51"/>
      <c r="AD128" s="51"/>
      <c r="AE128" s="51"/>
    </row>
    <row r="129" spans="1:31" s="123" customFormat="1" ht="11.25" customHeight="1">
      <c r="A129" s="529"/>
      <c r="B129" s="53"/>
      <c r="C129" s="53"/>
      <c r="K129" s="49"/>
      <c r="L129" s="53"/>
      <c r="M129" s="53"/>
      <c r="N129" s="49"/>
      <c r="O129" s="49"/>
      <c r="P129" s="49"/>
      <c r="Q129" s="49"/>
      <c r="R129" s="53"/>
      <c r="S129" s="49"/>
      <c r="T129" s="49"/>
      <c r="U129" s="530"/>
      <c r="V129" s="49"/>
      <c r="W129" s="49"/>
      <c r="X129" s="49"/>
      <c r="Y129" s="49"/>
      <c r="Z129" s="49"/>
      <c r="AA129" s="52"/>
      <c r="AB129" s="51"/>
      <c r="AC129" s="51"/>
      <c r="AD129" s="51"/>
      <c r="AE129" s="51"/>
    </row>
    <row r="130" spans="1:31" s="123" customFormat="1" ht="11.25" customHeight="1">
      <c r="A130" s="529"/>
      <c r="B130" s="53"/>
      <c r="C130" s="53"/>
      <c r="K130" s="49"/>
      <c r="L130" s="53"/>
      <c r="M130" s="53"/>
      <c r="N130" s="49"/>
      <c r="O130" s="49"/>
      <c r="P130" s="49"/>
      <c r="Q130" s="49"/>
      <c r="R130" s="53"/>
      <c r="S130" s="49"/>
      <c r="T130" s="49"/>
      <c r="U130" s="530"/>
      <c r="V130" s="49"/>
      <c r="W130" s="49"/>
      <c r="X130" s="49"/>
      <c r="Y130" s="49"/>
      <c r="Z130" s="49"/>
      <c r="AA130" s="52"/>
      <c r="AB130" s="51"/>
      <c r="AC130" s="51"/>
      <c r="AD130" s="51"/>
      <c r="AE130" s="51"/>
    </row>
    <row r="131" spans="1:31" s="123" customFormat="1" ht="11.25" customHeight="1">
      <c r="A131" s="529"/>
      <c r="B131" s="53"/>
      <c r="C131" s="53"/>
      <c r="K131" s="49"/>
      <c r="L131" s="53"/>
      <c r="M131" s="53"/>
      <c r="N131" s="49"/>
      <c r="O131" s="49"/>
      <c r="P131" s="49"/>
      <c r="Q131" s="49"/>
      <c r="R131" s="53"/>
      <c r="S131" s="49"/>
      <c r="T131" s="49"/>
      <c r="U131" s="530"/>
      <c r="V131" s="49"/>
      <c r="W131" s="49"/>
      <c r="X131" s="49"/>
      <c r="Y131" s="49"/>
      <c r="Z131" s="49"/>
      <c r="AA131" s="52"/>
      <c r="AB131" s="51"/>
      <c r="AC131" s="51"/>
      <c r="AD131" s="51"/>
      <c r="AE131" s="51"/>
    </row>
    <row r="132" spans="1:31" s="123" customFormat="1" ht="11.25" customHeight="1">
      <c r="A132" s="529"/>
      <c r="B132" s="53"/>
      <c r="C132" s="53"/>
      <c r="K132" s="49"/>
      <c r="L132" s="53"/>
      <c r="M132" s="53"/>
      <c r="N132" s="49"/>
      <c r="O132" s="49"/>
      <c r="P132" s="49"/>
      <c r="Q132" s="49"/>
      <c r="R132" s="53"/>
      <c r="S132" s="49"/>
      <c r="T132" s="49"/>
      <c r="U132" s="530"/>
      <c r="V132" s="49"/>
      <c r="W132" s="49"/>
      <c r="X132" s="49"/>
      <c r="Y132" s="49"/>
      <c r="Z132" s="49"/>
      <c r="AA132" s="52"/>
      <c r="AB132" s="51"/>
      <c r="AC132" s="51"/>
      <c r="AD132" s="51"/>
      <c r="AE132" s="51"/>
    </row>
    <row r="133" spans="1:31" s="123" customFormat="1" ht="11.25" customHeight="1">
      <c r="A133" s="529"/>
      <c r="B133" s="53"/>
      <c r="C133" s="53"/>
      <c r="K133" s="49"/>
      <c r="L133" s="53"/>
      <c r="M133" s="53"/>
      <c r="N133" s="49"/>
      <c r="O133" s="49"/>
      <c r="P133" s="49"/>
      <c r="Q133" s="49"/>
      <c r="R133" s="53"/>
      <c r="S133" s="49"/>
      <c r="T133" s="49"/>
      <c r="U133" s="530"/>
      <c r="V133" s="49"/>
      <c r="W133" s="49"/>
      <c r="X133" s="49"/>
      <c r="Y133" s="49"/>
      <c r="Z133" s="49"/>
      <c r="AA133" s="52"/>
      <c r="AB133" s="51"/>
      <c r="AC133" s="51"/>
      <c r="AD133" s="51"/>
      <c r="AE133" s="51"/>
    </row>
    <row r="134" spans="1:31" s="123" customFormat="1" ht="11.25" customHeight="1">
      <c r="A134" s="529"/>
      <c r="B134" s="53"/>
      <c r="C134" s="53"/>
      <c r="K134" s="49"/>
      <c r="L134" s="53"/>
      <c r="M134" s="53"/>
      <c r="N134" s="49"/>
      <c r="O134" s="49"/>
      <c r="P134" s="49"/>
      <c r="Q134" s="49"/>
      <c r="R134" s="53"/>
      <c r="S134" s="49"/>
      <c r="T134" s="49"/>
      <c r="U134" s="530"/>
      <c r="V134" s="49"/>
      <c r="W134" s="49"/>
      <c r="X134" s="49"/>
      <c r="Y134" s="49"/>
      <c r="Z134" s="49"/>
      <c r="AA134" s="52"/>
      <c r="AB134" s="51"/>
      <c r="AC134" s="51"/>
      <c r="AD134" s="51"/>
      <c r="AE134" s="51"/>
    </row>
    <row r="135" spans="1:31" s="123" customFormat="1" ht="11.25" customHeight="1">
      <c r="A135" s="529"/>
      <c r="B135" s="53"/>
      <c r="C135" s="53"/>
      <c r="K135" s="49"/>
      <c r="L135" s="53"/>
      <c r="M135" s="53"/>
      <c r="N135" s="49"/>
      <c r="O135" s="49"/>
      <c r="P135" s="49"/>
      <c r="Q135" s="49"/>
      <c r="R135" s="53"/>
      <c r="S135" s="49"/>
      <c r="T135" s="49"/>
      <c r="U135" s="530"/>
      <c r="V135" s="49"/>
      <c r="W135" s="49"/>
      <c r="X135" s="49"/>
      <c r="Y135" s="49"/>
      <c r="Z135" s="49"/>
      <c r="AA135" s="52"/>
      <c r="AB135" s="51"/>
      <c r="AC135" s="51"/>
      <c r="AD135" s="51"/>
      <c r="AE135" s="51"/>
    </row>
    <row r="136" spans="1:31" s="123" customFormat="1" ht="11.25" customHeight="1">
      <c r="A136" s="529"/>
      <c r="B136" s="53"/>
      <c r="C136" s="53"/>
      <c r="K136" s="49"/>
      <c r="L136" s="53"/>
      <c r="M136" s="53"/>
      <c r="N136" s="49"/>
      <c r="O136" s="49"/>
      <c r="P136" s="49"/>
      <c r="Q136" s="49"/>
      <c r="R136" s="53"/>
      <c r="S136" s="49"/>
      <c r="T136" s="49"/>
      <c r="U136" s="530"/>
      <c r="V136" s="49"/>
      <c r="W136" s="49"/>
      <c r="X136" s="49"/>
      <c r="Y136" s="49"/>
      <c r="Z136" s="49"/>
      <c r="AA136" s="52"/>
      <c r="AB136" s="51"/>
      <c r="AC136" s="51"/>
      <c r="AD136" s="51"/>
      <c r="AE136" s="51"/>
    </row>
    <row r="137" spans="1:31" s="123" customFormat="1" ht="11.25" customHeight="1">
      <c r="A137" s="529"/>
      <c r="B137" s="53"/>
      <c r="C137" s="53"/>
      <c r="K137" s="49"/>
      <c r="L137" s="53"/>
      <c r="M137" s="53"/>
      <c r="N137" s="49"/>
      <c r="O137" s="49"/>
      <c r="P137" s="49"/>
      <c r="Q137" s="49"/>
      <c r="R137" s="53"/>
      <c r="S137" s="49"/>
      <c r="T137" s="49"/>
      <c r="U137" s="530"/>
      <c r="V137" s="49"/>
      <c r="W137" s="49"/>
      <c r="X137" s="49"/>
      <c r="Y137" s="49"/>
      <c r="Z137" s="49"/>
      <c r="AA137" s="52"/>
      <c r="AB137" s="51"/>
      <c r="AC137" s="51"/>
      <c r="AD137" s="51"/>
      <c r="AE137" s="51"/>
    </row>
    <row r="138" spans="1:31" s="123" customFormat="1" ht="11.25" customHeight="1">
      <c r="A138" s="529"/>
      <c r="B138" s="53"/>
      <c r="C138" s="53"/>
      <c r="K138" s="49"/>
      <c r="L138" s="53"/>
      <c r="M138" s="53"/>
      <c r="N138" s="49"/>
      <c r="O138" s="49"/>
      <c r="P138" s="49"/>
      <c r="Q138" s="49"/>
      <c r="R138" s="53"/>
      <c r="S138" s="49"/>
      <c r="T138" s="49"/>
      <c r="U138" s="530"/>
      <c r="V138" s="49"/>
      <c r="W138" s="49"/>
      <c r="X138" s="49"/>
      <c r="Y138" s="49"/>
      <c r="Z138" s="49"/>
      <c r="AA138" s="52"/>
      <c r="AB138" s="51"/>
      <c r="AC138" s="51"/>
      <c r="AD138" s="51"/>
      <c r="AE138" s="51"/>
    </row>
    <row r="139" spans="1:31" s="123" customFormat="1" ht="11.25" customHeight="1">
      <c r="A139" s="529"/>
      <c r="B139" s="53"/>
      <c r="C139" s="53"/>
      <c r="K139" s="49"/>
      <c r="L139" s="53"/>
      <c r="M139" s="53"/>
      <c r="N139" s="49"/>
      <c r="O139" s="49"/>
      <c r="P139" s="49"/>
      <c r="Q139" s="49"/>
      <c r="R139" s="53"/>
      <c r="S139" s="49"/>
      <c r="T139" s="49"/>
      <c r="U139" s="530"/>
      <c r="V139" s="49"/>
      <c r="W139" s="49"/>
      <c r="X139" s="49"/>
      <c r="Y139" s="49"/>
      <c r="Z139" s="49"/>
      <c r="AA139" s="52"/>
      <c r="AB139" s="51"/>
      <c r="AC139" s="51"/>
      <c r="AD139" s="51"/>
      <c r="AE139" s="51"/>
    </row>
    <row r="140" spans="1:31" s="123" customFormat="1" ht="11.25" customHeight="1">
      <c r="A140" s="529"/>
      <c r="B140" s="53"/>
      <c r="C140" s="53"/>
      <c r="K140" s="49"/>
      <c r="L140" s="53"/>
      <c r="M140" s="53"/>
      <c r="N140" s="49"/>
      <c r="O140" s="49"/>
      <c r="P140" s="49"/>
      <c r="Q140" s="49"/>
      <c r="R140" s="53"/>
      <c r="S140" s="49"/>
      <c r="T140" s="49"/>
      <c r="U140" s="530"/>
      <c r="V140" s="49"/>
      <c r="W140" s="49"/>
      <c r="X140" s="49"/>
      <c r="Y140" s="49"/>
      <c r="Z140" s="49"/>
      <c r="AA140" s="52"/>
      <c r="AB140" s="51"/>
      <c r="AC140" s="51"/>
      <c r="AD140" s="51"/>
      <c r="AE140" s="51"/>
    </row>
    <row r="141" spans="1:31" s="123" customFormat="1" ht="11.25" customHeight="1">
      <c r="A141" s="529"/>
      <c r="B141" s="53"/>
      <c r="C141" s="53"/>
      <c r="K141" s="49"/>
      <c r="L141" s="53"/>
      <c r="M141" s="53"/>
      <c r="N141" s="49"/>
      <c r="O141" s="49"/>
      <c r="P141" s="49"/>
      <c r="Q141" s="49"/>
      <c r="R141" s="53"/>
      <c r="S141" s="49"/>
      <c r="T141" s="49"/>
      <c r="U141" s="530"/>
      <c r="V141" s="49"/>
      <c r="W141" s="49"/>
      <c r="X141" s="49"/>
      <c r="Y141" s="49"/>
      <c r="Z141" s="49"/>
      <c r="AA141" s="52"/>
      <c r="AB141" s="51"/>
      <c r="AC141" s="51"/>
      <c r="AD141" s="51"/>
      <c r="AE141" s="51"/>
    </row>
    <row r="142" spans="1:31" s="123" customFormat="1" ht="11.25" customHeight="1">
      <c r="A142" s="529"/>
      <c r="B142" s="53"/>
      <c r="C142" s="53"/>
      <c r="K142" s="49"/>
      <c r="L142" s="53"/>
      <c r="M142" s="53"/>
      <c r="N142" s="49"/>
      <c r="O142" s="49"/>
      <c r="P142" s="49"/>
      <c r="Q142" s="49"/>
      <c r="R142" s="53"/>
      <c r="S142" s="49"/>
      <c r="T142" s="49"/>
      <c r="U142" s="530"/>
      <c r="V142" s="49"/>
      <c r="W142" s="49"/>
      <c r="X142" s="49"/>
      <c r="Y142" s="49"/>
      <c r="Z142" s="49"/>
      <c r="AA142" s="52"/>
      <c r="AB142" s="51"/>
      <c r="AC142" s="51"/>
      <c r="AD142" s="51"/>
      <c r="AE142" s="51"/>
    </row>
    <row r="143" spans="1:31" s="123" customFormat="1" ht="11.25" customHeight="1">
      <c r="A143" s="529"/>
      <c r="B143" s="53"/>
      <c r="C143" s="53"/>
      <c r="K143" s="49"/>
      <c r="L143" s="53"/>
      <c r="M143" s="53"/>
      <c r="N143" s="49"/>
      <c r="O143" s="49"/>
      <c r="P143" s="49"/>
      <c r="Q143" s="49"/>
      <c r="R143" s="53"/>
      <c r="S143" s="49"/>
      <c r="T143" s="49"/>
      <c r="U143" s="530"/>
      <c r="V143" s="49"/>
      <c r="W143" s="49"/>
      <c r="X143" s="49"/>
      <c r="Y143" s="49"/>
      <c r="Z143" s="49"/>
      <c r="AA143" s="52"/>
      <c r="AB143" s="51"/>
      <c r="AC143" s="51"/>
      <c r="AD143" s="51"/>
      <c r="AE143" s="51"/>
    </row>
    <row r="144" spans="1:31" s="123" customFormat="1" ht="11.25" customHeight="1">
      <c r="A144" s="529"/>
      <c r="B144" s="53"/>
      <c r="C144" s="53"/>
      <c r="K144" s="49"/>
      <c r="L144" s="53"/>
      <c r="M144" s="53"/>
      <c r="N144" s="49"/>
      <c r="O144" s="49"/>
      <c r="P144" s="49"/>
      <c r="Q144" s="49"/>
      <c r="R144" s="53"/>
      <c r="S144" s="49"/>
      <c r="T144" s="49"/>
      <c r="U144" s="530"/>
      <c r="V144" s="49"/>
      <c r="W144" s="49"/>
      <c r="X144" s="49"/>
      <c r="Y144" s="49"/>
      <c r="Z144" s="49"/>
      <c r="AA144" s="52"/>
      <c r="AB144" s="51"/>
      <c r="AC144" s="51"/>
      <c r="AD144" s="51"/>
      <c r="AE144" s="51"/>
    </row>
    <row r="145" spans="1:31" s="123" customFormat="1" ht="11.25" customHeight="1">
      <c r="A145" s="529"/>
      <c r="B145" s="53"/>
      <c r="C145" s="53"/>
      <c r="K145" s="49"/>
      <c r="L145" s="53"/>
      <c r="M145" s="53"/>
      <c r="N145" s="49"/>
      <c r="O145" s="49"/>
      <c r="P145" s="49"/>
      <c r="Q145" s="49"/>
      <c r="R145" s="53"/>
      <c r="S145" s="49"/>
      <c r="T145" s="49"/>
      <c r="U145" s="530"/>
      <c r="V145" s="49"/>
      <c r="W145" s="49"/>
      <c r="X145" s="49"/>
      <c r="Y145" s="49"/>
      <c r="Z145" s="49"/>
      <c r="AA145" s="52"/>
      <c r="AB145" s="51"/>
      <c r="AC145" s="51"/>
      <c r="AD145" s="51"/>
      <c r="AE145" s="51"/>
    </row>
    <row r="146" spans="1:31" s="123" customFormat="1" ht="11.25" customHeight="1">
      <c r="A146" s="529"/>
      <c r="B146" s="53"/>
      <c r="C146" s="53"/>
      <c r="K146" s="49"/>
      <c r="L146" s="53"/>
      <c r="M146" s="53"/>
      <c r="N146" s="49"/>
      <c r="O146" s="49"/>
      <c r="P146" s="49"/>
      <c r="Q146" s="49"/>
      <c r="R146" s="53"/>
      <c r="S146" s="49"/>
      <c r="T146" s="49"/>
      <c r="U146" s="530"/>
      <c r="V146" s="49"/>
      <c r="W146" s="49"/>
      <c r="X146" s="49"/>
      <c r="Y146" s="49"/>
      <c r="Z146" s="49"/>
      <c r="AA146" s="52"/>
      <c r="AB146" s="51"/>
      <c r="AC146" s="51"/>
      <c r="AD146" s="51"/>
      <c r="AE146" s="51"/>
    </row>
    <row r="147" spans="1:31" s="123" customFormat="1" ht="11.25" customHeight="1">
      <c r="A147" s="529"/>
      <c r="B147" s="53"/>
      <c r="C147" s="53"/>
      <c r="K147" s="49"/>
      <c r="L147" s="53"/>
      <c r="M147" s="53"/>
      <c r="N147" s="49"/>
      <c r="O147" s="49"/>
      <c r="P147" s="49"/>
      <c r="Q147" s="49"/>
      <c r="R147" s="53"/>
      <c r="S147" s="49"/>
      <c r="T147" s="49"/>
      <c r="U147" s="530"/>
      <c r="V147" s="49"/>
      <c r="W147" s="49"/>
      <c r="X147" s="49"/>
      <c r="Y147" s="49"/>
      <c r="Z147" s="49"/>
      <c r="AA147" s="52"/>
      <c r="AB147" s="51"/>
      <c r="AC147" s="51"/>
      <c r="AD147" s="51"/>
      <c r="AE147" s="51"/>
    </row>
    <row r="148" spans="1:31" s="123" customFormat="1" ht="11.25" customHeight="1">
      <c r="A148" s="529"/>
      <c r="B148" s="53"/>
      <c r="C148" s="53"/>
      <c r="K148" s="49"/>
      <c r="L148" s="53"/>
      <c r="M148" s="53"/>
      <c r="N148" s="49"/>
      <c r="O148" s="49"/>
      <c r="P148" s="49"/>
      <c r="Q148" s="49"/>
      <c r="R148" s="53"/>
      <c r="S148" s="49"/>
      <c r="T148" s="49"/>
      <c r="U148" s="530"/>
      <c r="V148" s="49"/>
      <c r="W148" s="49"/>
      <c r="X148" s="49"/>
      <c r="Y148" s="49"/>
      <c r="Z148" s="49"/>
      <c r="AA148" s="52"/>
      <c r="AB148" s="51"/>
      <c r="AC148" s="51"/>
      <c r="AD148" s="51"/>
      <c r="AE148" s="51"/>
    </row>
    <row r="149" spans="1:31" s="123" customFormat="1" ht="11.25" customHeight="1">
      <c r="A149" s="529"/>
      <c r="B149" s="53"/>
      <c r="C149" s="53"/>
      <c r="K149" s="49"/>
      <c r="L149" s="53"/>
      <c r="M149" s="53"/>
      <c r="N149" s="49"/>
      <c r="O149" s="49"/>
      <c r="P149" s="49"/>
      <c r="Q149" s="49"/>
      <c r="R149" s="53"/>
      <c r="S149" s="49"/>
      <c r="T149" s="49"/>
      <c r="U149" s="530"/>
      <c r="V149" s="49"/>
      <c r="W149" s="49"/>
      <c r="X149" s="49"/>
      <c r="Y149" s="49"/>
      <c r="Z149" s="49"/>
      <c r="AA149" s="52"/>
      <c r="AB149" s="51"/>
      <c r="AC149" s="51"/>
      <c r="AD149" s="51"/>
      <c r="AE149" s="51"/>
    </row>
    <row r="150" spans="1:31" s="123" customFormat="1" ht="11.25" customHeight="1">
      <c r="A150" s="529"/>
      <c r="B150" s="53"/>
      <c r="C150" s="53"/>
      <c r="K150" s="49"/>
      <c r="L150" s="53"/>
      <c r="M150" s="53"/>
      <c r="N150" s="49"/>
      <c r="O150" s="49"/>
      <c r="P150" s="49"/>
      <c r="Q150" s="49"/>
      <c r="R150" s="53"/>
      <c r="S150" s="49"/>
      <c r="T150" s="49"/>
      <c r="U150" s="530"/>
      <c r="V150" s="49"/>
      <c r="W150" s="49"/>
      <c r="X150" s="49"/>
      <c r="Y150" s="49"/>
      <c r="Z150" s="49"/>
      <c r="AA150" s="52"/>
      <c r="AB150" s="51"/>
      <c r="AC150" s="51"/>
      <c r="AD150" s="51"/>
      <c r="AE150" s="51"/>
    </row>
    <row r="151" spans="1:31" s="123" customFormat="1" ht="11.25" customHeight="1">
      <c r="A151" s="529"/>
      <c r="B151" s="53"/>
      <c r="C151" s="53"/>
      <c r="K151" s="49"/>
      <c r="L151" s="53"/>
      <c r="M151" s="53"/>
      <c r="N151" s="49"/>
      <c r="O151" s="49"/>
      <c r="P151" s="49"/>
      <c r="Q151" s="49"/>
      <c r="R151" s="53"/>
      <c r="S151" s="49"/>
      <c r="T151" s="49"/>
      <c r="U151" s="530"/>
      <c r="V151" s="49"/>
      <c r="W151" s="49"/>
      <c r="X151" s="49"/>
      <c r="Y151" s="49"/>
      <c r="Z151" s="49"/>
      <c r="AA151" s="52"/>
      <c r="AB151" s="51"/>
      <c r="AC151" s="51"/>
      <c r="AD151" s="51"/>
      <c r="AE151" s="51"/>
    </row>
    <row r="152" spans="1:31" s="123" customFormat="1" ht="11.25" customHeight="1">
      <c r="A152" s="529"/>
      <c r="B152" s="53"/>
      <c r="C152" s="53"/>
      <c r="K152" s="49"/>
      <c r="L152" s="53"/>
      <c r="M152" s="53"/>
      <c r="N152" s="49"/>
      <c r="O152" s="49"/>
      <c r="P152" s="49"/>
      <c r="Q152" s="49"/>
      <c r="R152" s="53"/>
      <c r="S152" s="49"/>
      <c r="T152" s="49"/>
      <c r="U152" s="530"/>
      <c r="V152" s="49"/>
      <c r="W152" s="49"/>
      <c r="X152" s="49"/>
      <c r="Y152" s="49"/>
      <c r="Z152" s="49"/>
      <c r="AA152" s="52"/>
      <c r="AB152" s="51"/>
      <c r="AC152" s="51"/>
      <c r="AD152" s="51"/>
      <c r="AE152" s="51"/>
    </row>
    <row r="153" spans="1:31" s="123" customFormat="1" ht="11.25" customHeight="1">
      <c r="A153" s="529"/>
      <c r="B153" s="53"/>
      <c r="C153" s="53"/>
      <c r="K153" s="49"/>
      <c r="L153" s="53"/>
      <c r="M153" s="53"/>
      <c r="N153" s="49"/>
      <c r="O153" s="49"/>
      <c r="P153" s="49"/>
      <c r="Q153" s="49"/>
      <c r="R153" s="53"/>
      <c r="S153" s="49"/>
      <c r="T153" s="49"/>
      <c r="U153" s="530"/>
      <c r="V153" s="49"/>
      <c r="W153" s="49"/>
      <c r="X153" s="49"/>
      <c r="Y153" s="49"/>
      <c r="Z153" s="49"/>
      <c r="AA153" s="52"/>
      <c r="AB153" s="51"/>
      <c r="AC153" s="51"/>
      <c r="AD153" s="51"/>
      <c r="AE153" s="51"/>
    </row>
    <row r="154" spans="1:31" s="123" customFormat="1" ht="11.25" customHeight="1">
      <c r="A154" s="529"/>
      <c r="B154" s="53"/>
      <c r="C154" s="53"/>
      <c r="K154" s="49"/>
      <c r="L154" s="53"/>
      <c r="M154" s="53"/>
      <c r="N154" s="49"/>
      <c r="O154" s="49"/>
      <c r="P154" s="49"/>
      <c r="Q154" s="49"/>
      <c r="R154" s="53"/>
      <c r="S154" s="49"/>
      <c r="T154" s="49"/>
      <c r="U154" s="530"/>
      <c r="V154" s="49"/>
      <c r="W154" s="49"/>
      <c r="X154" s="49"/>
      <c r="Y154" s="49"/>
      <c r="Z154" s="49"/>
      <c r="AA154" s="52"/>
      <c r="AB154" s="51"/>
      <c r="AC154" s="51"/>
      <c r="AD154" s="51"/>
      <c r="AE154" s="51"/>
    </row>
    <row r="155" spans="1:31" s="123" customFormat="1" ht="11.25" customHeight="1">
      <c r="A155" s="529"/>
      <c r="B155" s="53"/>
      <c r="C155" s="53"/>
      <c r="K155" s="49"/>
      <c r="L155" s="53"/>
      <c r="M155" s="53"/>
      <c r="N155" s="49"/>
      <c r="O155" s="49"/>
      <c r="P155" s="49"/>
      <c r="Q155" s="49"/>
      <c r="R155" s="53"/>
      <c r="S155" s="49"/>
      <c r="T155" s="49"/>
      <c r="U155" s="530"/>
      <c r="V155" s="49"/>
      <c r="W155" s="49"/>
      <c r="X155" s="49"/>
      <c r="Y155" s="49"/>
      <c r="Z155" s="49"/>
      <c r="AA155" s="52"/>
      <c r="AB155" s="51"/>
      <c r="AC155" s="51"/>
      <c r="AD155" s="51"/>
      <c r="AE155" s="51"/>
    </row>
    <row r="156" spans="1:31" s="123" customFormat="1" ht="11.25" customHeight="1">
      <c r="A156" s="529"/>
      <c r="B156" s="53"/>
      <c r="C156" s="53"/>
      <c r="K156" s="49"/>
      <c r="L156" s="53"/>
      <c r="M156" s="53"/>
      <c r="N156" s="49"/>
      <c r="O156" s="49"/>
      <c r="P156" s="49"/>
      <c r="Q156" s="49"/>
      <c r="R156" s="53"/>
      <c r="S156" s="49"/>
      <c r="T156" s="49"/>
      <c r="U156" s="530"/>
      <c r="V156" s="49"/>
      <c r="W156" s="49"/>
      <c r="X156" s="49"/>
      <c r="Y156" s="49"/>
      <c r="Z156" s="49"/>
      <c r="AA156" s="52"/>
      <c r="AB156" s="51"/>
      <c r="AC156" s="51"/>
      <c r="AD156" s="51"/>
      <c r="AE156" s="51"/>
    </row>
    <row r="157" spans="1:31" s="123" customFormat="1" ht="11.25" customHeight="1">
      <c r="A157" s="529"/>
      <c r="B157" s="53"/>
      <c r="C157" s="53"/>
      <c r="K157" s="49"/>
      <c r="L157" s="53"/>
      <c r="M157" s="53"/>
      <c r="N157" s="49"/>
      <c r="O157" s="49"/>
      <c r="P157" s="49"/>
      <c r="Q157" s="49"/>
      <c r="R157" s="53"/>
      <c r="S157" s="49"/>
      <c r="T157" s="49"/>
      <c r="U157" s="530"/>
      <c r="V157" s="49"/>
      <c r="W157" s="49"/>
      <c r="X157" s="49"/>
      <c r="Y157" s="49"/>
      <c r="Z157" s="49"/>
      <c r="AA157" s="52"/>
      <c r="AB157" s="51"/>
      <c r="AC157" s="51"/>
      <c r="AD157" s="51"/>
      <c r="AE157" s="51"/>
    </row>
    <row r="158" spans="1:31" s="123" customFormat="1" ht="11.25" customHeight="1">
      <c r="A158" s="529"/>
      <c r="B158" s="53"/>
      <c r="C158" s="53"/>
      <c r="K158" s="49"/>
      <c r="L158" s="53"/>
      <c r="M158" s="53"/>
      <c r="N158" s="49"/>
      <c r="O158" s="49"/>
      <c r="P158" s="49"/>
      <c r="Q158" s="49"/>
      <c r="R158" s="53"/>
      <c r="S158" s="49"/>
      <c r="T158" s="49"/>
      <c r="U158" s="530"/>
      <c r="V158" s="49"/>
      <c r="W158" s="49"/>
      <c r="X158" s="49"/>
      <c r="Y158" s="49"/>
      <c r="Z158" s="49"/>
      <c r="AA158" s="52"/>
      <c r="AB158" s="51"/>
      <c r="AC158" s="51"/>
      <c r="AD158" s="51"/>
      <c r="AE158" s="51"/>
    </row>
    <row r="159" spans="1:31" s="123" customFormat="1" ht="11.25" customHeight="1">
      <c r="A159" s="529"/>
      <c r="B159" s="53"/>
      <c r="C159" s="53"/>
      <c r="K159" s="49"/>
      <c r="L159" s="53"/>
      <c r="M159" s="53"/>
      <c r="N159" s="49"/>
      <c r="O159" s="49"/>
      <c r="P159" s="49"/>
      <c r="Q159" s="49"/>
      <c r="R159" s="53"/>
      <c r="S159" s="49"/>
      <c r="T159" s="49"/>
      <c r="U159" s="530"/>
      <c r="V159" s="49"/>
      <c r="W159" s="49"/>
      <c r="X159" s="49"/>
      <c r="Y159" s="49"/>
      <c r="Z159" s="49"/>
      <c r="AA159" s="52"/>
      <c r="AB159" s="51"/>
      <c r="AC159" s="51"/>
      <c r="AD159" s="51"/>
      <c r="AE159" s="51"/>
    </row>
    <row r="160" spans="1:31" s="123" customFormat="1" ht="11.25" customHeight="1">
      <c r="A160" s="529"/>
      <c r="B160" s="53"/>
      <c r="C160" s="53"/>
      <c r="K160" s="49"/>
      <c r="L160" s="53"/>
      <c r="M160" s="53"/>
      <c r="N160" s="49"/>
      <c r="O160" s="49"/>
      <c r="P160" s="49"/>
      <c r="Q160" s="49"/>
      <c r="R160" s="53"/>
      <c r="S160" s="49"/>
      <c r="T160" s="49"/>
      <c r="U160" s="530"/>
      <c r="V160" s="49"/>
      <c r="W160" s="49"/>
      <c r="X160" s="49"/>
      <c r="Y160" s="49"/>
      <c r="Z160" s="49"/>
      <c r="AA160" s="52"/>
      <c r="AB160" s="51"/>
      <c r="AC160" s="51"/>
      <c r="AD160" s="51"/>
      <c r="AE160" s="51"/>
    </row>
    <row r="161" spans="1:31" s="123" customFormat="1" ht="11.25" customHeight="1">
      <c r="A161" s="529"/>
      <c r="B161" s="53"/>
      <c r="C161" s="53"/>
      <c r="K161" s="49"/>
      <c r="L161" s="53"/>
      <c r="M161" s="53"/>
      <c r="N161" s="49"/>
      <c r="O161" s="49"/>
      <c r="P161" s="49"/>
      <c r="Q161" s="49"/>
      <c r="R161" s="53"/>
      <c r="S161" s="49"/>
      <c r="T161" s="49"/>
      <c r="U161" s="530"/>
      <c r="V161" s="49"/>
      <c r="W161" s="49"/>
      <c r="X161" s="49"/>
      <c r="Y161" s="49"/>
      <c r="Z161" s="49"/>
      <c r="AA161" s="52"/>
      <c r="AB161" s="51"/>
      <c r="AC161" s="51"/>
      <c r="AD161" s="51"/>
      <c r="AE161" s="51"/>
    </row>
    <row r="162" spans="1:31" s="123" customFormat="1" ht="11.25" customHeight="1">
      <c r="A162" s="529"/>
      <c r="B162" s="53"/>
      <c r="C162" s="53"/>
      <c r="K162" s="49"/>
      <c r="L162" s="53"/>
      <c r="M162" s="53"/>
      <c r="N162" s="49"/>
      <c r="O162" s="49"/>
      <c r="P162" s="49"/>
      <c r="Q162" s="49"/>
      <c r="R162" s="53"/>
      <c r="S162" s="49"/>
      <c r="T162" s="49"/>
      <c r="U162" s="530"/>
      <c r="V162" s="49"/>
      <c r="W162" s="49"/>
      <c r="X162" s="49"/>
      <c r="Y162" s="49"/>
      <c r="Z162" s="49"/>
      <c r="AA162" s="52"/>
      <c r="AB162" s="51"/>
      <c r="AC162" s="51"/>
      <c r="AD162" s="51"/>
      <c r="AE162" s="51"/>
    </row>
    <row r="163" spans="1:31" s="123" customFormat="1" ht="11.25" customHeight="1">
      <c r="A163" s="529"/>
      <c r="B163" s="53"/>
      <c r="C163" s="53"/>
      <c r="K163" s="49"/>
      <c r="L163" s="53"/>
      <c r="M163" s="53"/>
      <c r="N163" s="49"/>
      <c r="O163" s="49"/>
      <c r="P163" s="49"/>
      <c r="Q163" s="49"/>
      <c r="R163" s="53"/>
      <c r="S163" s="49"/>
      <c r="T163" s="49"/>
      <c r="U163" s="530"/>
      <c r="V163" s="49"/>
      <c r="W163" s="49"/>
      <c r="X163" s="49"/>
      <c r="Y163" s="49"/>
      <c r="Z163" s="49"/>
      <c r="AA163" s="52"/>
      <c r="AB163" s="51"/>
      <c r="AC163" s="51"/>
      <c r="AD163" s="51"/>
      <c r="AE163" s="51"/>
    </row>
    <row r="164" spans="1:31" s="123" customFormat="1" ht="11.25" customHeight="1">
      <c r="A164" s="529"/>
      <c r="B164" s="53"/>
      <c r="C164" s="53"/>
      <c r="K164" s="49"/>
      <c r="L164" s="53"/>
      <c r="M164" s="53"/>
      <c r="N164" s="49"/>
      <c r="O164" s="49"/>
      <c r="P164" s="49"/>
      <c r="Q164" s="49"/>
      <c r="R164" s="53"/>
      <c r="S164" s="49"/>
      <c r="T164" s="49"/>
      <c r="U164" s="530"/>
      <c r="V164" s="49"/>
      <c r="W164" s="49"/>
      <c r="X164" s="49"/>
      <c r="Y164" s="49"/>
      <c r="Z164" s="49"/>
      <c r="AA164" s="52"/>
      <c r="AB164" s="51"/>
      <c r="AC164" s="51"/>
      <c r="AD164" s="51"/>
      <c r="AE164" s="51"/>
    </row>
    <row r="165" spans="1:31" s="123" customFormat="1" ht="11.25" customHeight="1">
      <c r="A165" s="529"/>
      <c r="B165" s="53"/>
      <c r="C165" s="53"/>
      <c r="K165" s="49"/>
      <c r="L165" s="53"/>
      <c r="M165" s="53"/>
      <c r="N165" s="49"/>
      <c r="O165" s="49"/>
      <c r="P165" s="49"/>
      <c r="Q165" s="49"/>
      <c r="R165" s="53"/>
      <c r="S165" s="49"/>
      <c r="T165" s="49"/>
      <c r="U165" s="530"/>
      <c r="V165" s="49"/>
      <c r="W165" s="49"/>
      <c r="X165" s="49"/>
      <c r="Y165" s="49"/>
      <c r="Z165" s="49"/>
      <c r="AA165" s="52"/>
      <c r="AB165" s="51"/>
      <c r="AC165" s="51"/>
      <c r="AD165" s="51"/>
      <c r="AE165" s="51"/>
    </row>
    <row r="166" spans="1:31" s="123" customFormat="1" ht="11.25" customHeight="1">
      <c r="A166" s="529"/>
      <c r="B166" s="53"/>
      <c r="C166" s="53"/>
      <c r="K166" s="49"/>
      <c r="L166" s="53"/>
      <c r="M166" s="53"/>
      <c r="N166" s="49"/>
      <c r="O166" s="49"/>
      <c r="P166" s="49"/>
      <c r="Q166" s="49"/>
      <c r="R166" s="53"/>
      <c r="S166" s="49"/>
      <c r="T166" s="49"/>
      <c r="U166" s="530"/>
      <c r="V166" s="49"/>
      <c r="W166" s="49"/>
      <c r="X166" s="49"/>
      <c r="Y166" s="49"/>
      <c r="Z166" s="49"/>
      <c r="AA166" s="52"/>
      <c r="AB166" s="51"/>
      <c r="AC166" s="51"/>
      <c r="AD166" s="51"/>
      <c r="AE166" s="51"/>
    </row>
    <row r="167" spans="1:31" s="123" customFormat="1" ht="11.25" customHeight="1">
      <c r="A167" s="529"/>
      <c r="B167" s="53"/>
      <c r="C167" s="53"/>
      <c r="K167" s="49"/>
      <c r="L167" s="53"/>
      <c r="M167" s="53"/>
      <c r="N167" s="49"/>
      <c r="O167" s="49"/>
      <c r="P167" s="49"/>
      <c r="Q167" s="49"/>
      <c r="R167" s="53"/>
      <c r="S167" s="49"/>
      <c r="T167" s="49"/>
      <c r="U167" s="530"/>
      <c r="V167" s="49"/>
      <c r="W167" s="49"/>
      <c r="X167" s="49"/>
      <c r="Y167" s="49"/>
      <c r="Z167" s="49"/>
      <c r="AA167" s="52"/>
      <c r="AB167" s="51"/>
      <c r="AC167" s="51"/>
      <c r="AD167" s="51"/>
      <c r="AE167" s="51"/>
    </row>
    <row r="168" spans="1:31" s="123" customFormat="1" ht="11.25" customHeight="1">
      <c r="A168" s="529"/>
      <c r="B168" s="53"/>
      <c r="C168" s="53"/>
      <c r="K168" s="49"/>
      <c r="L168" s="53"/>
      <c r="M168" s="53"/>
      <c r="N168" s="49"/>
      <c r="O168" s="49"/>
      <c r="P168" s="49"/>
      <c r="Q168" s="49"/>
      <c r="R168" s="53"/>
      <c r="S168" s="49"/>
      <c r="T168" s="49"/>
      <c r="U168" s="530"/>
      <c r="V168" s="49"/>
      <c r="W168" s="49"/>
      <c r="X168" s="49"/>
      <c r="Y168" s="49"/>
      <c r="Z168" s="49"/>
      <c r="AA168" s="52"/>
      <c r="AB168" s="51"/>
      <c r="AC168" s="51"/>
      <c r="AD168" s="51"/>
      <c r="AE168" s="51"/>
    </row>
    <row r="169" spans="1:31" s="123" customFormat="1" ht="11.25" customHeight="1">
      <c r="A169" s="529"/>
      <c r="B169" s="53"/>
      <c r="C169" s="53"/>
      <c r="K169" s="49"/>
      <c r="L169" s="53"/>
      <c r="M169" s="53"/>
      <c r="N169" s="49"/>
      <c r="O169" s="49"/>
      <c r="P169" s="49"/>
      <c r="Q169" s="49"/>
      <c r="R169" s="53"/>
      <c r="S169" s="49"/>
      <c r="T169" s="49"/>
      <c r="U169" s="530"/>
      <c r="V169" s="49"/>
      <c r="W169" s="49"/>
      <c r="X169" s="49"/>
      <c r="Y169" s="49"/>
      <c r="Z169" s="49"/>
      <c r="AA169" s="52"/>
      <c r="AB169" s="51"/>
      <c r="AC169" s="51"/>
      <c r="AD169" s="51"/>
      <c r="AE169" s="51"/>
    </row>
    <row r="170" spans="1:31" s="123" customFormat="1" ht="11.25" customHeight="1">
      <c r="A170" s="529"/>
      <c r="B170" s="53"/>
      <c r="C170" s="53"/>
      <c r="K170" s="49"/>
      <c r="L170" s="53"/>
      <c r="M170" s="53"/>
      <c r="N170" s="49"/>
      <c r="O170" s="49"/>
      <c r="P170" s="49"/>
      <c r="Q170" s="49"/>
      <c r="R170" s="53"/>
      <c r="S170" s="49"/>
      <c r="T170" s="49"/>
      <c r="U170" s="530"/>
      <c r="V170" s="49"/>
      <c r="W170" s="49"/>
      <c r="X170" s="49"/>
      <c r="Y170" s="49"/>
      <c r="Z170" s="49"/>
      <c r="AA170" s="52"/>
      <c r="AB170" s="51"/>
      <c r="AC170" s="51"/>
      <c r="AD170" s="51"/>
      <c r="AE170" s="51"/>
    </row>
    <row r="171" spans="1:31" s="123" customFormat="1" ht="11.25" customHeight="1">
      <c r="A171" s="529"/>
      <c r="B171" s="53"/>
      <c r="C171" s="53"/>
      <c r="K171" s="49"/>
      <c r="L171" s="53"/>
      <c r="M171" s="53"/>
      <c r="N171" s="49"/>
      <c r="O171" s="49"/>
      <c r="P171" s="49"/>
      <c r="Q171" s="49"/>
      <c r="R171" s="53"/>
      <c r="S171" s="49"/>
      <c r="T171" s="49"/>
      <c r="U171" s="530"/>
      <c r="V171" s="49"/>
      <c r="W171" s="49"/>
      <c r="X171" s="49"/>
      <c r="Y171" s="49"/>
      <c r="Z171" s="49"/>
      <c r="AA171" s="52"/>
      <c r="AB171" s="51"/>
      <c r="AC171" s="51"/>
      <c r="AD171" s="51"/>
      <c r="AE171" s="51"/>
    </row>
    <row r="172" spans="1:31" s="123" customFormat="1" ht="11.25" customHeight="1">
      <c r="A172" s="529"/>
      <c r="B172" s="53"/>
      <c r="C172" s="53"/>
      <c r="K172" s="49"/>
      <c r="L172" s="53"/>
      <c r="M172" s="53"/>
      <c r="N172" s="49"/>
      <c r="O172" s="49"/>
      <c r="P172" s="49"/>
      <c r="Q172" s="49"/>
      <c r="R172" s="53"/>
      <c r="S172" s="49"/>
      <c r="T172" s="49"/>
      <c r="U172" s="530"/>
      <c r="V172" s="49"/>
      <c r="W172" s="49"/>
      <c r="X172" s="49"/>
      <c r="Y172" s="49"/>
      <c r="Z172" s="49"/>
      <c r="AA172" s="52"/>
      <c r="AB172" s="51"/>
      <c r="AC172" s="51"/>
      <c r="AD172" s="51"/>
      <c r="AE172" s="51"/>
    </row>
    <row r="173" spans="1:31" s="123" customFormat="1" ht="11.25" customHeight="1">
      <c r="A173" s="529"/>
      <c r="B173" s="53"/>
      <c r="C173" s="53"/>
      <c r="K173" s="49"/>
      <c r="L173" s="53"/>
      <c r="M173" s="53"/>
      <c r="N173" s="49"/>
      <c r="O173" s="49"/>
      <c r="P173" s="49"/>
      <c r="Q173" s="49"/>
      <c r="R173" s="53"/>
      <c r="S173" s="49"/>
      <c r="T173" s="49"/>
      <c r="U173" s="530"/>
      <c r="V173" s="49"/>
      <c r="W173" s="49"/>
      <c r="X173" s="49"/>
      <c r="Y173" s="49"/>
      <c r="Z173" s="49"/>
      <c r="AA173" s="52"/>
      <c r="AB173" s="51"/>
      <c r="AC173" s="51"/>
      <c r="AD173" s="51"/>
      <c r="AE173" s="51"/>
    </row>
    <row r="174" spans="1:31" s="123" customFormat="1" ht="11.25" customHeight="1">
      <c r="A174" s="529"/>
      <c r="B174" s="53"/>
      <c r="C174" s="53"/>
      <c r="K174" s="49"/>
      <c r="L174" s="53"/>
      <c r="M174" s="53"/>
      <c r="N174" s="49"/>
      <c r="O174" s="49"/>
      <c r="P174" s="49"/>
      <c r="Q174" s="49"/>
      <c r="R174" s="53"/>
      <c r="S174" s="49"/>
      <c r="T174" s="49"/>
      <c r="U174" s="530"/>
      <c r="V174" s="49"/>
      <c r="W174" s="49"/>
      <c r="X174" s="49"/>
      <c r="Y174" s="49"/>
      <c r="Z174" s="49"/>
      <c r="AA174" s="52"/>
      <c r="AB174" s="51"/>
      <c r="AC174" s="51"/>
      <c r="AD174" s="51"/>
      <c r="AE174" s="51"/>
    </row>
    <row r="175" spans="1:31" s="123" customFormat="1" ht="11.25" customHeight="1">
      <c r="A175" s="529"/>
      <c r="B175" s="53"/>
      <c r="C175" s="53"/>
      <c r="K175" s="49"/>
      <c r="L175" s="53"/>
      <c r="M175" s="53"/>
      <c r="N175" s="49"/>
      <c r="O175" s="49"/>
      <c r="P175" s="49"/>
      <c r="Q175" s="49"/>
      <c r="R175" s="53"/>
      <c r="S175" s="49"/>
      <c r="T175" s="49"/>
      <c r="U175" s="530"/>
      <c r="V175" s="49"/>
      <c r="W175" s="49"/>
      <c r="X175" s="49"/>
      <c r="Y175" s="49"/>
      <c r="Z175" s="49"/>
      <c r="AA175" s="52"/>
      <c r="AB175" s="51"/>
      <c r="AC175" s="51"/>
      <c r="AD175" s="51"/>
      <c r="AE175" s="51"/>
    </row>
    <row r="176" spans="1:31" s="123" customFormat="1" ht="11.25" customHeight="1">
      <c r="A176" s="529"/>
      <c r="B176" s="53"/>
      <c r="C176" s="53"/>
      <c r="K176" s="49"/>
      <c r="L176" s="53"/>
      <c r="M176" s="53"/>
      <c r="N176" s="49"/>
      <c r="O176" s="49"/>
      <c r="P176" s="49"/>
      <c r="Q176" s="49"/>
      <c r="R176" s="53"/>
      <c r="S176" s="49"/>
      <c r="T176" s="49"/>
      <c r="U176" s="530"/>
      <c r="V176" s="49"/>
      <c r="W176" s="49"/>
      <c r="X176" s="49"/>
      <c r="Y176" s="49"/>
      <c r="Z176" s="49"/>
      <c r="AA176" s="52"/>
      <c r="AB176" s="51"/>
      <c r="AC176" s="51"/>
      <c r="AD176" s="51"/>
      <c r="AE176" s="51"/>
    </row>
    <row r="177" spans="1:31" s="123" customFormat="1" ht="11.25" customHeight="1">
      <c r="A177" s="529"/>
      <c r="B177" s="53"/>
      <c r="C177" s="53"/>
      <c r="K177" s="49"/>
      <c r="L177" s="53"/>
      <c r="M177" s="53"/>
      <c r="N177" s="49"/>
      <c r="O177" s="49"/>
      <c r="P177" s="49"/>
      <c r="Q177" s="49"/>
      <c r="R177" s="53"/>
      <c r="S177" s="49"/>
      <c r="T177" s="49"/>
      <c r="U177" s="530"/>
      <c r="V177" s="49"/>
      <c r="W177" s="49"/>
      <c r="X177" s="49"/>
      <c r="Y177" s="49"/>
      <c r="Z177" s="49"/>
      <c r="AA177" s="52"/>
      <c r="AB177" s="51"/>
      <c r="AC177" s="51"/>
      <c r="AD177" s="51"/>
      <c r="AE177" s="51"/>
    </row>
    <row r="178" spans="1:31" s="123" customFormat="1" ht="11.25" customHeight="1">
      <c r="A178" s="529"/>
      <c r="B178" s="53"/>
      <c r="C178" s="53"/>
      <c r="K178" s="49"/>
      <c r="L178" s="53"/>
      <c r="M178" s="53"/>
      <c r="N178" s="49"/>
      <c r="O178" s="49"/>
      <c r="P178" s="49"/>
      <c r="Q178" s="49"/>
      <c r="R178" s="53"/>
      <c r="S178" s="49"/>
      <c r="T178" s="49"/>
      <c r="U178" s="530"/>
      <c r="V178" s="49"/>
      <c r="W178" s="49"/>
      <c r="X178" s="49"/>
      <c r="Y178" s="49"/>
      <c r="Z178" s="49"/>
      <c r="AA178" s="52"/>
      <c r="AB178" s="51"/>
      <c r="AC178" s="51"/>
      <c r="AD178" s="51"/>
      <c r="AE178" s="51"/>
    </row>
    <row r="179" spans="1:31" s="123" customFormat="1" ht="11.25" customHeight="1">
      <c r="A179" s="529"/>
      <c r="B179" s="53"/>
      <c r="C179" s="53"/>
      <c r="K179" s="49"/>
      <c r="L179" s="53"/>
      <c r="M179" s="53"/>
      <c r="N179" s="49"/>
      <c r="O179" s="49"/>
      <c r="P179" s="49"/>
      <c r="Q179" s="49"/>
      <c r="R179" s="53"/>
      <c r="S179" s="49"/>
      <c r="T179" s="49"/>
      <c r="U179" s="530"/>
      <c r="V179" s="49"/>
      <c r="W179" s="49"/>
      <c r="X179" s="49"/>
      <c r="Y179" s="49"/>
      <c r="Z179" s="49"/>
      <c r="AA179" s="52"/>
      <c r="AB179" s="51"/>
      <c r="AC179" s="51"/>
      <c r="AD179" s="51"/>
      <c r="AE179" s="51"/>
    </row>
    <row r="180" spans="1:31" s="123" customFormat="1" ht="11.25" customHeight="1">
      <c r="A180" s="529"/>
      <c r="B180" s="53"/>
      <c r="C180" s="53"/>
      <c r="K180" s="49"/>
      <c r="L180" s="53"/>
      <c r="M180" s="53"/>
      <c r="N180" s="49"/>
      <c r="O180" s="49"/>
      <c r="P180" s="49"/>
      <c r="Q180" s="49"/>
      <c r="R180" s="53"/>
      <c r="S180" s="49"/>
      <c r="T180" s="49"/>
      <c r="U180" s="530"/>
      <c r="V180" s="49"/>
      <c r="W180" s="49"/>
      <c r="X180" s="49"/>
      <c r="Y180" s="49"/>
      <c r="Z180" s="49"/>
      <c r="AA180" s="52"/>
      <c r="AB180" s="51"/>
      <c r="AC180" s="51"/>
      <c r="AD180" s="51"/>
      <c r="AE180" s="51"/>
    </row>
    <row r="181" spans="1:31" s="123" customFormat="1" ht="11.25" customHeight="1">
      <c r="A181" s="529"/>
      <c r="B181" s="53"/>
      <c r="C181" s="53"/>
      <c r="K181" s="49"/>
      <c r="L181" s="53"/>
      <c r="M181" s="53"/>
      <c r="N181" s="49"/>
      <c r="O181" s="49"/>
      <c r="P181" s="49"/>
      <c r="Q181" s="49"/>
      <c r="R181" s="53"/>
      <c r="S181" s="49"/>
      <c r="T181" s="49"/>
      <c r="U181" s="530"/>
      <c r="V181" s="49"/>
      <c r="W181" s="49"/>
      <c r="X181" s="49"/>
      <c r="Y181" s="49"/>
      <c r="Z181" s="49"/>
      <c r="AA181" s="52"/>
      <c r="AB181" s="51"/>
      <c r="AC181" s="51"/>
      <c r="AD181" s="51"/>
      <c r="AE181" s="51"/>
    </row>
    <row r="182" spans="1:31" s="123" customFormat="1" ht="11.25" customHeight="1">
      <c r="A182" s="529"/>
      <c r="B182" s="53"/>
      <c r="C182" s="53"/>
      <c r="K182" s="49"/>
      <c r="L182" s="53"/>
      <c r="M182" s="53"/>
      <c r="N182" s="49"/>
      <c r="O182" s="49"/>
      <c r="P182" s="49"/>
      <c r="Q182" s="49"/>
      <c r="R182" s="53"/>
      <c r="S182" s="49"/>
      <c r="T182" s="49"/>
      <c r="U182" s="530"/>
      <c r="V182" s="49"/>
      <c r="W182" s="49"/>
      <c r="X182" s="49"/>
      <c r="Y182" s="49"/>
      <c r="Z182" s="49"/>
      <c r="AA182" s="52"/>
      <c r="AB182" s="51"/>
      <c r="AC182" s="51"/>
      <c r="AD182" s="51"/>
      <c r="AE182" s="51"/>
    </row>
    <row r="183" spans="1:31" s="123" customFormat="1" ht="11.25" customHeight="1">
      <c r="A183" s="529"/>
      <c r="B183" s="53"/>
      <c r="C183" s="53"/>
      <c r="K183" s="49"/>
      <c r="L183" s="53"/>
      <c r="M183" s="53"/>
      <c r="N183" s="49"/>
      <c r="O183" s="49"/>
      <c r="P183" s="49"/>
      <c r="Q183" s="49"/>
      <c r="R183" s="53"/>
      <c r="S183" s="49"/>
      <c r="T183" s="49"/>
      <c r="U183" s="530"/>
      <c r="V183" s="49"/>
      <c r="W183" s="49"/>
      <c r="X183" s="49"/>
      <c r="Y183" s="49"/>
      <c r="Z183" s="49"/>
      <c r="AA183" s="52"/>
      <c r="AB183" s="51"/>
      <c r="AC183" s="51"/>
      <c r="AD183" s="51"/>
      <c r="AE183" s="51"/>
    </row>
    <row r="184" spans="1:31" s="123" customFormat="1" ht="11.25" customHeight="1">
      <c r="A184" s="529"/>
      <c r="B184" s="53"/>
      <c r="C184" s="53"/>
      <c r="K184" s="49"/>
      <c r="L184" s="53"/>
      <c r="M184" s="53"/>
      <c r="N184" s="49"/>
      <c r="O184" s="49"/>
      <c r="P184" s="49"/>
      <c r="Q184" s="49"/>
      <c r="R184" s="53"/>
      <c r="S184" s="49"/>
      <c r="T184" s="49"/>
      <c r="U184" s="530"/>
      <c r="V184" s="49"/>
      <c r="W184" s="49"/>
      <c r="X184" s="49"/>
      <c r="Y184" s="49"/>
      <c r="Z184" s="49"/>
      <c r="AA184" s="52"/>
      <c r="AB184" s="51"/>
      <c r="AC184" s="51"/>
      <c r="AD184" s="51"/>
      <c r="AE184" s="51"/>
    </row>
    <row r="185" spans="1:31" s="123" customFormat="1" ht="11.25" customHeight="1">
      <c r="A185" s="529"/>
      <c r="B185" s="53"/>
      <c r="C185" s="53"/>
      <c r="K185" s="49"/>
      <c r="L185" s="53"/>
      <c r="M185" s="53"/>
      <c r="N185" s="49"/>
      <c r="O185" s="49"/>
      <c r="P185" s="49"/>
      <c r="Q185" s="49"/>
      <c r="R185" s="53"/>
      <c r="S185" s="49"/>
      <c r="T185" s="49"/>
      <c r="U185" s="530"/>
      <c r="V185" s="49"/>
      <c r="W185" s="49"/>
      <c r="X185" s="49"/>
      <c r="Y185" s="49"/>
      <c r="Z185" s="49"/>
      <c r="AA185" s="52"/>
      <c r="AB185" s="51"/>
      <c r="AC185" s="51"/>
      <c r="AD185" s="51"/>
      <c r="AE185" s="51"/>
    </row>
    <row r="186" spans="1:31" s="123" customFormat="1" ht="11.25" customHeight="1">
      <c r="A186" s="529"/>
      <c r="B186" s="53"/>
      <c r="C186" s="53"/>
      <c r="K186" s="49"/>
      <c r="L186" s="53"/>
      <c r="M186" s="53"/>
      <c r="N186" s="49"/>
      <c r="O186" s="49"/>
      <c r="P186" s="49"/>
      <c r="Q186" s="49"/>
      <c r="R186" s="53"/>
      <c r="S186" s="49"/>
      <c r="T186" s="49"/>
      <c r="U186" s="530"/>
      <c r="V186" s="49"/>
      <c r="W186" s="49"/>
      <c r="X186" s="49"/>
      <c r="Y186" s="49"/>
      <c r="Z186" s="49"/>
      <c r="AA186" s="52"/>
      <c r="AB186" s="51"/>
      <c r="AC186" s="51"/>
      <c r="AD186" s="51"/>
      <c r="AE186" s="51"/>
    </row>
    <row r="187" spans="1:31" s="123" customFormat="1" ht="11.25" customHeight="1">
      <c r="A187" s="529"/>
      <c r="B187" s="53"/>
      <c r="C187" s="53"/>
      <c r="K187" s="49"/>
      <c r="L187" s="53"/>
      <c r="M187" s="53"/>
      <c r="N187" s="49"/>
      <c r="O187" s="49"/>
      <c r="P187" s="49"/>
      <c r="Q187" s="49"/>
      <c r="R187" s="53"/>
      <c r="S187" s="49"/>
      <c r="T187" s="49"/>
      <c r="U187" s="530"/>
      <c r="V187" s="49"/>
      <c r="W187" s="49"/>
      <c r="X187" s="49"/>
      <c r="Y187" s="49"/>
      <c r="Z187" s="49"/>
      <c r="AA187" s="52"/>
      <c r="AB187" s="51"/>
      <c r="AC187" s="51"/>
      <c r="AD187" s="51"/>
      <c r="AE187" s="51"/>
    </row>
    <row r="188" spans="1:31" s="123" customFormat="1" ht="11.25" customHeight="1">
      <c r="A188" s="529"/>
      <c r="B188" s="53"/>
      <c r="C188" s="53"/>
      <c r="K188" s="49"/>
      <c r="L188" s="53"/>
      <c r="M188" s="53"/>
      <c r="N188" s="49"/>
      <c r="O188" s="49"/>
      <c r="P188" s="49"/>
      <c r="Q188" s="49"/>
      <c r="R188" s="53"/>
      <c r="S188" s="49"/>
      <c r="T188" s="49"/>
      <c r="U188" s="530"/>
      <c r="V188" s="49"/>
      <c r="W188" s="49"/>
      <c r="X188" s="49"/>
      <c r="Y188" s="49"/>
      <c r="Z188" s="49"/>
      <c r="AA188" s="52"/>
      <c r="AB188" s="51"/>
      <c r="AC188" s="51"/>
      <c r="AD188" s="51"/>
      <c r="AE188" s="51"/>
    </row>
    <row r="189" spans="1:31" s="123" customFormat="1" ht="11.25" customHeight="1">
      <c r="A189" s="529"/>
      <c r="B189" s="53"/>
      <c r="C189" s="53"/>
      <c r="K189" s="49"/>
      <c r="L189" s="53"/>
      <c r="M189" s="53"/>
      <c r="N189" s="49"/>
      <c r="O189" s="49"/>
      <c r="P189" s="49"/>
      <c r="Q189" s="49"/>
      <c r="R189" s="53"/>
      <c r="S189" s="49"/>
      <c r="T189" s="49"/>
      <c r="U189" s="530"/>
      <c r="V189" s="49"/>
      <c r="W189" s="49"/>
      <c r="X189" s="49"/>
      <c r="Y189" s="49"/>
      <c r="Z189" s="49"/>
      <c r="AA189" s="52"/>
      <c r="AB189" s="51"/>
      <c r="AC189" s="51"/>
      <c r="AD189" s="51"/>
      <c r="AE189" s="51"/>
    </row>
    <row r="190" spans="1:31" s="123" customFormat="1" ht="11.25" customHeight="1">
      <c r="A190" s="529"/>
      <c r="B190" s="53"/>
      <c r="C190" s="53"/>
      <c r="K190" s="49"/>
      <c r="L190" s="53"/>
      <c r="M190" s="53"/>
      <c r="N190" s="49"/>
      <c r="O190" s="49"/>
      <c r="P190" s="49"/>
      <c r="Q190" s="49"/>
      <c r="R190" s="53"/>
      <c r="S190" s="49"/>
      <c r="T190" s="49"/>
      <c r="U190" s="530"/>
      <c r="V190" s="49"/>
      <c r="W190" s="49"/>
      <c r="X190" s="49"/>
      <c r="Y190" s="49"/>
      <c r="Z190" s="49"/>
      <c r="AA190" s="52"/>
      <c r="AB190" s="51"/>
      <c r="AC190" s="51"/>
      <c r="AD190" s="51"/>
      <c r="AE190" s="51"/>
    </row>
    <row r="191" spans="1:31" s="123" customFormat="1" ht="11.25" customHeight="1">
      <c r="A191" s="529"/>
      <c r="B191" s="53"/>
      <c r="C191" s="53"/>
      <c r="K191" s="49"/>
      <c r="L191" s="53"/>
      <c r="M191" s="53"/>
      <c r="N191" s="49"/>
      <c r="O191" s="49"/>
      <c r="P191" s="49"/>
      <c r="Q191" s="49"/>
      <c r="R191" s="53"/>
      <c r="S191" s="49"/>
      <c r="T191" s="49"/>
      <c r="U191" s="530"/>
      <c r="V191" s="49"/>
      <c r="W191" s="49"/>
      <c r="X191" s="49"/>
      <c r="Y191" s="49"/>
      <c r="Z191" s="49"/>
      <c r="AA191" s="52"/>
      <c r="AB191" s="51"/>
      <c r="AC191" s="51"/>
      <c r="AD191" s="51"/>
      <c r="AE191" s="51"/>
    </row>
    <row r="192" spans="1:31" s="123" customFormat="1" ht="11.25" customHeight="1">
      <c r="A192" s="529"/>
      <c r="B192" s="53"/>
      <c r="C192" s="53"/>
      <c r="K192" s="49"/>
      <c r="L192" s="53"/>
      <c r="M192" s="53"/>
      <c r="N192" s="49"/>
      <c r="O192" s="49"/>
      <c r="P192" s="49"/>
      <c r="Q192" s="49"/>
      <c r="R192" s="53"/>
      <c r="S192" s="49"/>
      <c r="T192" s="49"/>
      <c r="U192" s="530"/>
      <c r="V192" s="49"/>
      <c r="W192" s="49"/>
      <c r="X192" s="49"/>
      <c r="Y192" s="49"/>
      <c r="Z192" s="49"/>
      <c r="AA192" s="52"/>
      <c r="AB192" s="51"/>
      <c r="AC192" s="51"/>
      <c r="AD192" s="51"/>
      <c r="AE192" s="51"/>
    </row>
    <row r="193" spans="1:31" s="123" customFormat="1" ht="11.25" customHeight="1">
      <c r="A193" s="529"/>
      <c r="B193" s="53"/>
      <c r="C193" s="53"/>
      <c r="K193" s="49"/>
      <c r="L193" s="53"/>
      <c r="M193" s="53"/>
      <c r="N193" s="49"/>
      <c r="O193" s="49"/>
      <c r="P193" s="49"/>
      <c r="Q193" s="49"/>
      <c r="R193" s="53"/>
      <c r="S193" s="49"/>
      <c r="T193" s="49"/>
      <c r="U193" s="530"/>
      <c r="V193" s="49"/>
      <c r="W193" s="49"/>
      <c r="X193" s="49"/>
      <c r="Y193" s="49"/>
      <c r="Z193" s="49"/>
      <c r="AA193" s="52"/>
      <c r="AB193" s="51"/>
      <c r="AC193" s="51"/>
      <c r="AD193" s="51"/>
      <c r="AE193" s="51"/>
    </row>
    <row r="194" spans="1:31" s="123" customFormat="1" ht="11.25" customHeight="1">
      <c r="A194" s="529"/>
      <c r="B194" s="53"/>
      <c r="C194" s="53"/>
      <c r="K194" s="49"/>
      <c r="L194" s="53"/>
      <c r="M194" s="53"/>
      <c r="N194" s="49"/>
      <c r="O194" s="49"/>
      <c r="P194" s="49"/>
      <c r="Q194" s="49"/>
      <c r="R194" s="53"/>
      <c r="S194" s="49"/>
      <c r="T194" s="49"/>
      <c r="U194" s="530"/>
      <c r="V194" s="49"/>
      <c r="W194" s="49"/>
      <c r="X194" s="49"/>
      <c r="Y194" s="49"/>
      <c r="Z194" s="49"/>
      <c r="AA194" s="52"/>
      <c r="AB194" s="51"/>
      <c r="AC194" s="51"/>
      <c r="AD194" s="51"/>
      <c r="AE194" s="51"/>
    </row>
    <row r="195" spans="1:31" s="123" customFormat="1" ht="11.25" customHeight="1">
      <c r="A195" s="529"/>
      <c r="B195" s="53"/>
      <c r="C195" s="53"/>
      <c r="K195" s="49"/>
      <c r="L195" s="53"/>
      <c r="M195" s="53"/>
      <c r="N195" s="49"/>
      <c r="O195" s="49"/>
      <c r="P195" s="49"/>
      <c r="Q195" s="49"/>
      <c r="R195" s="53"/>
      <c r="S195" s="49"/>
      <c r="T195" s="49"/>
      <c r="U195" s="530"/>
      <c r="V195" s="49"/>
      <c r="W195" s="49"/>
      <c r="X195" s="49"/>
      <c r="Y195" s="49"/>
      <c r="Z195" s="49"/>
      <c r="AA195" s="52"/>
      <c r="AB195" s="51"/>
      <c r="AC195" s="51"/>
      <c r="AD195" s="51"/>
      <c r="AE195" s="51"/>
    </row>
    <row r="196" spans="1:31" s="123" customFormat="1" ht="11.25" customHeight="1">
      <c r="A196" s="529"/>
      <c r="B196" s="53"/>
      <c r="C196" s="53"/>
      <c r="K196" s="49"/>
      <c r="L196" s="53"/>
      <c r="M196" s="53"/>
      <c r="N196" s="49"/>
      <c r="O196" s="49"/>
      <c r="P196" s="49"/>
      <c r="Q196" s="49"/>
      <c r="R196" s="53"/>
      <c r="S196" s="49"/>
      <c r="T196" s="49"/>
      <c r="U196" s="530"/>
      <c r="V196" s="49"/>
      <c r="W196" s="49"/>
      <c r="X196" s="49"/>
      <c r="Y196" s="49"/>
      <c r="Z196" s="49"/>
      <c r="AA196" s="52"/>
      <c r="AB196" s="51"/>
      <c r="AC196" s="51"/>
      <c r="AD196" s="51"/>
      <c r="AE196" s="51"/>
    </row>
    <row r="197" spans="1:31" s="123" customFormat="1" ht="11.25" customHeight="1">
      <c r="A197" s="529"/>
      <c r="B197" s="53"/>
      <c r="C197" s="53"/>
      <c r="K197" s="49"/>
      <c r="L197" s="53"/>
      <c r="M197" s="53"/>
      <c r="N197" s="49"/>
      <c r="O197" s="49"/>
      <c r="P197" s="49"/>
      <c r="Q197" s="49"/>
      <c r="R197" s="53"/>
      <c r="S197" s="49"/>
      <c r="T197" s="49"/>
      <c r="U197" s="530"/>
      <c r="V197" s="49"/>
      <c r="W197" s="49"/>
      <c r="X197" s="49"/>
      <c r="Y197" s="49"/>
      <c r="Z197" s="49"/>
      <c r="AA197" s="52"/>
      <c r="AB197" s="51"/>
      <c r="AC197" s="51"/>
      <c r="AD197" s="51"/>
      <c r="AE197" s="51"/>
    </row>
    <row r="198" spans="1:31" s="123" customFormat="1" ht="11.25" customHeight="1">
      <c r="A198" s="529"/>
      <c r="B198" s="53"/>
      <c r="C198" s="53"/>
      <c r="K198" s="49"/>
      <c r="L198" s="53"/>
      <c r="M198" s="53"/>
      <c r="N198" s="49"/>
      <c r="O198" s="49"/>
      <c r="P198" s="49"/>
      <c r="Q198" s="49"/>
      <c r="R198" s="53"/>
      <c r="S198" s="49"/>
      <c r="T198" s="49"/>
      <c r="U198" s="530"/>
      <c r="V198" s="49"/>
      <c r="W198" s="49"/>
      <c r="X198" s="49"/>
      <c r="Y198" s="49"/>
      <c r="Z198" s="49"/>
      <c r="AA198" s="52"/>
      <c r="AB198" s="51"/>
      <c r="AC198" s="51"/>
      <c r="AD198" s="51"/>
      <c r="AE198" s="51"/>
    </row>
    <row r="199" spans="1:31" s="123" customFormat="1" ht="11.25" customHeight="1">
      <c r="A199" s="529"/>
      <c r="B199" s="53"/>
      <c r="C199" s="53"/>
      <c r="K199" s="49"/>
      <c r="L199" s="53"/>
      <c r="M199" s="53"/>
      <c r="N199" s="49"/>
      <c r="O199" s="49"/>
      <c r="P199" s="49"/>
      <c r="Q199" s="49"/>
      <c r="R199" s="53"/>
      <c r="S199" s="49"/>
      <c r="T199" s="49"/>
      <c r="U199" s="530"/>
      <c r="V199" s="49"/>
      <c r="W199" s="49"/>
      <c r="X199" s="49"/>
      <c r="Y199" s="49"/>
      <c r="Z199" s="49"/>
      <c r="AA199" s="52"/>
      <c r="AB199" s="51"/>
      <c r="AC199" s="51"/>
      <c r="AD199" s="51"/>
      <c r="AE199" s="51"/>
    </row>
    <row r="200" spans="1:31" s="123" customFormat="1" ht="11.25" customHeight="1">
      <c r="A200" s="529"/>
      <c r="B200" s="53"/>
      <c r="C200" s="53"/>
      <c r="K200" s="49"/>
      <c r="L200" s="53"/>
      <c r="M200" s="53"/>
      <c r="N200" s="49"/>
      <c r="O200" s="49"/>
      <c r="P200" s="49"/>
      <c r="Q200" s="49"/>
      <c r="R200" s="53"/>
      <c r="S200" s="49"/>
      <c r="T200" s="49"/>
      <c r="U200" s="530"/>
      <c r="V200" s="49"/>
      <c r="W200" s="49"/>
      <c r="X200" s="49"/>
      <c r="Y200" s="49"/>
      <c r="Z200" s="49"/>
      <c r="AA200" s="52"/>
      <c r="AB200" s="51"/>
      <c r="AC200" s="51"/>
      <c r="AD200" s="51"/>
      <c r="AE200" s="51"/>
    </row>
    <row r="201" spans="1:31" s="123" customFormat="1" ht="11.25" customHeight="1">
      <c r="A201" s="529"/>
      <c r="B201" s="53"/>
      <c r="C201" s="53"/>
      <c r="K201" s="49"/>
      <c r="L201" s="53"/>
      <c r="M201" s="53"/>
      <c r="N201" s="49"/>
      <c r="O201" s="49"/>
      <c r="P201" s="49"/>
      <c r="Q201" s="49"/>
      <c r="R201" s="53"/>
      <c r="S201" s="49"/>
      <c r="T201" s="49"/>
      <c r="U201" s="530"/>
      <c r="V201" s="49"/>
      <c r="W201" s="49"/>
      <c r="X201" s="49"/>
      <c r="Y201" s="49"/>
      <c r="Z201" s="49"/>
      <c r="AA201" s="52"/>
      <c r="AB201" s="51"/>
      <c r="AC201" s="51"/>
      <c r="AD201" s="51"/>
      <c r="AE201" s="51"/>
    </row>
    <row r="202" spans="1:31" s="123" customFormat="1" ht="11.25" customHeight="1">
      <c r="A202" s="529"/>
      <c r="B202" s="53"/>
      <c r="C202" s="53"/>
      <c r="K202" s="49"/>
      <c r="L202" s="53"/>
      <c r="M202" s="53"/>
      <c r="N202" s="49"/>
      <c r="O202" s="49"/>
      <c r="P202" s="49"/>
      <c r="Q202" s="49"/>
      <c r="R202" s="53"/>
      <c r="S202" s="49"/>
      <c r="T202" s="49"/>
      <c r="U202" s="530"/>
      <c r="V202" s="49"/>
      <c r="W202" s="49"/>
      <c r="X202" s="49"/>
      <c r="Y202" s="49"/>
      <c r="Z202" s="49"/>
      <c r="AA202" s="52"/>
      <c r="AB202" s="51"/>
      <c r="AC202" s="51"/>
      <c r="AD202" s="51"/>
      <c r="AE202" s="51"/>
    </row>
    <row r="203" spans="1:31" s="123" customFormat="1" ht="11.25" customHeight="1">
      <c r="A203" s="529"/>
      <c r="B203" s="53"/>
      <c r="C203" s="53"/>
      <c r="K203" s="49"/>
      <c r="L203" s="53"/>
      <c r="M203" s="53"/>
      <c r="N203" s="49"/>
      <c r="O203" s="49"/>
      <c r="P203" s="49"/>
      <c r="Q203" s="49"/>
      <c r="R203" s="53"/>
      <c r="S203" s="49"/>
      <c r="T203" s="49"/>
      <c r="U203" s="530"/>
      <c r="V203" s="49"/>
      <c r="W203" s="49"/>
      <c r="X203" s="49"/>
      <c r="Y203" s="49"/>
      <c r="Z203" s="49"/>
      <c r="AA203" s="52"/>
      <c r="AB203" s="51"/>
      <c r="AC203" s="51"/>
      <c r="AD203" s="51"/>
      <c r="AE203" s="51"/>
    </row>
    <row r="204" spans="1:31" s="123" customFormat="1" ht="11.25" customHeight="1">
      <c r="A204" s="529"/>
      <c r="B204" s="53"/>
      <c r="C204" s="53"/>
      <c r="K204" s="49"/>
      <c r="L204" s="53"/>
      <c r="M204" s="53"/>
      <c r="N204" s="49"/>
      <c r="O204" s="49"/>
      <c r="P204" s="49"/>
      <c r="Q204" s="49"/>
      <c r="R204" s="53"/>
      <c r="S204" s="49"/>
      <c r="T204" s="49"/>
      <c r="U204" s="530"/>
      <c r="V204" s="49"/>
      <c r="W204" s="49"/>
      <c r="X204" s="49"/>
      <c r="Y204" s="49"/>
      <c r="Z204" s="49"/>
      <c r="AA204" s="52"/>
      <c r="AB204" s="51"/>
      <c r="AC204" s="51"/>
      <c r="AD204" s="51"/>
      <c r="AE204" s="51"/>
    </row>
    <row r="208" spans="1:31" ht="11.25" customHeight="1">
      <c r="A208" s="594"/>
      <c r="B208" s="46"/>
      <c r="K208" s="46"/>
      <c r="N208" s="46"/>
      <c r="O208" s="46"/>
      <c r="P208" s="46"/>
      <c r="Q208" s="46"/>
      <c r="S208" s="46"/>
      <c r="T208" s="46"/>
      <c r="U208" s="46"/>
      <c r="V208" s="46"/>
      <c r="W208" s="46"/>
      <c r="X208" s="46"/>
      <c r="Y208" s="46"/>
      <c r="Z208" s="46"/>
      <c r="AA208" s="46"/>
      <c r="AB208" s="46"/>
      <c r="AC208" s="46"/>
      <c r="AD208" s="46"/>
      <c r="AE208" s="46"/>
    </row>
    <row r="209" spans="1:31" ht="11.25" customHeight="1">
      <c r="A209" s="594"/>
      <c r="B209" s="46"/>
      <c r="K209" s="46"/>
      <c r="N209" s="46"/>
      <c r="O209" s="46"/>
      <c r="P209" s="46"/>
      <c r="Q209" s="46"/>
      <c r="S209" s="46"/>
      <c r="T209" s="46"/>
      <c r="U209" s="46"/>
      <c r="V209" s="46"/>
      <c r="W209" s="46"/>
      <c r="X209" s="46"/>
      <c r="Y209" s="46"/>
      <c r="Z209" s="46"/>
      <c r="AA209" s="46"/>
      <c r="AB209" s="46"/>
      <c r="AC209" s="46"/>
      <c r="AD209" s="46"/>
      <c r="AE209" s="46"/>
    </row>
    <row r="210" spans="1:31" ht="11.25" customHeight="1">
      <c r="A210" s="594"/>
      <c r="B210" s="46"/>
      <c r="K210" s="46"/>
      <c r="N210" s="46"/>
      <c r="O210" s="46"/>
      <c r="P210" s="46"/>
      <c r="Q210" s="46"/>
      <c r="S210" s="46"/>
      <c r="T210" s="46"/>
      <c r="U210" s="46"/>
      <c r="V210" s="46"/>
      <c r="W210" s="46"/>
      <c r="X210" s="46"/>
      <c r="Y210" s="46"/>
      <c r="Z210" s="46"/>
      <c r="AA210" s="46"/>
      <c r="AB210" s="46"/>
      <c r="AC210" s="46"/>
      <c r="AD210" s="46"/>
      <c r="AE210" s="46"/>
    </row>
    <row r="211" spans="1:31" ht="11.25" customHeight="1">
      <c r="A211" s="594"/>
      <c r="B211" s="46"/>
      <c r="K211" s="46"/>
      <c r="N211" s="46"/>
      <c r="O211" s="46"/>
      <c r="P211" s="46"/>
      <c r="Q211" s="46"/>
      <c r="S211" s="46"/>
      <c r="T211" s="46"/>
      <c r="U211" s="46"/>
      <c r="V211" s="46"/>
      <c r="W211" s="46"/>
      <c r="X211" s="46"/>
      <c r="Y211" s="46"/>
      <c r="Z211" s="46"/>
      <c r="AA211" s="46"/>
      <c r="AB211" s="46"/>
      <c r="AC211" s="46"/>
      <c r="AD211" s="46"/>
      <c r="AE211" s="46"/>
    </row>
    <row r="212" spans="1:31" ht="11.25" customHeight="1">
      <c r="A212" s="594"/>
      <c r="B212" s="46"/>
      <c r="K212" s="46"/>
      <c r="N212" s="46"/>
      <c r="O212" s="46"/>
      <c r="P212" s="46"/>
      <c r="Q212" s="46"/>
      <c r="S212" s="46"/>
      <c r="T212" s="46"/>
      <c r="U212" s="46"/>
      <c r="V212" s="46"/>
      <c r="W212" s="46"/>
      <c r="X212" s="46"/>
      <c r="Y212" s="46"/>
      <c r="Z212" s="46"/>
      <c r="AA212" s="46"/>
      <c r="AB212" s="46"/>
      <c r="AC212" s="46"/>
      <c r="AD212" s="46"/>
      <c r="AE212" s="46"/>
    </row>
    <row r="213" spans="1:31" ht="11.25" customHeight="1">
      <c r="A213" s="594"/>
      <c r="B213" s="46"/>
      <c r="K213" s="46"/>
      <c r="N213" s="46"/>
      <c r="O213" s="46"/>
      <c r="P213" s="46"/>
      <c r="Q213" s="46"/>
      <c r="S213" s="46"/>
      <c r="T213" s="46"/>
      <c r="U213" s="46"/>
      <c r="V213" s="46"/>
      <c r="W213" s="46"/>
      <c r="X213" s="46"/>
      <c r="Y213" s="46"/>
      <c r="Z213" s="46"/>
      <c r="AA213" s="46"/>
      <c r="AB213" s="46"/>
      <c r="AC213" s="46"/>
      <c r="AD213" s="46"/>
      <c r="AE213" s="46"/>
    </row>
    <row r="214" spans="1:31" ht="11.25" customHeight="1">
      <c r="A214" s="594"/>
      <c r="B214" s="46"/>
      <c r="K214" s="46"/>
      <c r="N214" s="46"/>
      <c r="O214" s="46"/>
      <c r="P214" s="46"/>
      <c r="Q214" s="46"/>
      <c r="S214" s="46"/>
      <c r="T214" s="46"/>
      <c r="U214" s="46"/>
      <c r="V214" s="46"/>
      <c r="W214" s="46"/>
      <c r="X214" s="46"/>
      <c r="Y214" s="46"/>
      <c r="Z214" s="46"/>
      <c r="AA214" s="46"/>
      <c r="AB214" s="46"/>
      <c r="AC214" s="46"/>
      <c r="AD214" s="46"/>
      <c r="AE214" s="46"/>
    </row>
    <row r="215" spans="1:31" ht="11.25" customHeight="1">
      <c r="A215" s="594"/>
      <c r="B215" s="46"/>
      <c r="K215" s="46"/>
      <c r="N215" s="46"/>
      <c r="O215" s="46"/>
      <c r="P215" s="46"/>
      <c r="Q215" s="46"/>
      <c r="S215" s="46"/>
      <c r="T215" s="46"/>
      <c r="U215" s="46"/>
      <c r="V215" s="46"/>
      <c r="W215" s="46"/>
      <c r="X215" s="46"/>
      <c r="Y215" s="46"/>
      <c r="Z215" s="46"/>
      <c r="AA215" s="46"/>
      <c r="AB215" s="46"/>
      <c r="AC215" s="46"/>
      <c r="AD215" s="46"/>
      <c r="AE215" s="46"/>
    </row>
    <row r="216" spans="1:31" ht="11.25" customHeight="1">
      <c r="A216" s="594"/>
      <c r="B216" s="46"/>
      <c r="K216" s="46"/>
      <c r="N216" s="46"/>
      <c r="O216" s="46"/>
      <c r="P216" s="46"/>
      <c r="Q216" s="46"/>
      <c r="S216" s="46"/>
      <c r="T216" s="46"/>
      <c r="U216" s="46"/>
      <c r="V216" s="46"/>
      <c r="W216" s="46"/>
      <c r="X216" s="46"/>
      <c r="Y216" s="46"/>
      <c r="Z216" s="46"/>
      <c r="AA216" s="46"/>
      <c r="AB216" s="46"/>
      <c r="AC216" s="46"/>
      <c r="AD216" s="46"/>
      <c r="AE216" s="46"/>
    </row>
    <row r="217" spans="1:31" ht="11.25" customHeight="1">
      <c r="A217" s="594"/>
      <c r="B217" s="46"/>
      <c r="K217" s="46"/>
      <c r="N217" s="46"/>
      <c r="O217" s="46"/>
      <c r="P217" s="46"/>
      <c r="Q217" s="46"/>
      <c r="S217" s="46"/>
      <c r="T217" s="46"/>
      <c r="U217" s="46"/>
      <c r="V217" s="46"/>
      <c r="W217" s="46"/>
      <c r="X217" s="46"/>
      <c r="Y217" s="46"/>
      <c r="Z217" s="46"/>
      <c r="AA217" s="46"/>
      <c r="AB217" s="46"/>
      <c r="AC217" s="46"/>
      <c r="AD217" s="46"/>
      <c r="AE217" s="46"/>
    </row>
    <row r="218" spans="1:31" ht="11.25" customHeight="1">
      <c r="A218" s="594"/>
      <c r="B218" s="46"/>
      <c r="K218" s="46"/>
      <c r="N218" s="46"/>
      <c r="O218" s="46"/>
      <c r="P218" s="46"/>
      <c r="Q218" s="46"/>
      <c r="S218" s="46"/>
      <c r="T218" s="46"/>
      <c r="U218" s="46"/>
      <c r="V218" s="46"/>
      <c r="W218" s="46"/>
      <c r="X218" s="46"/>
      <c r="Y218" s="46"/>
      <c r="Z218" s="46"/>
      <c r="AA218" s="46"/>
      <c r="AB218" s="46"/>
      <c r="AC218" s="46"/>
      <c r="AD218" s="46"/>
      <c r="AE218" s="46"/>
    </row>
  </sheetData>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formula2>0</formula2>
    </dataValidation>
    <dataValidation type="decimal" allowBlank="1" showErrorMessage="1" errorTitle="Ошибка" error="Допускается ввод только неотрицательных чисел!" sqref="H2:I2 H15:I15 H17:I32 H35:I35 H38:I39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formula2>0</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625" bottom="0.62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E209"/>
  <sheetViews>
    <sheetView showGridLines="0" topLeftCell="D5" zoomScale="90" zoomScaleNormal="90" workbookViewId="0"/>
  </sheetViews>
  <sheetFormatPr defaultColWidth="9.140625" defaultRowHeight="11.25"/>
  <cols>
    <col min="1" max="1" width="10.7109375" style="529" hidden="1" customWidth="1"/>
    <col min="2" max="2" width="16.85546875" style="49" hidden="1" customWidth="1"/>
    <col min="3" max="3" width="5.5703125" style="53" hidden="1" customWidth="1"/>
    <col min="4" max="4" width="3.7109375" style="46" customWidth="1"/>
    <col min="5" max="5" width="7.7109375" style="46" customWidth="1"/>
    <col min="6" max="6" width="54.5703125" style="46" customWidth="1"/>
    <col min="7" max="7" width="10.42578125" style="46" customWidth="1"/>
    <col min="8" max="8" width="40.7109375" style="46" hidden="1" customWidth="1"/>
    <col min="9" max="9" width="40.7109375" style="46" customWidth="1"/>
    <col min="10" max="10" width="102.85546875" style="46" customWidth="1"/>
    <col min="11" max="11" width="9.7109375" style="49" customWidth="1"/>
    <col min="12" max="12" width="5.28515625" style="53" customWidth="1"/>
    <col min="13" max="13" width="3.7109375" style="53" customWidth="1"/>
    <col min="14" max="17" width="3.7109375" style="49" customWidth="1"/>
    <col min="18" max="18" width="10.5703125" style="53" customWidth="1"/>
    <col min="19" max="19" width="34.7109375" style="49" customWidth="1"/>
    <col min="20" max="20" width="9.42578125" style="49" customWidth="1"/>
    <col min="21" max="21" width="9.140625" style="530"/>
    <col min="22" max="26" width="9.140625" style="49"/>
    <col min="27" max="31" width="9.140625" style="52"/>
  </cols>
  <sheetData>
    <row r="1" spans="1:31" s="49" customFormat="1" ht="11.25" hidden="1" customHeight="1">
      <c r="A1" s="529"/>
      <c r="C1" s="53"/>
      <c r="H1" s="49">
        <v>4</v>
      </c>
      <c r="I1" s="49">
        <v>4</v>
      </c>
      <c r="L1" s="53"/>
      <c r="M1" s="53"/>
      <c r="R1" s="53"/>
    </row>
    <row r="2" spans="1:31" s="49" customFormat="1" ht="22.5" hidden="1" customHeight="1">
      <c r="A2" s="529"/>
      <c r="C2" s="53"/>
      <c r="D2" s="539"/>
      <c r="E2" s="148"/>
      <c r="F2" s="150"/>
      <c r="G2" s="148" t="s">
        <v>532</v>
      </c>
      <c r="H2" s="411"/>
      <c r="I2" s="411"/>
      <c r="J2" s="540" t="s">
        <v>535</v>
      </c>
      <c r="K2" s="534"/>
      <c r="L2" s="53"/>
      <c r="M2" s="53"/>
      <c r="R2" s="53"/>
      <c r="U2" s="530"/>
      <c r="AA2" s="52"/>
      <c r="AB2" s="52"/>
      <c r="AC2" s="52"/>
      <c r="AD2" s="52"/>
      <c r="AE2" s="52"/>
    </row>
    <row r="3" spans="1:31" ht="11.25" hidden="1" customHeight="1"/>
    <row r="4" spans="1:31" s="52" customFormat="1" ht="11.25" hidden="1" customHeight="1">
      <c r="A4" s="529"/>
      <c r="B4" s="49"/>
      <c r="C4" s="53"/>
      <c r="J4" s="52">
        <v>4</v>
      </c>
      <c r="K4" s="49"/>
      <c r="L4" s="53"/>
      <c r="M4" s="53"/>
      <c r="N4" s="49"/>
      <c r="O4" s="49"/>
      <c r="P4" s="49"/>
      <c r="Q4" s="49"/>
      <c r="R4" s="53"/>
      <c r="S4" s="49"/>
      <c r="T4" s="49"/>
      <c r="U4" s="530"/>
      <c r="V4" s="49"/>
      <c r="W4" s="49"/>
      <c r="X4" s="49"/>
      <c r="Y4" s="49"/>
      <c r="Z4" s="49"/>
    </row>
    <row r="6" spans="1:31" ht="32.25" customHeight="1">
      <c r="E6" s="1106" t="s">
        <v>669</v>
      </c>
      <c r="F6" s="1106"/>
      <c r="G6" s="1106"/>
      <c r="H6" s="1106"/>
      <c r="I6" s="1106"/>
      <c r="J6" s="201"/>
    </row>
    <row r="7" spans="1:31" ht="24" customHeight="1">
      <c r="E7" s="1127" t="str">
        <f>IF(org=0,"Не определено",org)</f>
        <v>Филиал ПАО "ОГК-2" - Серовская ГРЭС, г. Серов</v>
      </c>
      <c r="F7" s="1127"/>
      <c r="G7" s="1127"/>
      <c r="H7" s="1127"/>
      <c r="I7" s="1127"/>
    </row>
    <row r="8" spans="1:31" ht="11.25" customHeight="1">
      <c r="E8" s="543"/>
      <c r="F8" s="543"/>
      <c r="G8" s="543"/>
      <c r="H8" s="543"/>
      <c r="I8" s="543"/>
    </row>
    <row r="9" spans="1:31" s="53" customFormat="1" ht="0.75" customHeight="1">
      <c r="A9" s="431"/>
      <c r="H9" s="544"/>
      <c r="I9" s="544" t="s">
        <v>113</v>
      </c>
    </row>
    <row r="10" spans="1:31" ht="11.25" customHeight="1">
      <c r="E10" s="545"/>
      <c r="F10" s="1197" t="s">
        <v>101</v>
      </c>
      <c r="G10" s="1197"/>
      <c r="H10" s="547" t="str">
        <f>IF(H9="","",INDEX(DIFFERENTIATION_UNMERGE_VD,MATCH(H9,DIFFERENTIATION_ID_DIFF,0)))</f>
        <v/>
      </c>
      <c r="I10" s="547">
        <f>IF(I9="","",INDEX(DIFFERENTIATION_UNMERGE_VD,MATCH(I9,DIFFERENTIATION_ID_DIFF,0)))</f>
        <v>0</v>
      </c>
      <c r="J10" s="1087"/>
    </row>
    <row r="11" spans="1:31" ht="11.25" customHeight="1">
      <c r="E11" s="545"/>
      <c r="F11" s="1197" t="s">
        <v>544</v>
      </c>
      <c r="G11" s="1197"/>
      <c r="H11" s="547" t="str">
        <f>IF(H9="","",INDEX(DIFFERENTIATION_UNMERGE_AREA,MATCH(H9,DIFFERENTIATION_ID_DIFF,0)))</f>
        <v/>
      </c>
      <c r="I11" s="547" t="str">
        <f>IF(I9="","",INDEX(DIFFERENTIATION_UNMERGE_AREA,MATCH(I9,DIFFERENTIATION_ID_DIFF,0)))</f>
        <v/>
      </c>
      <c r="J11" s="1087"/>
    </row>
    <row r="12" spans="1:31" ht="11.25" hidden="1" customHeight="1">
      <c r="E12" s="616"/>
      <c r="F12" s="1206" t="s">
        <v>545</v>
      </c>
      <c r="G12" s="1206"/>
      <c r="H12" s="617" t="str">
        <f>IF(H9="","",INDEX(DIFFERENTIATION_UNMERGE_SYSTEM,MATCH(H9,DIFFERENTIATION_ID_DIFF,0)))</f>
        <v/>
      </c>
      <c r="I12" s="617" t="str">
        <f>IF(I9="","",INDEX(DIFFERENTIATION_UNMERGE_SYSTEM,MATCH(I9,DIFFERENTIATION_ID_DIFF,0)))</f>
        <v>без дифференциации</v>
      </c>
      <c r="J12" s="1087"/>
    </row>
    <row r="13" spans="1:31" ht="11.25" customHeight="1">
      <c r="E13" s="1198" t="s">
        <v>287</v>
      </c>
      <c r="F13" s="1198"/>
      <c r="G13" s="1198"/>
      <c r="H13" s="548"/>
      <c r="I13" s="548"/>
      <c r="J13" s="1087"/>
    </row>
    <row r="14" spans="1:31" ht="22.5" customHeight="1">
      <c r="E14" s="148" t="s">
        <v>84</v>
      </c>
      <c r="F14" s="148" t="s">
        <v>289</v>
      </c>
      <c r="G14" s="148" t="s">
        <v>546</v>
      </c>
      <c r="H14" s="148" t="s">
        <v>290</v>
      </c>
      <c r="I14" s="148" t="s">
        <v>290</v>
      </c>
      <c r="J14" s="1087"/>
    </row>
    <row r="15" spans="1:31" ht="18.75" customHeight="1">
      <c r="D15" s="117"/>
      <c r="E15" s="618" t="s">
        <v>105</v>
      </c>
      <c r="F15" s="549" t="s">
        <v>670</v>
      </c>
      <c r="G15" s="148" t="s">
        <v>532</v>
      </c>
      <c r="H15" s="550"/>
      <c r="I15" s="550"/>
      <c r="J15" s="395" t="s">
        <v>671</v>
      </c>
      <c r="K15" s="534" t="s">
        <v>599</v>
      </c>
    </row>
    <row r="16" spans="1:31" ht="22.5" customHeight="1">
      <c r="D16" s="117"/>
      <c r="E16" s="618" t="s">
        <v>106</v>
      </c>
      <c r="F16" s="248" t="s">
        <v>672</v>
      </c>
      <c r="G16" s="148" t="s">
        <v>532</v>
      </c>
      <c r="H16" s="551">
        <f>SUM(H17,H20:H27)</f>
        <v>0</v>
      </c>
      <c r="I16" s="551">
        <f>SUM(I17,I20:I27)</f>
        <v>0</v>
      </c>
      <c r="J16" s="395" t="s">
        <v>673</v>
      </c>
      <c r="K16" s="534" t="s">
        <v>599</v>
      </c>
    </row>
    <row r="17" spans="1:31" ht="33.75" customHeight="1">
      <c r="D17" s="117"/>
      <c r="E17" s="619" t="s">
        <v>602</v>
      </c>
      <c r="F17" s="301" t="s">
        <v>674</v>
      </c>
      <c r="G17" s="458" t="s">
        <v>532</v>
      </c>
      <c r="H17" s="550"/>
      <c r="I17" s="550"/>
      <c r="J17" s="395" t="s">
        <v>675</v>
      </c>
      <c r="K17" s="534"/>
    </row>
    <row r="18" spans="1:31" ht="18.75" customHeight="1">
      <c r="D18" s="117"/>
      <c r="E18" s="619" t="s">
        <v>605</v>
      </c>
      <c r="F18" s="624" t="s">
        <v>676</v>
      </c>
      <c r="G18" s="458" t="s">
        <v>532</v>
      </c>
      <c r="H18" s="550"/>
      <c r="I18" s="550"/>
      <c r="J18" s="395"/>
      <c r="K18" s="534"/>
    </row>
    <row r="19" spans="1:31" ht="22.5" customHeight="1">
      <c r="D19" s="117"/>
      <c r="E19" s="619" t="s">
        <v>608</v>
      </c>
      <c r="F19" s="624" t="s">
        <v>677</v>
      </c>
      <c r="G19" s="458" t="s">
        <v>532</v>
      </c>
      <c r="H19" s="550"/>
      <c r="I19" s="550"/>
      <c r="J19" s="395"/>
      <c r="K19" s="534"/>
    </row>
    <row r="20" spans="1:31" ht="33.75" customHeight="1">
      <c r="D20" s="117"/>
      <c r="E20" s="619" t="s">
        <v>294</v>
      </c>
      <c r="F20" s="301" t="s">
        <v>678</v>
      </c>
      <c r="G20" s="458" t="s">
        <v>532</v>
      </c>
      <c r="H20" s="550"/>
      <c r="I20" s="550"/>
      <c r="J20" s="395"/>
      <c r="K20" s="534"/>
    </row>
    <row r="21" spans="1:31" ht="33.75" customHeight="1">
      <c r="D21" s="117"/>
      <c r="E21" s="619" t="s">
        <v>297</v>
      </c>
      <c r="F21" s="301" t="s">
        <v>679</v>
      </c>
      <c r="G21" s="458" t="s">
        <v>532</v>
      </c>
      <c r="H21" s="550"/>
      <c r="I21" s="550"/>
      <c r="J21" s="395"/>
      <c r="K21" s="534"/>
    </row>
    <row r="22" spans="1:31" ht="56.25" customHeight="1">
      <c r="D22" s="117"/>
      <c r="E22" s="619" t="s">
        <v>622</v>
      </c>
      <c r="F22" s="301" t="s">
        <v>680</v>
      </c>
      <c r="G22" s="458" t="s">
        <v>532</v>
      </c>
      <c r="H22" s="550"/>
      <c r="I22" s="550"/>
      <c r="J22" s="395"/>
      <c r="K22" s="534"/>
    </row>
    <row r="23" spans="1:31" ht="33.75" customHeight="1">
      <c r="D23" s="117"/>
      <c r="E23" s="619" t="s">
        <v>629</v>
      </c>
      <c r="F23" s="301" t="s">
        <v>681</v>
      </c>
      <c r="G23" s="458" t="s">
        <v>532</v>
      </c>
      <c r="H23" s="550"/>
      <c r="I23" s="550"/>
      <c r="J23" s="395"/>
      <c r="K23" s="534"/>
    </row>
    <row r="24" spans="1:31" ht="33.75" customHeight="1">
      <c r="D24" s="117"/>
      <c r="E24" s="619" t="s">
        <v>631</v>
      </c>
      <c r="F24" s="301" t="s">
        <v>682</v>
      </c>
      <c r="G24" s="458" t="s">
        <v>532</v>
      </c>
      <c r="H24" s="550"/>
      <c r="I24" s="550"/>
      <c r="J24" s="395"/>
      <c r="K24" s="534"/>
    </row>
    <row r="25" spans="1:31" ht="22.5" customHeight="1">
      <c r="D25" s="117"/>
      <c r="E25" s="619" t="s">
        <v>633</v>
      </c>
      <c r="F25" s="301" t="s">
        <v>683</v>
      </c>
      <c r="G25" s="458" t="s">
        <v>532</v>
      </c>
      <c r="H25" s="550"/>
      <c r="I25" s="550"/>
      <c r="J25" s="395"/>
      <c r="K25" s="534"/>
    </row>
    <row r="26" spans="1:31" ht="67.5" customHeight="1">
      <c r="D26" s="117"/>
      <c r="E26" s="619" t="s">
        <v>635</v>
      </c>
      <c r="F26" s="301" t="s">
        <v>684</v>
      </c>
      <c r="G26" s="458" t="s">
        <v>532</v>
      </c>
      <c r="H26" s="550"/>
      <c r="I26" s="550"/>
      <c r="J26" s="395"/>
      <c r="K26" s="534"/>
    </row>
    <row r="27" spans="1:31" s="49" customFormat="1" ht="22.5" customHeight="1">
      <c r="A27" s="529"/>
      <c r="C27" s="53"/>
      <c r="D27" s="117"/>
      <c r="E27" s="625" t="s">
        <v>639</v>
      </c>
      <c r="F27" s="626" t="s">
        <v>685</v>
      </c>
      <c r="G27" s="242" t="s">
        <v>532</v>
      </c>
      <c r="H27" s="571">
        <f>SUM(H28:H29)</f>
        <v>0</v>
      </c>
      <c r="I27" s="571">
        <f>SUM(I28:I29)</f>
        <v>0</v>
      </c>
      <c r="J27" s="395" t="s">
        <v>637</v>
      </c>
      <c r="K27" s="534"/>
      <c r="L27" s="53"/>
      <c r="M27" s="53"/>
      <c r="R27" s="53"/>
      <c r="U27" s="530"/>
      <c r="AA27" s="52"/>
      <c r="AB27" s="52"/>
      <c r="AC27" s="52"/>
      <c r="AD27" s="52"/>
      <c r="AE27" s="52"/>
    </row>
    <row r="28" spans="1:31" s="53" customFormat="1" ht="0.75" customHeight="1">
      <c r="A28" s="431"/>
      <c r="D28" s="431"/>
      <c r="E28" s="149" t="str">
        <f>E27&amp;".0"</f>
        <v>2.9.0</v>
      </c>
      <c r="F28" s="572"/>
      <c r="G28" s="149"/>
      <c r="H28" s="573"/>
      <c r="I28" s="573"/>
      <c r="J28" s="574"/>
    </row>
    <row r="29" spans="1:31" s="49" customFormat="1" ht="18.75" customHeight="1">
      <c r="A29" s="529"/>
      <c r="C29" s="53"/>
      <c r="D29" s="120"/>
      <c r="E29" s="561"/>
      <c r="F29" s="622" t="s">
        <v>557</v>
      </c>
      <c r="G29" s="562"/>
      <c r="H29" s="563"/>
      <c r="I29" s="563"/>
      <c r="J29" s="444" t="s">
        <v>638</v>
      </c>
      <c r="K29" s="534"/>
      <c r="L29" s="53"/>
      <c r="M29" s="53"/>
      <c r="R29" s="53"/>
      <c r="U29" s="530"/>
      <c r="AA29" s="52"/>
      <c r="AB29" s="52"/>
      <c r="AC29" s="52"/>
      <c r="AD29" s="52"/>
      <c r="AE29" s="52"/>
    </row>
    <row r="30" spans="1:31" s="49" customFormat="1" ht="22.5" customHeight="1">
      <c r="A30" s="529"/>
      <c r="C30" s="53"/>
      <c r="D30" s="117"/>
      <c r="E30" s="619" t="s">
        <v>86</v>
      </c>
      <c r="F30" s="627" t="s">
        <v>686</v>
      </c>
      <c r="G30" s="458" t="s">
        <v>532</v>
      </c>
      <c r="H30" s="550"/>
      <c r="I30" s="550"/>
      <c r="J30" s="395"/>
      <c r="K30" s="534"/>
      <c r="L30" s="53"/>
      <c r="M30" s="53"/>
      <c r="R30" s="53"/>
      <c r="U30" s="530"/>
      <c r="AA30" s="52"/>
      <c r="AB30" s="52"/>
      <c r="AC30" s="52"/>
      <c r="AD30" s="52"/>
      <c r="AE30" s="52"/>
    </row>
    <row r="31" spans="1:31" s="49" customFormat="1" ht="33.75" customHeight="1">
      <c r="A31" s="529"/>
      <c r="C31" s="53"/>
      <c r="D31" s="567"/>
      <c r="E31" s="619" t="s">
        <v>87</v>
      </c>
      <c r="F31" s="627" t="s">
        <v>687</v>
      </c>
      <c r="G31" s="458" t="s">
        <v>532</v>
      </c>
      <c r="H31" s="550"/>
      <c r="I31" s="550"/>
      <c r="J31" s="395" t="s">
        <v>688</v>
      </c>
      <c r="K31" s="534"/>
      <c r="L31" s="53"/>
      <c r="M31" s="53"/>
      <c r="R31" s="53"/>
      <c r="U31" s="530"/>
      <c r="AA31" s="52"/>
      <c r="AB31" s="52"/>
      <c r="AC31" s="52"/>
      <c r="AD31" s="52"/>
      <c r="AE31" s="52"/>
    </row>
    <row r="32" spans="1:31" s="49" customFormat="1" ht="22.5" customHeight="1">
      <c r="A32" s="529"/>
      <c r="C32" s="53"/>
      <c r="D32" s="117"/>
      <c r="E32" s="619" t="s">
        <v>647</v>
      </c>
      <c r="F32" s="301" t="s">
        <v>651</v>
      </c>
      <c r="G32" s="458" t="s">
        <v>532</v>
      </c>
      <c r="H32" s="550"/>
      <c r="I32" s="550"/>
      <c r="J32" s="395" t="s">
        <v>689</v>
      </c>
      <c r="K32" s="534"/>
      <c r="L32" s="53"/>
      <c r="M32" s="53"/>
      <c r="R32" s="53"/>
      <c r="U32" s="530"/>
      <c r="AA32" s="52"/>
      <c r="AB32" s="52"/>
      <c r="AC32" s="52"/>
      <c r="AD32" s="52"/>
      <c r="AE32" s="52"/>
    </row>
    <row r="33" spans="1:31" s="49" customFormat="1" ht="22.5" customHeight="1">
      <c r="A33" s="529"/>
      <c r="C33" s="53"/>
      <c r="D33" s="117"/>
      <c r="E33" s="619" t="s">
        <v>690</v>
      </c>
      <c r="F33" s="301" t="s">
        <v>691</v>
      </c>
      <c r="G33" s="458" t="s">
        <v>532</v>
      </c>
      <c r="H33" s="550"/>
      <c r="I33" s="550"/>
      <c r="J33" s="395" t="s">
        <v>692</v>
      </c>
      <c r="K33" s="534"/>
      <c r="L33" s="53"/>
      <c r="M33" s="53"/>
      <c r="R33" s="53"/>
      <c r="U33" s="530"/>
      <c r="AA33" s="52"/>
      <c r="AB33" s="52"/>
      <c r="AC33" s="52"/>
      <c r="AD33" s="52"/>
      <c r="AE33" s="52"/>
    </row>
    <row r="34" spans="1:31" s="49" customFormat="1" ht="22.5" customHeight="1">
      <c r="A34" s="529"/>
      <c r="C34" s="53"/>
      <c r="D34" s="117"/>
      <c r="E34" s="619" t="s">
        <v>693</v>
      </c>
      <c r="F34" s="301" t="s">
        <v>657</v>
      </c>
      <c r="G34" s="458" t="s">
        <v>532</v>
      </c>
      <c r="H34" s="550"/>
      <c r="I34" s="550"/>
      <c r="J34" s="395" t="s">
        <v>694</v>
      </c>
      <c r="K34" s="534"/>
      <c r="L34" s="53"/>
      <c r="M34" s="53"/>
      <c r="R34" s="53"/>
      <c r="U34" s="530"/>
      <c r="AA34" s="52"/>
      <c r="AB34" s="52"/>
      <c r="AC34" s="52"/>
      <c r="AD34" s="52"/>
      <c r="AE34" s="52"/>
    </row>
    <row r="35" spans="1:31" s="49" customFormat="1" ht="33.75" customHeight="1">
      <c r="A35" s="529"/>
      <c r="C35" s="53" t="s">
        <v>568</v>
      </c>
      <c r="D35" s="117"/>
      <c r="E35" s="619" t="s">
        <v>107</v>
      </c>
      <c r="F35" s="627" t="s">
        <v>659</v>
      </c>
      <c r="G35" s="148" t="s">
        <v>293</v>
      </c>
      <c r="H35" s="577"/>
      <c r="I35" s="577"/>
      <c r="J35" s="533" t="s">
        <v>695</v>
      </c>
      <c r="K35" s="534"/>
      <c r="L35" s="53"/>
      <c r="M35" s="53"/>
      <c r="R35" s="53"/>
      <c r="U35" s="530"/>
      <c r="AA35" s="52"/>
      <c r="AB35" s="52"/>
      <c r="AC35" s="52"/>
      <c r="AD35" s="52"/>
      <c r="AE35" s="52"/>
    </row>
    <row r="36" spans="1:31" s="49" customFormat="1" ht="22.5" customHeight="1">
      <c r="A36" s="529"/>
      <c r="C36" s="53"/>
      <c r="D36" s="117"/>
      <c r="E36" s="619" t="s">
        <v>88</v>
      </c>
      <c r="F36" s="627" t="s">
        <v>696</v>
      </c>
      <c r="G36" s="623" t="s">
        <v>663</v>
      </c>
      <c r="H36" s="541"/>
      <c r="I36" s="541"/>
      <c r="J36" s="395" t="s">
        <v>664</v>
      </c>
      <c r="K36" s="534"/>
      <c r="L36" s="53"/>
      <c r="M36" s="53"/>
      <c r="R36" s="53"/>
      <c r="U36" s="530"/>
      <c r="AA36" s="52"/>
      <c r="AB36" s="52"/>
      <c r="AC36" s="52"/>
      <c r="AD36" s="52"/>
      <c r="AE36" s="52"/>
    </row>
    <row r="37" spans="1:31" s="49" customFormat="1" ht="22.5" customHeight="1">
      <c r="A37" s="529"/>
      <c r="C37" s="53"/>
      <c r="D37" s="117"/>
      <c r="E37" s="619" t="s">
        <v>89</v>
      </c>
      <c r="F37" s="627" t="s">
        <v>697</v>
      </c>
      <c r="G37" s="458" t="s">
        <v>666</v>
      </c>
      <c r="H37" s="541"/>
      <c r="I37" s="541"/>
      <c r="J37" s="395" t="s">
        <v>667</v>
      </c>
      <c r="K37" s="534"/>
      <c r="L37" s="53"/>
      <c r="M37" s="53"/>
      <c r="R37" s="53"/>
      <c r="U37" s="530"/>
      <c r="AA37" s="52"/>
      <c r="AB37" s="52"/>
      <c r="AC37" s="52"/>
      <c r="AD37" s="52"/>
      <c r="AE37" s="52"/>
    </row>
    <row r="38" spans="1:31" ht="11.25" customHeight="1">
      <c r="D38" s="117"/>
    </row>
    <row r="39" spans="1:31" ht="26.25" customHeight="1">
      <c r="D39" s="117"/>
      <c r="E39" s="387" t="s">
        <v>698</v>
      </c>
      <c r="F39" s="1171" t="s">
        <v>699</v>
      </c>
      <c r="G39" s="1171"/>
      <c r="H39" s="1171"/>
      <c r="I39" s="1171"/>
      <c r="J39" s="1171"/>
    </row>
    <row r="40" spans="1:31" s="123" customFormat="1" ht="37.5" customHeight="1">
      <c r="A40" s="529"/>
      <c r="B40" s="53"/>
      <c r="C40" s="53"/>
      <c r="F40" s="1171" t="s">
        <v>700</v>
      </c>
      <c r="G40" s="1171"/>
      <c r="H40" s="1171"/>
      <c r="I40" s="1171"/>
      <c r="J40" s="1171"/>
      <c r="K40" s="49"/>
      <c r="L40" s="53"/>
      <c r="M40" s="53"/>
      <c r="N40" s="49"/>
      <c r="O40" s="49"/>
      <c r="P40" s="49"/>
      <c r="Q40" s="49"/>
      <c r="R40" s="53"/>
      <c r="S40" s="49"/>
      <c r="T40" s="49"/>
      <c r="U40" s="530"/>
      <c r="V40" s="49"/>
      <c r="W40" s="49"/>
      <c r="X40" s="49"/>
      <c r="Y40" s="49"/>
      <c r="Z40" s="49"/>
      <c r="AA40" s="52"/>
      <c r="AB40" s="51"/>
      <c r="AC40" s="51"/>
      <c r="AD40" s="51"/>
      <c r="AE40" s="51"/>
    </row>
    <row r="41" spans="1:31" s="123" customFormat="1" ht="11.25" customHeight="1">
      <c r="A41" s="529"/>
      <c r="B41" s="53"/>
      <c r="C41" s="53"/>
      <c r="K41" s="49"/>
      <c r="L41" s="53"/>
      <c r="M41" s="53"/>
      <c r="N41" s="49"/>
      <c r="O41" s="49"/>
      <c r="P41" s="49"/>
      <c r="Q41" s="49"/>
      <c r="R41" s="53"/>
      <c r="S41" s="49"/>
      <c r="T41" s="49"/>
      <c r="U41" s="530"/>
      <c r="V41" s="49"/>
      <c r="W41" s="49"/>
      <c r="X41" s="49"/>
      <c r="Y41" s="49"/>
      <c r="Z41" s="49"/>
      <c r="AA41" s="52"/>
      <c r="AB41" s="51"/>
      <c r="AC41" s="51"/>
      <c r="AD41" s="51"/>
      <c r="AE41" s="51"/>
    </row>
    <row r="42" spans="1:31" s="123" customFormat="1" ht="11.25" customHeight="1">
      <c r="A42" s="529"/>
      <c r="B42" s="53"/>
      <c r="C42" s="53"/>
      <c r="K42" s="49"/>
      <c r="L42" s="53"/>
      <c r="M42" s="53"/>
      <c r="N42" s="49"/>
      <c r="O42" s="49"/>
      <c r="P42" s="49"/>
      <c r="Q42" s="49"/>
      <c r="R42" s="53"/>
      <c r="S42" s="49"/>
      <c r="T42" s="49"/>
      <c r="U42" s="530"/>
      <c r="V42" s="49"/>
      <c r="W42" s="49"/>
      <c r="X42" s="49"/>
      <c r="Y42" s="49"/>
      <c r="Z42" s="49"/>
      <c r="AA42" s="52"/>
      <c r="AB42" s="51"/>
      <c r="AC42" s="51"/>
      <c r="AD42" s="51"/>
      <c r="AE42" s="51"/>
    </row>
    <row r="43" spans="1:31" s="123" customFormat="1" ht="11.25" customHeight="1">
      <c r="A43" s="529"/>
      <c r="B43" s="53"/>
      <c r="C43" s="53"/>
      <c r="H43" s="51"/>
      <c r="I43" s="51"/>
      <c r="K43" s="49"/>
      <c r="L43" s="53"/>
      <c r="M43" s="53"/>
      <c r="N43" s="49"/>
      <c r="O43" s="49"/>
      <c r="P43" s="49"/>
      <c r="Q43" s="49"/>
      <c r="R43" s="53"/>
      <c r="S43" s="49"/>
      <c r="T43" s="49"/>
      <c r="U43" s="530"/>
      <c r="V43" s="49"/>
      <c r="W43" s="49"/>
      <c r="X43" s="49"/>
      <c r="Y43" s="49"/>
      <c r="Z43" s="49"/>
      <c r="AA43" s="52"/>
      <c r="AB43" s="51"/>
      <c r="AC43" s="51"/>
      <c r="AD43" s="51"/>
      <c r="AE43" s="51"/>
    </row>
    <row r="44" spans="1:31" s="123" customFormat="1" ht="11.25" customHeight="1">
      <c r="A44" s="529"/>
      <c r="B44" s="53"/>
      <c r="C44" s="53"/>
      <c r="K44" s="49"/>
      <c r="L44" s="53"/>
      <c r="M44" s="53"/>
      <c r="N44" s="49"/>
      <c r="O44" s="49"/>
      <c r="P44" s="49"/>
      <c r="Q44" s="49"/>
      <c r="R44" s="53"/>
      <c r="S44" s="49"/>
      <c r="T44" s="49"/>
      <c r="U44" s="530"/>
      <c r="V44" s="49"/>
      <c r="W44" s="49"/>
      <c r="X44" s="49"/>
      <c r="Y44" s="49"/>
      <c r="Z44" s="49"/>
      <c r="AA44" s="52"/>
      <c r="AB44" s="51"/>
      <c r="AC44" s="51"/>
      <c r="AD44" s="51"/>
      <c r="AE44" s="51"/>
    </row>
    <row r="45" spans="1:31" s="123" customFormat="1" ht="11.25" customHeight="1">
      <c r="A45" s="529"/>
      <c r="B45" s="53"/>
      <c r="C45" s="53"/>
      <c r="K45" s="49"/>
      <c r="L45" s="53"/>
      <c r="M45" s="53"/>
      <c r="N45" s="49"/>
      <c r="O45" s="49"/>
      <c r="P45" s="49"/>
      <c r="Q45" s="49"/>
      <c r="R45" s="53"/>
      <c r="S45" s="49"/>
      <c r="T45" s="49"/>
      <c r="U45" s="530"/>
      <c r="V45" s="49"/>
      <c r="W45" s="49"/>
      <c r="X45" s="49"/>
      <c r="Y45" s="49"/>
      <c r="Z45" s="49"/>
      <c r="AA45" s="52"/>
      <c r="AB45" s="51"/>
      <c r="AC45" s="51"/>
      <c r="AD45" s="51"/>
      <c r="AE45" s="51"/>
    </row>
    <row r="46" spans="1:31" s="123" customFormat="1" ht="11.25" customHeight="1">
      <c r="A46" s="529"/>
      <c r="B46" s="53"/>
      <c r="C46" s="53"/>
      <c r="K46" s="49"/>
      <c r="L46" s="53"/>
      <c r="M46" s="53"/>
      <c r="N46" s="49"/>
      <c r="O46" s="49"/>
      <c r="P46" s="49"/>
      <c r="Q46" s="49"/>
      <c r="R46" s="53"/>
      <c r="S46" s="49"/>
      <c r="T46" s="49"/>
      <c r="U46" s="530"/>
      <c r="V46" s="49"/>
      <c r="W46" s="49"/>
      <c r="X46" s="49"/>
      <c r="Y46" s="49"/>
      <c r="Z46" s="49"/>
      <c r="AA46" s="52"/>
      <c r="AB46" s="51"/>
      <c r="AC46" s="51"/>
      <c r="AD46" s="51"/>
      <c r="AE46" s="51"/>
    </row>
    <row r="47" spans="1:31" s="123" customFormat="1" ht="11.25" customHeight="1">
      <c r="A47" s="529"/>
      <c r="B47" s="53"/>
      <c r="C47" s="53"/>
      <c r="K47" s="49"/>
      <c r="L47" s="53"/>
      <c r="M47" s="53"/>
      <c r="N47" s="49"/>
      <c r="O47" s="49"/>
      <c r="P47" s="49"/>
      <c r="Q47" s="49"/>
      <c r="R47" s="53"/>
      <c r="S47" s="49"/>
      <c r="T47" s="49"/>
      <c r="U47" s="530"/>
      <c r="V47" s="49"/>
      <c r="W47" s="49"/>
      <c r="X47" s="49"/>
      <c r="Y47" s="49"/>
      <c r="Z47" s="49"/>
      <c r="AA47" s="52"/>
      <c r="AB47" s="51"/>
      <c r="AC47" s="51"/>
      <c r="AD47" s="51"/>
      <c r="AE47" s="51"/>
    </row>
    <row r="48" spans="1:31" s="123" customFormat="1" ht="11.25" customHeight="1">
      <c r="A48" s="529"/>
      <c r="B48" s="53"/>
      <c r="C48" s="53"/>
      <c r="K48" s="49"/>
      <c r="L48" s="53"/>
      <c r="M48" s="53"/>
      <c r="N48" s="49"/>
      <c r="O48" s="49"/>
      <c r="P48" s="49"/>
      <c r="Q48" s="49"/>
      <c r="R48" s="53"/>
      <c r="S48" s="49"/>
      <c r="T48" s="49"/>
      <c r="U48" s="530"/>
      <c r="V48" s="49"/>
      <c r="W48" s="49"/>
      <c r="X48" s="49"/>
      <c r="Y48" s="49"/>
      <c r="Z48" s="49"/>
      <c r="AA48" s="52"/>
      <c r="AB48" s="51"/>
      <c r="AC48" s="51"/>
      <c r="AD48" s="51"/>
      <c r="AE48" s="51"/>
    </row>
    <row r="49" spans="1:31" s="123" customFormat="1" ht="11.25" customHeight="1">
      <c r="A49" s="529"/>
      <c r="B49" s="53"/>
      <c r="C49" s="53"/>
      <c r="K49" s="49"/>
      <c r="L49" s="53"/>
      <c r="M49" s="53"/>
      <c r="N49" s="49"/>
      <c r="O49" s="49"/>
      <c r="P49" s="49"/>
      <c r="Q49" s="49"/>
      <c r="R49" s="53"/>
      <c r="S49" s="49"/>
      <c r="T49" s="49"/>
      <c r="U49" s="530"/>
      <c r="V49" s="49"/>
      <c r="W49" s="49"/>
      <c r="X49" s="49"/>
      <c r="Y49" s="49"/>
      <c r="Z49" s="49"/>
      <c r="AA49" s="52"/>
      <c r="AB49" s="51"/>
      <c r="AC49" s="51"/>
      <c r="AD49" s="51"/>
      <c r="AE49" s="51"/>
    </row>
    <row r="50" spans="1:31" s="123" customFormat="1" ht="11.25" customHeight="1">
      <c r="A50" s="529"/>
      <c r="B50" s="53"/>
      <c r="C50" s="53"/>
      <c r="K50" s="49"/>
      <c r="L50" s="53"/>
      <c r="M50" s="53"/>
      <c r="N50" s="49"/>
      <c r="O50" s="49"/>
      <c r="P50" s="49"/>
      <c r="Q50" s="49"/>
      <c r="R50" s="53"/>
      <c r="S50" s="49"/>
      <c r="T50" s="49"/>
      <c r="U50" s="530"/>
      <c r="V50" s="49"/>
      <c r="W50" s="49"/>
      <c r="X50" s="49"/>
      <c r="Y50" s="49"/>
      <c r="Z50" s="49"/>
      <c r="AA50" s="52"/>
      <c r="AB50" s="51"/>
      <c r="AC50" s="51"/>
      <c r="AD50" s="51"/>
      <c r="AE50" s="51"/>
    </row>
    <row r="51" spans="1:31" s="123" customFormat="1" ht="11.25" customHeight="1">
      <c r="A51" s="529"/>
      <c r="B51" s="53"/>
      <c r="C51" s="53"/>
      <c r="K51" s="49"/>
      <c r="L51" s="53"/>
      <c r="M51" s="53"/>
      <c r="N51" s="49"/>
      <c r="O51" s="49"/>
      <c r="P51" s="49"/>
      <c r="Q51" s="49"/>
      <c r="R51" s="53"/>
      <c r="S51" s="49"/>
      <c r="T51" s="49"/>
      <c r="U51" s="530"/>
      <c r="V51" s="49"/>
      <c r="W51" s="49"/>
      <c r="X51" s="49"/>
      <c r="Y51" s="49"/>
      <c r="Z51" s="49"/>
      <c r="AA51" s="52"/>
      <c r="AB51" s="51"/>
      <c r="AC51" s="51"/>
      <c r="AD51" s="51"/>
      <c r="AE51" s="51"/>
    </row>
    <row r="52" spans="1:31" s="123" customFormat="1" ht="11.25" customHeight="1">
      <c r="A52" s="529"/>
      <c r="B52" s="53"/>
      <c r="C52" s="53"/>
      <c r="K52" s="49"/>
      <c r="L52" s="53"/>
      <c r="M52" s="53"/>
      <c r="N52" s="49"/>
      <c r="O52" s="49"/>
      <c r="P52" s="49"/>
      <c r="Q52" s="49"/>
      <c r="R52" s="53"/>
      <c r="S52" s="49"/>
      <c r="T52" s="49"/>
      <c r="U52" s="530"/>
      <c r="V52" s="49"/>
      <c r="W52" s="49"/>
      <c r="X52" s="49"/>
      <c r="Y52" s="49"/>
      <c r="Z52" s="49"/>
      <c r="AA52" s="52"/>
      <c r="AB52" s="51"/>
      <c r="AC52" s="51"/>
      <c r="AD52" s="51"/>
      <c r="AE52" s="51"/>
    </row>
    <row r="53" spans="1:31" s="123" customFormat="1" ht="11.25" customHeight="1">
      <c r="A53" s="529"/>
      <c r="B53" s="53"/>
      <c r="C53" s="53"/>
      <c r="K53" s="49"/>
      <c r="L53" s="53"/>
      <c r="M53" s="53"/>
      <c r="N53" s="49"/>
      <c r="O53" s="49"/>
      <c r="P53" s="49"/>
      <c r="Q53" s="49"/>
      <c r="R53" s="53"/>
      <c r="S53" s="49"/>
      <c r="T53" s="49"/>
      <c r="U53" s="530"/>
      <c r="V53" s="49"/>
      <c r="W53" s="49"/>
      <c r="X53" s="49"/>
      <c r="Y53" s="49"/>
      <c r="Z53" s="49"/>
      <c r="AA53" s="52"/>
      <c r="AB53" s="51"/>
      <c r="AC53" s="51"/>
      <c r="AD53" s="51"/>
      <c r="AE53" s="51"/>
    </row>
    <row r="54" spans="1:31" s="123" customFormat="1" ht="11.25" customHeight="1">
      <c r="A54" s="529"/>
      <c r="B54" s="53"/>
      <c r="C54" s="53"/>
      <c r="K54" s="49"/>
      <c r="L54" s="53"/>
      <c r="M54" s="53"/>
      <c r="N54" s="49"/>
      <c r="O54" s="49"/>
      <c r="P54" s="49"/>
      <c r="Q54" s="49"/>
      <c r="R54" s="53"/>
      <c r="S54" s="49"/>
      <c r="T54" s="49"/>
      <c r="U54" s="530"/>
      <c r="V54" s="49"/>
      <c r="W54" s="49"/>
      <c r="X54" s="49"/>
      <c r="Y54" s="49"/>
      <c r="Z54" s="49"/>
      <c r="AA54" s="52"/>
      <c r="AB54" s="51"/>
      <c r="AC54" s="51"/>
      <c r="AD54" s="51"/>
      <c r="AE54" s="51"/>
    </row>
    <row r="55" spans="1:31" s="123" customFormat="1" ht="11.25" customHeight="1">
      <c r="A55" s="529"/>
      <c r="B55" s="53"/>
      <c r="C55" s="53"/>
      <c r="K55" s="49"/>
      <c r="L55" s="53"/>
      <c r="M55" s="53"/>
      <c r="N55" s="49"/>
      <c r="O55" s="49"/>
      <c r="P55" s="49"/>
      <c r="Q55" s="49"/>
      <c r="R55" s="53"/>
      <c r="S55" s="49"/>
      <c r="T55" s="49"/>
      <c r="U55" s="530"/>
      <c r="V55" s="49"/>
      <c r="W55" s="49"/>
      <c r="X55" s="49"/>
      <c r="Y55" s="49"/>
      <c r="Z55" s="49"/>
      <c r="AA55" s="52"/>
      <c r="AB55" s="51"/>
      <c r="AC55" s="51"/>
      <c r="AD55" s="51"/>
      <c r="AE55" s="51"/>
    </row>
    <row r="56" spans="1:31" s="123" customFormat="1" ht="11.25" customHeight="1">
      <c r="A56" s="529"/>
      <c r="B56" s="53"/>
      <c r="C56" s="53"/>
      <c r="K56" s="49"/>
      <c r="L56" s="53"/>
      <c r="M56" s="53"/>
      <c r="N56" s="49"/>
      <c r="O56" s="49"/>
      <c r="P56" s="49"/>
      <c r="Q56" s="49"/>
      <c r="R56" s="53"/>
      <c r="S56" s="49"/>
      <c r="T56" s="49"/>
      <c r="U56" s="530"/>
      <c r="V56" s="49"/>
      <c r="W56" s="49"/>
      <c r="X56" s="49"/>
      <c r="Y56" s="49"/>
      <c r="Z56" s="49"/>
      <c r="AA56" s="52"/>
      <c r="AB56" s="51"/>
      <c r="AC56" s="51"/>
      <c r="AD56" s="51"/>
      <c r="AE56" s="51"/>
    </row>
    <row r="57" spans="1:31" s="123" customFormat="1" ht="11.25" customHeight="1">
      <c r="A57" s="529"/>
      <c r="B57" s="53"/>
      <c r="C57" s="53"/>
      <c r="K57" s="49"/>
      <c r="L57" s="53"/>
      <c r="M57" s="53"/>
      <c r="N57" s="49"/>
      <c r="O57" s="49"/>
      <c r="P57" s="49"/>
      <c r="Q57" s="49"/>
      <c r="R57" s="53"/>
      <c r="S57" s="49"/>
      <c r="T57" s="49"/>
      <c r="U57" s="530"/>
      <c r="V57" s="49"/>
      <c r="W57" s="49"/>
      <c r="X57" s="49"/>
      <c r="Y57" s="49"/>
      <c r="Z57" s="49"/>
      <c r="AA57" s="52"/>
      <c r="AB57" s="51"/>
      <c r="AC57" s="51"/>
      <c r="AD57" s="51"/>
      <c r="AE57" s="51"/>
    </row>
    <row r="58" spans="1:31" s="123" customFormat="1" ht="11.25" customHeight="1">
      <c r="A58" s="529"/>
      <c r="B58" s="53"/>
      <c r="C58" s="53"/>
      <c r="K58" s="49"/>
      <c r="L58" s="53"/>
      <c r="M58" s="53"/>
      <c r="N58" s="49"/>
      <c r="O58" s="49"/>
      <c r="P58" s="49"/>
      <c r="Q58" s="49"/>
      <c r="R58" s="53"/>
      <c r="S58" s="49"/>
      <c r="T58" s="49"/>
      <c r="U58" s="530"/>
      <c r="V58" s="49"/>
      <c r="W58" s="49"/>
      <c r="X58" s="49"/>
      <c r="Y58" s="49"/>
      <c r="Z58" s="49"/>
      <c r="AA58" s="52"/>
      <c r="AB58" s="51"/>
      <c r="AC58" s="51"/>
      <c r="AD58" s="51"/>
      <c r="AE58" s="51"/>
    </row>
    <row r="59" spans="1:31" s="123" customFormat="1" ht="11.25" customHeight="1">
      <c r="A59" s="529"/>
      <c r="B59" s="53"/>
      <c r="C59" s="53"/>
      <c r="K59" s="49"/>
      <c r="L59" s="53"/>
      <c r="M59" s="53"/>
      <c r="N59" s="49"/>
      <c r="O59" s="49"/>
      <c r="P59" s="49"/>
      <c r="Q59" s="49"/>
      <c r="R59" s="53"/>
      <c r="S59" s="49"/>
      <c r="T59" s="49"/>
      <c r="U59" s="530"/>
      <c r="V59" s="49"/>
      <c r="W59" s="49"/>
      <c r="X59" s="49"/>
      <c r="Y59" s="49"/>
      <c r="Z59" s="49"/>
      <c r="AA59" s="52"/>
      <c r="AB59" s="51"/>
      <c r="AC59" s="51"/>
      <c r="AD59" s="51"/>
      <c r="AE59" s="51"/>
    </row>
    <row r="60" spans="1:31" s="123" customFormat="1" ht="11.25" customHeight="1">
      <c r="A60" s="529"/>
      <c r="B60" s="53"/>
      <c r="C60" s="53"/>
      <c r="K60" s="49"/>
      <c r="L60" s="53"/>
      <c r="M60" s="53"/>
      <c r="N60" s="49"/>
      <c r="O60" s="49"/>
      <c r="P60" s="49"/>
      <c r="Q60" s="49"/>
      <c r="R60" s="53"/>
      <c r="S60" s="49"/>
      <c r="T60" s="49"/>
      <c r="U60" s="530"/>
      <c r="V60" s="49"/>
      <c r="W60" s="49"/>
      <c r="X60" s="49"/>
      <c r="Y60" s="49"/>
      <c r="Z60" s="49"/>
      <c r="AA60" s="52"/>
      <c r="AB60" s="51"/>
      <c r="AC60" s="51"/>
      <c r="AD60" s="51"/>
      <c r="AE60" s="51"/>
    </row>
    <row r="61" spans="1:31" s="123" customFormat="1" ht="11.25" customHeight="1">
      <c r="A61" s="529"/>
      <c r="B61" s="53"/>
      <c r="C61" s="53"/>
      <c r="K61" s="49"/>
      <c r="L61" s="53"/>
      <c r="M61" s="53"/>
      <c r="N61" s="49"/>
      <c r="O61" s="49"/>
      <c r="P61" s="49"/>
      <c r="Q61" s="49"/>
      <c r="R61" s="53"/>
      <c r="S61" s="49"/>
      <c r="T61" s="49"/>
      <c r="U61" s="530"/>
      <c r="V61" s="49"/>
      <c r="W61" s="49"/>
      <c r="X61" s="49"/>
      <c r="Y61" s="49"/>
      <c r="Z61" s="49"/>
      <c r="AA61" s="52"/>
      <c r="AB61" s="51"/>
      <c r="AC61" s="51"/>
      <c r="AD61" s="51"/>
      <c r="AE61" s="51"/>
    </row>
    <row r="62" spans="1:31" s="123" customFormat="1" ht="11.25" customHeight="1">
      <c r="A62" s="529"/>
      <c r="B62" s="53"/>
      <c r="C62" s="53"/>
      <c r="K62" s="49"/>
      <c r="L62" s="53"/>
      <c r="M62" s="53"/>
      <c r="N62" s="49"/>
      <c r="O62" s="49"/>
      <c r="P62" s="49"/>
      <c r="Q62" s="49"/>
      <c r="R62" s="53"/>
      <c r="S62" s="49"/>
      <c r="T62" s="49"/>
      <c r="U62" s="530"/>
      <c r="V62" s="49"/>
      <c r="W62" s="49"/>
      <c r="X62" s="49"/>
      <c r="Y62" s="49"/>
      <c r="Z62" s="49"/>
      <c r="AA62" s="52"/>
      <c r="AB62" s="51"/>
      <c r="AC62" s="51"/>
      <c r="AD62" s="51"/>
      <c r="AE62" s="51"/>
    </row>
    <row r="63" spans="1:31" s="123" customFormat="1" ht="11.25" customHeight="1">
      <c r="A63" s="529"/>
      <c r="B63" s="53"/>
      <c r="C63" s="53"/>
      <c r="K63" s="49"/>
      <c r="L63" s="53"/>
      <c r="M63" s="53"/>
      <c r="N63" s="49"/>
      <c r="O63" s="49"/>
      <c r="P63" s="49"/>
      <c r="Q63" s="49"/>
      <c r="R63" s="53"/>
      <c r="S63" s="49"/>
      <c r="T63" s="49"/>
      <c r="U63" s="530"/>
      <c r="V63" s="49"/>
      <c r="W63" s="49"/>
      <c r="X63" s="49"/>
      <c r="Y63" s="49"/>
      <c r="Z63" s="49"/>
      <c r="AA63" s="52"/>
      <c r="AB63" s="51"/>
      <c r="AC63" s="51"/>
      <c r="AD63" s="51"/>
      <c r="AE63" s="51"/>
    </row>
    <row r="64" spans="1:31" s="123" customFormat="1" ht="11.25" customHeight="1">
      <c r="A64" s="529"/>
      <c r="B64" s="53"/>
      <c r="C64" s="53"/>
      <c r="K64" s="49"/>
      <c r="L64" s="53"/>
      <c r="M64" s="53"/>
      <c r="N64" s="49"/>
      <c r="O64" s="49"/>
      <c r="P64" s="49"/>
      <c r="Q64" s="49"/>
      <c r="R64" s="53"/>
      <c r="S64" s="49"/>
      <c r="T64" s="49"/>
      <c r="U64" s="530"/>
      <c r="V64" s="49"/>
      <c r="W64" s="49"/>
      <c r="X64" s="49"/>
      <c r="Y64" s="49"/>
      <c r="Z64" s="49"/>
      <c r="AA64" s="52"/>
      <c r="AB64" s="51"/>
      <c r="AC64" s="51"/>
      <c r="AD64" s="51"/>
      <c r="AE64" s="51"/>
    </row>
    <row r="65" spans="1:31" s="123" customFormat="1" ht="11.25" customHeight="1">
      <c r="A65" s="529"/>
      <c r="B65" s="53"/>
      <c r="C65" s="53"/>
      <c r="K65" s="49"/>
      <c r="L65" s="53"/>
      <c r="M65" s="53"/>
      <c r="N65" s="49"/>
      <c r="O65" s="49"/>
      <c r="P65" s="49"/>
      <c r="Q65" s="49"/>
      <c r="R65" s="53"/>
      <c r="S65" s="49"/>
      <c r="T65" s="49"/>
      <c r="U65" s="530"/>
      <c r="V65" s="49"/>
      <c r="W65" s="49"/>
      <c r="X65" s="49"/>
      <c r="Y65" s="49"/>
      <c r="Z65" s="49"/>
      <c r="AA65" s="52"/>
      <c r="AB65" s="51"/>
      <c r="AC65" s="51"/>
      <c r="AD65" s="51"/>
      <c r="AE65" s="51"/>
    </row>
    <row r="66" spans="1:31" s="123" customFormat="1" ht="11.25" customHeight="1">
      <c r="A66" s="529"/>
      <c r="B66" s="53"/>
      <c r="C66" s="53"/>
      <c r="K66" s="49"/>
      <c r="L66" s="53"/>
      <c r="M66" s="53"/>
      <c r="N66" s="49"/>
      <c r="O66" s="49"/>
      <c r="P66" s="49"/>
      <c r="Q66" s="49"/>
      <c r="R66" s="53"/>
      <c r="S66" s="49"/>
      <c r="T66" s="49"/>
      <c r="U66" s="530"/>
      <c r="V66" s="49"/>
      <c r="W66" s="49"/>
      <c r="X66" s="49"/>
      <c r="Y66" s="49"/>
      <c r="Z66" s="49"/>
      <c r="AA66" s="52"/>
      <c r="AB66" s="51"/>
      <c r="AC66" s="51"/>
      <c r="AD66" s="51"/>
      <c r="AE66" s="51"/>
    </row>
    <row r="67" spans="1:31" s="123" customFormat="1" ht="11.25" customHeight="1">
      <c r="A67" s="529"/>
      <c r="B67" s="53"/>
      <c r="C67" s="53"/>
      <c r="K67" s="49"/>
      <c r="L67" s="53"/>
      <c r="M67" s="53"/>
      <c r="N67" s="49"/>
      <c r="O67" s="49"/>
      <c r="P67" s="49"/>
      <c r="Q67" s="49"/>
      <c r="R67" s="53"/>
      <c r="S67" s="49"/>
      <c r="T67" s="49"/>
      <c r="U67" s="530"/>
      <c r="V67" s="49"/>
      <c r="W67" s="49"/>
      <c r="X67" s="49"/>
      <c r="Y67" s="49"/>
      <c r="Z67" s="49"/>
      <c r="AA67" s="52"/>
      <c r="AB67" s="51"/>
      <c r="AC67" s="51"/>
      <c r="AD67" s="51"/>
      <c r="AE67" s="51"/>
    </row>
    <row r="68" spans="1:31" s="123" customFormat="1" ht="11.25" customHeight="1">
      <c r="A68" s="529"/>
      <c r="B68" s="53"/>
      <c r="C68" s="53"/>
      <c r="K68" s="49"/>
      <c r="L68" s="53"/>
      <c r="M68" s="53"/>
      <c r="N68" s="49"/>
      <c r="O68" s="49"/>
      <c r="P68" s="49"/>
      <c r="Q68" s="49"/>
      <c r="R68" s="53"/>
      <c r="S68" s="49"/>
      <c r="T68" s="49"/>
      <c r="U68" s="530"/>
      <c r="V68" s="49"/>
      <c r="W68" s="49"/>
      <c r="X68" s="49"/>
      <c r="Y68" s="49"/>
      <c r="Z68" s="49"/>
      <c r="AA68" s="52"/>
      <c r="AB68" s="51"/>
      <c r="AC68" s="51"/>
      <c r="AD68" s="51"/>
      <c r="AE68" s="51"/>
    </row>
    <row r="69" spans="1:31" s="123" customFormat="1" ht="11.25" customHeight="1">
      <c r="A69" s="529"/>
      <c r="B69" s="53"/>
      <c r="C69" s="53"/>
      <c r="K69" s="49"/>
      <c r="L69" s="53"/>
      <c r="M69" s="53"/>
      <c r="N69" s="49"/>
      <c r="O69" s="49"/>
      <c r="P69" s="49"/>
      <c r="Q69" s="49"/>
      <c r="R69" s="53"/>
      <c r="S69" s="49"/>
      <c r="T69" s="49"/>
      <c r="U69" s="530"/>
      <c r="V69" s="49"/>
      <c r="W69" s="49"/>
      <c r="X69" s="49"/>
      <c r="Y69" s="49"/>
      <c r="Z69" s="49"/>
      <c r="AA69" s="52"/>
      <c r="AB69" s="51"/>
      <c r="AC69" s="51"/>
      <c r="AD69" s="51"/>
      <c r="AE69" s="51"/>
    </row>
    <row r="70" spans="1:31" s="123" customFormat="1" ht="11.25" customHeight="1">
      <c r="A70" s="529"/>
      <c r="B70" s="53"/>
      <c r="C70" s="53"/>
      <c r="K70" s="49"/>
      <c r="L70" s="53"/>
      <c r="M70" s="53"/>
      <c r="N70" s="49"/>
      <c r="O70" s="49"/>
      <c r="P70" s="49"/>
      <c r="Q70" s="49"/>
      <c r="R70" s="53"/>
      <c r="S70" s="49"/>
      <c r="T70" s="49"/>
      <c r="U70" s="530"/>
      <c r="V70" s="49"/>
      <c r="W70" s="49"/>
      <c r="X70" s="49"/>
      <c r="Y70" s="49"/>
      <c r="Z70" s="49"/>
      <c r="AA70" s="52"/>
      <c r="AB70" s="51"/>
      <c r="AC70" s="51"/>
      <c r="AD70" s="51"/>
      <c r="AE70" s="51"/>
    </row>
    <row r="71" spans="1:31" s="123" customFormat="1" ht="11.25" customHeight="1">
      <c r="A71" s="529"/>
      <c r="B71" s="53"/>
      <c r="C71" s="53"/>
      <c r="K71" s="49"/>
      <c r="L71" s="53"/>
      <c r="M71" s="53"/>
      <c r="N71" s="49"/>
      <c r="O71" s="49"/>
      <c r="P71" s="49"/>
      <c r="Q71" s="49"/>
      <c r="R71" s="53"/>
      <c r="S71" s="49"/>
      <c r="T71" s="49"/>
      <c r="U71" s="530"/>
      <c r="V71" s="49"/>
      <c r="W71" s="49"/>
      <c r="X71" s="49"/>
      <c r="Y71" s="49"/>
      <c r="Z71" s="49"/>
      <c r="AA71" s="52"/>
      <c r="AB71" s="51"/>
      <c r="AC71" s="51"/>
      <c r="AD71" s="51"/>
      <c r="AE71" s="51"/>
    </row>
    <row r="72" spans="1:31" s="123" customFormat="1" ht="11.25" customHeight="1">
      <c r="A72" s="529"/>
      <c r="B72" s="53"/>
      <c r="C72" s="53"/>
      <c r="K72" s="49"/>
      <c r="L72" s="53"/>
      <c r="M72" s="53"/>
      <c r="N72" s="49"/>
      <c r="O72" s="49"/>
      <c r="P72" s="49"/>
      <c r="Q72" s="49"/>
      <c r="R72" s="53"/>
      <c r="S72" s="49"/>
      <c r="T72" s="49"/>
      <c r="U72" s="530"/>
      <c r="V72" s="49"/>
      <c r="W72" s="49"/>
      <c r="X72" s="49"/>
      <c r="Y72" s="49"/>
      <c r="Z72" s="49"/>
      <c r="AA72" s="52"/>
      <c r="AB72" s="51"/>
      <c r="AC72" s="51"/>
      <c r="AD72" s="51"/>
      <c r="AE72" s="51"/>
    </row>
    <row r="73" spans="1:31" s="123" customFormat="1" ht="11.25" customHeight="1">
      <c r="A73" s="529"/>
      <c r="B73" s="53"/>
      <c r="C73" s="53"/>
      <c r="K73" s="49"/>
      <c r="L73" s="53"/>
      <c r="M73" s="53"/>
      <c r="N73" s="49"/>
      <c r="O73" s="49"/>
      <c r="P73" s="49"/>
      <c r="Q73" s="49"/>
      <c r="R73" s="53"/>
      <c r="S73" s="49"/>
      <c r="T73" s="49"/>
      <c r="U73" s="530"/>
      <c r="V73" s="49"/>
      <c r="W73" s="49"/>
      <c r="X73" s="49"/>
      <c r="Y73" s="49"/>
      <c r="Z73" s="49"/>
      <c r="AA73" s="52"/>
      <c r="AB73" s="51"/>
      <c r="AC73" s="51"/>
      <c r="AD73" s="51"/>
      <c r="AE73" s="51"/>
    </row>
    <row r="74" spans="1:31" s="123" customFormat="1" ht="11.25" customHeight="1">
      <c r="A74" s="529"/>
      <c r="B74" s="53"/>
      <c r="C74" s="53"/>
      <c r="K74" s="49"/>
      <c r="L74" s="53"/>
      <c r="M74" s="53"/>
      <c r="N74" s="49"/>
      <c r="O74" s="49"/>
      <c r="P74" s="49"/>
      <c r="Q74" s="49"/>
      <c r="R74" s="53"/>
      <c r="S74" s="49"/>
      <c r="T74" s="49"/>
      <c r="U74" s="530"/>
      <c r="V74" s="49"/>
      <c r="W74" s="49"/>
      <c r="X74" s="49"/>
      <c r="Y74" s="49"/>
      <c r="Z74" s="49"/>
      <c r="AA74" s="52"/>
      <c r="AB74" s="51"/>
      <c r="AC74" s="51"/>
      <c r="AD74" s="51"/>
      <c r="AE74" s="51"/>
    </row>
    <row r="75" spans="1:31" s="123" customFormat="1" ht="11.25" customHeight="1">
      <c r="A75" s="529"/>
      <c r="B75" s="53"/>
      <c r="C75" s="53"/>
      <c r="K75" s="49"/>
      <c r="L75" s="53"/>
      <c r="M75" s="53"/>
      <c r="N75" s="49"/>
      <c r="O75" s="49"/>
      <c r="P75" s="49"/>
      <c r="Q75" s="49"/>
      <c r="R75" s="53"/>
      <c r="S75" s="49"/>
      <c r="T75" s="49"/>
      <c r="U75" s="530"/>
      <c r="V75" s="49"/>
      <c r="W75" s="49"/>
      <c r="X75" s="49"/>
      <c r="Y75" s="49"/>
      <c r="Z75" s="49"/>
      <c r="AA75" s="52"/>
      <c r="AB75" s="51"/>
      <c r="AC75" s="51"/>
      <c r="AD75" s="51"/>
      <c r="AE75" s="51"/>
    </row>
    <row r="76" spans="1:31" s="123" customFormat="1" ht="11.25" customHeight="1">
      <c r="A76" s="529"/>
      <c r="B76" s="53"/>
      <c r="C76" s="53"/>
      <c r="K76" s="49"/>
      <c r="L76" s="53"/>
      <c r="M76" s="53"/>
      <c r="N76" s="49"/>
      <c r="O76" s="49"/>
      <c r="P76" s="49"/>
      <c r="Q76" s="49"/>
      <c r="R76" s="53"/>
      <c r="S76" s="49"/>
      <c r="T76" s="49"/>
      <c r="U76" s="530"/>
      <c r="V76" s="49"/>
      <c r="W76" s="49"/>
      <c r="X76" s="49"/>
      <c r="Y76" s="49"/>
      <c r="Z76" s="49"/>
      <c r="AA76" s="52"/>
      <c r="AB76" s="51"/>
      <c r="AC76" s="51"/>
      <c r="AD76" s="51"/>
      <c r="AE76" s="51"/>
    </row>
    <row r="77" spans="1:31" s="123" customFormat="1" ht="11.25" customHeight="1">
      <c r="A77" s="529"/>
      <c r="B77" s="53"/>
      <c r="C77" s="53"/>
      <c r="K77" s="49"/>
      <c r="L77" s="53"/>
      <c r="M77" s="53"/>
      <c r="N77" s="49"/>
      <c r="O77" s="49"/>
      <c r="P77" s="49"/>
      <c r="Q77" s="49"/>
      <c r="R77" s="53"/>
      <c r="S77" s="49"/>
      <c r="T77" s="49"/>
      <c r="U77" s="530"/>
      <c r="V77" s="49"/>
      <c r="W77" s="49"/>
      <c r="X77" s="49"/>
      <c r="Y77" s="49"/>
      <c r="Z77" s="49"/>
      <c r="AA77" s="52"/>
      <c r="AB77" s="51"/>
      <c r="AC77" s="51"/>
      <c r="AD77" s="51"/>
      <c r="AE77" s="51"/>
    </row>
    <row r="78" spans="1:31" s="123" customFormat="1" ht="11.25" customHeight="1">
      <c r="A78" s="529"/>
      <c r="B78" s="53"/>
      <c r="C78" s="53"/>
      <c r="K78" s="49"/>
      <c r="L78" s="53"/>
      <c r="M78" s="53"/>
      <c r="N78" s="49"/>
      <c r="O78" s="49"/>
      <c r="P78" s="49"/>
      <c r="Q78" s="49"/>
      <c r="R78" s="53"/>
      <c r="S78" s="49"/>
      <c r="T78" s="49"/>
      <c r="U78" s="530"/>
      <c r="V78" s="49"/>
      <c r="W78" s="49"/>
      <c r="X78" s="49"/>
      <c r="Y78" s="49"/>
      <c r="Z78" s="49"/>
      <c r="AA78" s="52"/>
      <c r="AB78" s="51"/>
      <c r="AC78" s="51"/>
      <c r="AD78" s="51"/>
      <c r="AE78" s="51"/>
    </row>
    <row r="79" spans="1:31" s="123" customFormat="1" ht="11.25" customHeight="1">
      <c r="A79" s="529"/>
      <c r="B79" s="53"/>
      <c r="C79" s="53"/>
      <c r="K79" s="49"/>
      <c r="L79" s="53"/>
      <c r="M79" s="53"/>
      <c r="N79" s="49"/>
      <c r="O79" s="49"/>
      <c r="P79" s="49"/>
      <c r="Q79" s="49"/>
      <c r="R79" s="53"/>
      <c r="S79" s="49"/>
      <c r="T79" s="49"/>
      <c r="U79" s="530"/>
      <c r="V79" s="49"/>
      <c r="W79" s="49"/>
      <c r="X79" s="49"/>
      <c r="Y79" s="49"/>
      <c r="Z79" s="49"/>
      <c r="AA79" s="52"/>
      <c r="AB79" s="51"/>
      <c r="AC79" s="51"/>
      <c r="AD79" s="51"/>
      <c r="AE79" s="51"/>
    </row>
    <row r="80" spans="1:31" s="123" customFormat="1" ht="11.25" customHeight="1">
      <c r="A80" s="529"/>
      <c r="B80" s="53"/>
      <c r="C80" s="53"/>
      <c r="K80" s="49"/>
      <c r="L80" s="53"/>
      <c r="M80" s="53"/>
      <c r="N80" s="49"/>
      <c r="O80" s="49"/>
      <c r="P80" s="49"/>
      <c r="Q80" s="49"/>
      <c r="R80" s="53"/>
      <c r="S80" s="49"/>
      <c r="T80" s="49"/>
      <c r="U80" s="530"/>
      <c r="V80" s="49"/>
      <c r="W80" s="49"/>
      <c r="X80" s="49"/>
      <c r="Y80" s="49"/>
      <c r="Z80" s="49"/>
      <c r="AA80" s="52"/>
      <c r="AB80" s="51"/>
      <c r="AC80" s="51"/>
      <c r="AD80" s="51"/>
      <c r="AE80" s="51"/>
    </row>
    <row r="81" spans="1:31" s="123" customFormat="1" ht="11.25" customHeight="1">
      <c r="A81" s="529"/>
      <c r="B81" s="53"/>
      <c r="C81" s="53"/>
      <c r="K81" s="49"/>
      <c r="L81" s="53"/>
      <c r="M81" s="53"/>
      <c r="N81" s="49"/>
      <c r="O81" s="49"/>
      <c r="P81" s="49"/>
      <c r="Q81" s="49"/>
      <c r="R81" s="53"/>
      <c r="S81" s="49"/>
      <c r="T81" s="49"/>
      <c r="U81" s="530"/>
      <c r="V81" s="49"/>
      <c r="W81" s="49"/>
      <c r="X81" s="49"/>
      <c r="Y81" s="49"/>
      <c r="Z81" s="49"/>
      <c r="AA81" s="52"/>
      <c r="AB81" s="51"/>
      <c r="AC81" s="51"/>
      <c r="AD81" s="51"/>
      <c r="AE81" s="51"/>
    </row>
    <row r="82" spans="1:31" s="123" customFormat="1" ht="11.25" customHeight="1">
      <c r="A82" s="529"/>
      <c r="B82" s="53"/>
      <c r="C82" s="53"/>
      <c r="K82" s="49"/>
      <c r="L82" s="53"/>
      <c r="M82" s="53"/>
      <c r="N82" s="49"/>
      <c r="O82" s="49"/>
      <c r="P82" s="49"/>
      <c r="Q82" s="49"/>
      <c r="R82" s="53"/>
      <c r="S82" s="49"/>
      <c r="T82" s="49"/>
      <c r="U82" s="530"/>
      <c r="V82" s="49"/>
      <c r="W82" s="49"/>
      <c r="X82" s="49"/>
      <c r="Y82" s="49"/>
      <c r="Z82" s="49"/>
      <c r="AA82" s="52"/>
      <c r="AB82" s="51"/>
      <c r="AC82" s="51"/>
      <c r="AD82" s="51"/>
      <c r="AE82" s="51"/>
    </row>
    <row r="83" spans="1:31" s="123" customFormat="1" ht="11.25" customHeight="1">
      <c r="A83" s="529"/>
      <c r="B83" s="53"/>
      <c r="C83" s="53"/>
      <c r="K83" s="49"/>
      <c r="L83" s="53"/>
      <c r="M83" s="53"/>
      <c r="N83" s="49"/>
      <c r="O83" s="49"/>
      <c r="P83" s="49"/>
      <c r="Q83" s="49"/>
      <c r="R83" s="53"/>
      <c r="S83" s="49"/>
      <c r="T83" s="49"/>
      <c r="U83" s="530"/>
      <c r="V83" s="49"/>
      <c r="W83" s="49"/>
      <c r="X83" s="49"/>
      <c r="Y83" s="49"/>
      <c r="Z83" s="49"/>
      <c r="AA83" s="52"/>
      <c r="AB83" s="51"/>
      <c r="AC83" s="51"/>
      <c r="AD83" s="51"/>
      <c r="AE83" s="51"/>
    </row>
    <row r="84" spans="1:31" s="123" customFormat="1" ht="11.25" customHeight="1">
      <c r="A84" s="529"/>
      <c r="B84" s="53"/>
      <c r="C84" s="53"/>
      <c r="K84" s="49"/>
      <c r="L84" s="53"/>
      <c r="M84" s="53"/>
      <c r="N84" s="49"/>
      <c r="O84" s="49"/>
      <c r="P84" s="49"/>
      <c r="Q84" s="49"/>
      <c r="R84" s="53"/>
      <c r="S84" s="49"/>
      <c r="T84" s="49"/>
      <c r="U84" s="530"/>
      <c r="V84" s="49"/>
      <c r="W84" s="49"/>
      <c r="X84" s="49"/>
      <c r="Y84" s="49"/>
      <c r="Z84" s="49"/>
      <c r="AA84" s="52"/>
      <c r="AB84" s="51"/>
      <c r="AC84" s="51"/>
      <c r="AD84" s="51"/>
      <c r="AE84" s="51"/>
    </row>
    <row r="85" spans="1:31" s="123" customFormat="1" ht="11.25" customHeight="1">
      <c r="A85" s="529"/>
      <c r="B85" s="53"/>
      <c r="C85" s="53"/>
      <c r="K85" s="49"/>
      <c r="L85" s="53"/>
      <c r="M85" s="53"/>
      <c r="N85" s="49"/>
      <c r="O85" s="49"/>
      <c r="P85" s="49"/>
      <c r="Q85" s="49"/>
      <c r="R85" s="53"/>
      <c r="S85" s="49"/>
      <c r="T85" s="49"/>
      <c r="U85" s="530"/>
      <c r="V85" s="49"/>
      <c r="W85" s="49"/>
      <c r="X85" s="49"/>
      <c r="Y85" s="49"/>
      <c r="Z85" s="49"/>
      <c r="AA85" s="52"/>
      <c r="AB85" s="51"/>
      <c r="AC85" s="51"/>
      <c r="AD85" s="51"/>
      <c r="AE85" s="51"/>
    </row>
    <row r="86" spans="1:31" s="123" customFormat="1" ht="11.25" customHeight="1">
      <c r="A86" s="529"/>
      <c r="B86" s="53"/>
      <c r="C86" s="53"/>
      <c r="K86" s="49"/>
      <c r="L86" s="53"/>
      <c r="M86" s="53"/>
      <c r="N86" s="49"/>
      <c r="O86" s="49"/>
      <c r="P86" s="49"/>
      <c r="Q86" s="49"/>
      <c r="R86" s="53"/>
      <c r="S86" s="49"/>
      <c r="T86" s="49"/>
      <c r="U86" s="530"/>
      <c r="V86" s="49"/>
      <c r="W86" s="49"/>
      <c r="X86" s="49"/>
      <c r="Y86" s="49"/>
      <c r="Z86" s="49"/>
      <c r="AA86" s="52"/>
      <c r="AB86" s="51"/>
      <c r="AC86" s="51"/>
      <c r="AD86" s="51"/>
      <c r="AE86" s="51"/>
    </row>
    <row r="87" spans="1:31" s="123" customFormat="1" ht="11.25" customHeight="1">
      <c r="A87" s="529"/>
      <c r="B87" s="53"/>
      <c r="C87" s="53"/>
      <c r="K87" s="49"/>
      <c r="L87" s="53"/>
      <c r="M87" s="53"/>
      <c r="N87" s="49"/>
      <c r="O87" s="49"/>
      <c r="P87" s="49"/>
      <c r="Q87" s="49"/>
      <c r="R87" s="53"/>
      <c r="S87" s="49"/>
      <c r="T87" s="49"/>
      <c r="U87" s="530"/>
      <c r="V87" s="49"/>
      <c r="W87" s="49"/>
      <c r="X87" s="49"/>
      <c r="Y87" s="49"/>
      <c r="Z87" s="49"/>
      <c r="AA87" s="52"/>
      <c r="AB87" s="51"/>
      <c r="AC87" s="51"/>
      <c r="AD87" s="51"/>
      <c r="AE87" s="51"/>
    </row>
    <row r="88" spans="1:31" s="123" customFormat="1" ht="11.25" customHeight="1">
      <c r="A88" s="529"/>
      <c r="B88" s="53"/>
      <c r="C88" s="53"/>
      <c r="K88" s="49"/>
      <c r="L88" s="53"/>
      <c r="M88" s="53"/>
      <c r="N88" s="49"/>
      <c r="O88" s="49"/>
      <c r="P88" s="49"/>
      <c r="Q88" s="49"/>
      <c r="R88" s="53"/>
      <c r="S88" s="49"/>
      <c r="T88" s="49"/>
      <c r="U88" s="530"/>
      <c r="V88" s="49"/>
      <c r="W88" s="49"/>
      <c r="X88" s="49"/>
      <c r="Y88" s="49"/>
      <c r="Z88" s="49"/>
      <c r="AA88" s="52"/>
      <c r="AB88" s="51"/>
      <c r="AC88" s="51"/>
      <c r="AD88" s="51"/>
      <c r="AE88" s="51"/>
    </row>
    <row r="89" spans="1:31" s="123" customFormat="1" ht="11.25" customHeight="1">
      <c r="A89" s="529"/>
      <c r="B89" s="53"/>
      <c r="C89" s="53"/>
      <c r="K89" s="49"/>
      <c r="L89" s="53"/>
      <c r="M89" s="53"/>
      <c r="N89" s="49"/>
      <c r="O89" s="49"/>
      <c r="P89" s="49"/>
      <c r="Q89" s="49"/>
      <c r="R89" s="53"/>
      <c r="S89" s="49"/>
      <c r="T89" s="49"/>
      <c r="U89" s="530"/>
      <c r="V89" s="49"/>
      <c r="W89" s="49"/>
      <c r="X89" s="49"/>
      <c r="Y89" s="49"/>
      <c r="Z89" s="49"/>
      <c r="AA89" s="52"/>
      <c r="AB89" s="51"/>
      <c r="AC89" s="51"/>
      <c r="AD89" s="51"/>
      <c r="AE89" s="51"/>
    </row>
    <row r="90" spans="1:31" s="123" customFormat="1" ht="11.25" customHeight="1">
      <c r="A90" s="529"/>
      <c r="B90" s="53"/>
      <c r="C90" s="53"/>
      <c r="K90" s="49"/>
      <c r="L90" s="53"/>
      <c r="M90" s="53"/>
      <c r="N90" s="49"/>
      <c r="O90" s="49"/>
      <c r="P90" s="49"/>
      <c r="Q90" s="49"/>
      <c r="R90" s="53"/>
      <c r="S90" s="49"/>
      <c r="T90" s="49"/>
      <c r="U90" s="530"/>
      <c r="V90" s="49"/>
      <c r="W90" s="49"/>
      <c r="X90" s="49"/>
      <c r="Y90" s="49"/>
      <c r="Z90" s="49"/>
      <c r="AA90" s="52"/>
      <c r="AB90" s="51"/>
      <c r="AC90" s="51"/>
      <c r="AD90" s="51"/>
      <c r="AE90" s="51"/>
    </row>
    <row r="91" spans="1:31" s="123" customFormat="1" ht="11.25" customHeight="1">
      <c r="A91" s="529"/>
      <c r="B91" s="53"/>
      <c r="C91" s="53"/>
      <c r="K91" s="49"/>
      <c r="L91" s="53"/>
      <c r="M91" s="53"/>
      <c r="N91" s="49"/>
      <c r="O91" s="49"/>
      <c r="P91" s="49"/>
      <c r="Q91" s="49"/>
      <c r="R91" s="53"/>
      <c r="S91" s="49"/>
      <c r="T91" s="49"/>
      <c r="U91" s="530"/>
      <c r="V91" s="49"/>
      <c r="W91" s="49"/>
      <c r="X91" s="49"/>
      <c r="Y91" s="49"/>
      <c r="Z91" s="49"/>
      <c r="AA91" s="52"/>
      <c r="AB91" s="51"/>
      <c r="AC91" s="51"/>
      <c r="AD91" s="51"/>
      <c r="AE91" s="51"/>
    </row>
    <row r="92" spans="1:31" s="123" customFormat="1" ht="11.25" customHeight="1">
      <c r="A92" s="529"/>
      <c r="B92" s="53"/>
      <c r="C92" s="53"/>
      <c r="K92" s="49"/>
      <c r="L92" s="53"/>
      <c r="M92" s="53"/>
      <c r="N92" s="49"/>
      <c r="O92" s="49"/>
      <c r="P92" s="49"/>
      <c r="Q92" s="49"/>
      <c r="R92" s="53"/>
      <c r="S92" s="49"/>
      <c r="T92" s="49"/>
      <c r="U92" s="530"/>
      <c r="V92" s="49"/>
      <c r="W92" s="49"/>
      <c r="X92" s="49"/>
      <c r="Y92" s="49"/>
      <c r="Z92" s="49"/>
      <c r="AA92" s="52"/>
      <c r="AB92" s="51"/>
      <c r="AC92" s="51"/>
      <c r="AD92" s="51"/>
      <c r="AE92" s="51"/>
    </row>
    <row r="93" spans="1:31" s="123" customFormat="1" ht="11.25" customHeight="1">
      <c r="A93" s="529"/>
      <c r="B93" s="53"/>
      <c r="C93" s="53"/>
      <c r="K93" s="49"/>
      <c r="L93" s="53"/>
      <c r="M93" s="53"/>
      <c r="N93" s="49"/>
      <c r="O93" s="49"/>
      <c r="P93" s="49"/>
      <c r="Q93" s="49"/>
      <c r="R93" s="53"/>
      <c r="S93" s="49"/>
      <c r="T93" s="49"/>
      <c r="U93" s="530"/>
      <c r="V93" s="49"/>
      <c r="W93" s="49"/>
      <c r="X93" s="49"/>
      <c r="Y93" s="49"/>
      <c r="Z93" s="49"/>
      <c r="AA93" s="52"/>
      <c r="AB93" s="51"/>
      <c r="AC93" s="51"/>
      <c r="AD93" s="51"/>
      <c r="AE93" s="51"/>
    </row>
    <row r="94" spans="1:31" s="123" customFormat="1" ht="11.25" customHeight="1">
      <c r="A94" s="529"/>
      <c r="B94" s="53"/>
      <c r="C94" s="53"/>
      <c r="K94" s="49"/>
      <c r="L94" s="53"/>
      <c r="M94" s="53"/>
      <c r="N94" s="49"/>
      <c r="O94" s="49"/>
      <c r="P94" s="49"/>
      <c r="Q94" s="49"/>
      <c r="R94" s="53"/>
      <c r="S94" s="49"/>
      <c r="T94" s="49"/>
      <c r="U94" s="530"/>
      <c r="V94" s="49"/>
      <c r="W94" s="49"/>
      <c r="X94" s="49"/>
      <c r="Y94" s="49"/>
      <c r="Z94" s="49"/>
      <c r="AA94" s="52"/>
      <c r="AB94" s="51"/>
      <c r="AC94" s="51"/>
      <c r="AD94" s="51"/>
      <c r="AE94" s="51"/>
    </row>
    <row r="95" spans="1:31" s="123" customFormat="1" ht="11.25" customHeight="1">
      <c r="A95" s="529"/>
      <c r="B95" s="53"/>
      <c r="C95" s="53"/>
      <c r="K95" s="49"/>
      <c r="L95" s="53"/>
      <c r="M95" s="53"/>
      <c r="N95" s="49"/>
      <c r="O95" s="49"/>
      <c r="P95" s="49"/>
      <c r="Q95" s="49"/>
      <c r="R95" s="53"/>
      <c r="S95" s="49"/>
      <c r="T95" s="49"/>
      <c r="U95" s="530"/>
      <c r="V95" s="49"/>
      <c r="W95" s="49"/>
      <c r="X95" s="49"/>
      <c r="Y95" s="49"/>
      <c r="Z95" s="49"/>
      <c r="AA95" s="52"/>
      <c r="AB95" s="51"/>
      <c r="AC95" s="51"/>
      <c r="AD95" s="51"/>
      <c r="AE95" s="51"/>
    </row>
    <row r="96" spans="1:31" s="123" customFormat="1" ht="11.25" customHeight="1">
      <c r="A96" s="529"/>
      <c r="B96" s="53"/>
      <c r="C96" s="53"/>
      <c r="K96" s="49"/>
      <c r="L96" s="53"/>
      <c r="M96" s="53"/>
      <c r="N96" s="49"/>
      <c r="O96" s="49"/>
      <c r="P96" s="49"/>
      <c r="Q96" s="49"/>
      <c r="R96" s="53"/>
      <c r="S96" s="49"/>
      <c r="T96" s="49"/>
      <c r="U96" s="530"/>
      <c r="V96" s="49"/>
      <c r="W96" s="49"/>
      <c r="X96" s="49"/>
      <c r="Y96" s="49"/>
      <c r="Z96" s="49"/>
      <c r="AA96" s="52"/>
      <c r="AB96" s="51"/>
      <c r="AC96" s="51"/>
      <c r="AD96" s="51"/>
      <c r="AE96" s="51"/>
    </row>
    <row r="97" spans="1:31" s="123" customFormat="1" ht="11.25" customHeight="1">
      <c r="A97" s="529"/>
      <c r="B97" s="53"/>
      <c r="C97" s="53"/>
      <c r="K97" s="49"/>
      <c r="L97" s="53"/>
      <c r="M97" s="53"/>
      <c r="N97" s="49"/>
      <c r="O97" s="49"/>
      <c r="P97" s="49"/>
      <c r="Q97" s="49"/>
      <c r="R97" s="53"/>
      <c r="S97" s="49"/>
      <c r="T97" s="49"/>
      <c r="U97" s="530"/>
      <c r="V97" s="49"/>
      <c r="W97" s="49"/>
      <c r="X97" s="49"/>
      <c r="Y97" s="49"/>
      <c r="Z97" s="49"/>
      <c r="AA97" s="52"/>
      <c r="AB97" s="51"/>
      <c r="AC97" s="51"/>
      <c r="AD97" s="51"/>
      <c r="AE97" s="51"/>
    </row>
    <row r="98" spans="1:31" s="123" customFormat="1" ht="11.25" customHeight="1">
      <c r="A98" s="529"/>
      <c r="B98" s="53"/>
      <c r="C98" s="53"/>
      <c r="K98" s="49"/>
      <c r="L98" s="53"/>
      <c r="M98" s="53"/>
      <c r="N98" s="49"/>
      <c r="O98" s="49"/>
      <c r="P98" s="49"/>
      <c r="Q98" s="49"/>
      <c r="R98" s="53"/>
      <c r="S98" s="49"/>
      <c r="T98" s="49"/>
      <c r="U98" s="530"/>
      <c r="V98" s="49"/>
      <c r="W98" s="49"/>
      <c r="X98" s="49"/>
      <c r="Y98" s="49"/>
      <c r="Z98" s="49"/>
      <c r="AA98" s="52"/>
      <c r="AB98" s="51"/>
      <c r="AC98" s="51"/>
      <c r="AD98" s="51"/>
      <c r="AE98" s="51"/>
    </row>
    <row r="99" spans="1:31" s="123" customFormat="1" ht="11.25" customHeight="1">
      <c r="A99" s="529"/>
      <c r="B99" s="53"/>
      <c r="C99" s="53"/>
      <c r="K99" s="49"/>
      <c r="L99" s="53"/>
      <c r="M99" s="53"/>
      <c r="N99" s="49"/>
      <c r="O99" s="49"/>
      <c r="P99" s="49"/>
      <c r="Q99" s="49"/>
      <c r="R99" s="53"/>
      <c r="S99" s="49"/>
      <c r="T99" s="49"/>
      <c r="U99" s="530"/>
      <c r="V99" s="49"/>
      <c r="W99" s="49"/>
      <c r="X99" s="49"/>
      <c r="Y99" s="49"/>
      <c r="Z99" s="49"/>
      <c r="AA99" s="52"/>
      <c r="AB99" s="51"/>
      <c r="AC99" s="51"/>
      <c r="AD99" s="51"/>
      <c r="AE99" s="51"/>
    </row>
    <row r="100" spans="1:31" s="123" customFormat="1" ht="11.25" customHeight="1">
      <c r="A100" s="529"/>
      <c r="B100" s="53"/>
      <c r="C100" s="53"/>
      <c r="K100" s="49"/>
      <c r="L100" s="53"/>
      <c r="M100" s="53"/>
      <c r="N100" s="49"/>
      <c r="O100" s="49"/>
      <c r="P100" s="49"/>
      <c r="Q100" s="49"/>
      <c r="R100" s="53"/>
      <c r="S100" s="49"/>
      <c r="T100" s="49"/>
      <c r="U100" s="530"/>
      <c r="V100" s="49"/>
      <c r="W100" s="49"/>
      <c r="X100" s="49"/>
      <c r="Y100" s="49"/>
      <c r="Z100" s="49"/>
      <c r="AA100" s="52"/>
      <c r="AB100" s="51"/>
      <c r="AC100" s="51"/>
      <c r="AD100" s="51"/>
      <c r="AE100" s="51"/>
    </row>
    <row r="101" spans="1:31" s="123" customFormat="1" ht="11.25" customHeight="1">
      <c r="A101" s="529"/>
      <c r="B101" s="53"/>
      <c r="C101" s="53"/>
      <c r="K101" s="49"/>
      <c r="L101" s="53"/>
      <c r="M101" s="53"/>
      <c r="N101" s="49"/>
      <c r="O101" s="49"/>
      <c r="P101" s="49"/>
      <c r="Q101" s="49"/>
      <c r="R101" s="53"/>
      <c r="S101" s="49"/>
      <c r="T101" s="49"/>
      <c r="U101" s="530"/>
      <c r="V101" s="49"/>
      <c r="W101" s="49"/>
      <c r="X101" s="49"/>
      <c r="Y101" s="49"/>
      <c r="Z101" s="49"/>
      <c r="AA101" s="52"/>
      <c r="AB101" s="51"/>
      <c r="AC101" s="51"/>
      <c r="AD101" s="51"/>
      <c r="AE101" s="51"/>
    </row>
    <row r="102" spans="1:31" s="123" customFormat="1" ht="11.25" customHeight="1">
      <c r="A102" s="529"/>
      <c r="B102" s="53"/>
      <c r="C102" s="53"/>
      <c r="K102" s="49"/>
      <c r="L102" s="53"/>
      <c r="M102" s="53"/>
      <c r="N102" s="49"/>
      <c r="O102" s="49"/>
      <c r="P102" s="49"/>
      <c r="Q102" s="49"/>
      <c r="R102" s="53"/>
      <c r="S102" s="49"/>
      <c r="T102" s="49"/>
      <c r="U102" s="530"/>
      <c r="V102" s="49"/>
      <c r="W102" s="49"/>
      <c r="X102" s="49"/>
      <c r="Y102" s="49"/>
      <c r="Z102" s="49"/>
      <c r="AA102" s="52"/>
      <c r="AB102" s="51"/>
      <c r="AC102" s="51"/>
      <c r="AD102" s="51"/>
      <c r="AE102" s="51"/>
    </row>
    <row r="103" spans="1:31" s="123" customFormat="1" ht="11.25" customHeight="1">
      <c r="A103" s="529"/>
      <c r="B103" s="53"/>
      <c r="C103" s="53"/>
      <c r="K103" s="49"/>
      <c r="L103" s="53"/>
      <c r="M103" s="53"/>
      <c r="N103" s="49"/>
      <c r="O103" s="49"/>
      <c r="P103" s="49"/>
      <c r="Q103" s="49"/>
      <c r="R103" s="53"/>
      <c r="S103" s="49"/>
      <c r="T103" s="49"/>
      <c r="U103" s="530"/>
      <c r="V103" s="49"/>
      <c r="W103" s="49"/>
      <c r="X103" s="49"/>
      <c r="Y103" s="49"/>
      <c r="Z103" s="49"/>
      <c r="AA103" s="52"/>
      <c r="AB103" s="51"/>
      <c r="AC103" s="51"/>
      <c r="AD103" s="51"/>
      <c r="AE103" s="51"/>
    </row>
    <row r="104" spans="1:31" s="123" customFormat="1" ht="11.25" customHeight="1">
      <c r="A104" s="529"/>
      <c r="B104" s="53"/>
      <c r="C104" s="53"/>
      <c r="K104" s="49"/>
      <c r="L104" s="53"/>
      <c r="M104" s="53"/>
      <c r="N104" s="49"/>
      <c r="O104" s="49"/>
      <c r="P104" s="49"/>
      <c r="Q104" s="49"/>
      <c r="R104" s="53"/>
      <c r="S104" s="49"/>
      <c r="T104" s="49"/>
      <c r="U104" s="530"/>
      <c r="V104" s="49"/>
      <c r="W104" s="49"/>
      <c r="X104" s="49"/>
      <c r="Y104" s="49"/>
      <c r="Z104" s="49"/>
      <c r="AA104" s="52"/>
      <c r="AB104" s="51"/>
      <c r="AC104" s="51"/>
      <c r="AD104" s="51"/>
      <c r="AE104" s="51"/>
    </row>
    <row r="105" spans="1:31" s="123" customFormat="1" ht="11.25" customHeight="1">
      <c r="A105" s="529"/>
      <c r="B105" s="53"/>
      <c r="C105" s="53"/>
      <c r="K105" s="49"/>
      <c r="L105" s="53"/>
      <c r="M105" s="53"/>
      <c r="N105" s="49"/>
      <c r="O105" s="49"/>
      <c r="P105" s="49"/>
      <c r="Q105" s="49"/>
      <c r="R105" s="53"/>
      <c r="S105" s="49"/>
      <c r="T105" s="49"/>
      <c r="U105" s="530"/>
      <c r="V105" s="49"/>
      <c r="W105" s="49"/>
      <c r="X105" s="49"/>
      <c r="Y105" s="49"/>
      <c r="Z105" s="49"/>
      <c r="AA105" s="52"/>
      <c r="AB105" s="51"/>
      <c r="AC105" s="51"/>
      <c r="AD105" s="51"/>
      <c r="AE105" s="51"/>
    </row>
    <row r="106" spans="1:31" s="123" customFormat="1" ht="11.25" customHeight="1">
      <c r="A106" s="529"/>
      <c r="B106" s="53"/>
      <c r="C106" s="53"/>
      <c r="K106" s="49"/>
      <c r="L106" s="53"/>
      <c r="M106" s="53"/>
      <c r="N106" s="49"/>
      <c r="O106" s="49"/>
      <c r="P106" s="49"/>
      <c r="Q106" s="49"/>
      <c r="R106" s="53"/>
      <c r="S106" s="49"/>
      <c r="T106" s="49"/>
      <c r="U106" s="530"/>
      <c r="V106" s="49"/>
      <c r="W106" s="49"/>
      <c r="X106" s="49"/>
      <c r="Y106" s="49"/>
      <c r="Z106" s="49"/>
      <c r="AA106" s="52"/>
      <c r="AB106" s="51"/>
      <c r="AC106" s="51"/>
      <c r="AD106" s="51"/>
      <c r="AE106" s="51"/>
    </row>
    <row r="107" spans="1:31" s="123" customFormat="1" ht="11.25" customHeight="1">
      <c r="A107" s="529"/>
      <c r="B107" s="53"/>
      <c r="C107" s="53"/>
      <c r="K107" s="49"/>
      <c r="L107" s="53"/>
      <c r="M107" s="53"/>
      <c r="N107" s="49"/>
      <c r="O107" s="49"/>
      <c r="P107" s="49"/>
      <c r="Q107" s="49"/>
      <c r="R107" s="53"/>
      <c r="S107" s="49"/>
      <c r="T107" s="49"/>
      <c r="U107" s="530"/>
      <c r="V107" s="49"/>
      <c r="W107" s="49"/>
      <c r="X107" s="49"/>
      <c r="Y107" s="49"/>
      <c r="Z107" s="49"/>
      <c r="AA107" s="52"/>
      <c r="AB107" s="51"/>
      <c r="AC107" s="51"/>
      <c r="AD107" s="51"/>
      <c r="AE107" s="51"/>
    </row>
    <row r="108" spans="1:31" s="123" customFormat="1" ht="11.25" customHeight="1">
      <c r="A108" s="529"/>
      <c r="B108" s="53"/>
      <c r="C108" s="53"/>
      <c r="K108" s="49"/>
      <c r="L108" s="53"/>
      <c r="M108" s="53"/>
      <c r="N108" s="49"/>
      <c r="O108" s="49"/>
      <c r="P108" s="49"/>
      <c r="Q108" s="49"/>
      <c r="R108" s="53"/>
      <c r="S108" s="49"/>
      <c r="T108" s="49"/>
      <c r="U108" s="530"/>
      <c r="V108" s="49"/>
      <c r="W108" s="49"/>
      <c r="X108" s="49"/>
      <c r="Y108" s="49"/>
      <c r="Z108" s="49"/>
      <c r="AA108" s="52"/>
      <c r="AB108" s="51"/>
      <c r="AC108" s="51"/>
      <c r="AD108" s="51"/>
      <c r="AE108" s="51"/>
    </row>
    <row r="109" spans="1:31" s="123" customFormat="1" ht="11.25" customHeight="1">
      <c r="A109" s="529"/>
      <c r="B109" s="53"/>
      <c r="C109" s="53"/>
      <c r="K109" s="49"/>
      <c r="L109" s="53"/>
      <c r="M109" s="53"/>
      <c r="N109" s="49"/>
      <c r="O109" s="49"/>
      <c r="P109" s="49"/>
      <c r="Q109" s="49"/>
      <c r="R109" s="53"/>
      <c r="S109" s="49"/>
      <c r="T109" s="49"/>
      <c r="U109" s="530"/>
      <c r="V109" s="49"/>
      <c r="W109" s="49"/>
      <c r="X109" s="49"/>
      <c r="Y109" s="49"/>
      <c r="Z109" s="49"/>
      <c r="AA109" s="52"/>
      <c r="AB109" s="51"/>
      <c r="AC109" s="51"/>
      <c r="AD109" s="51"/>
      <c r="AE109" s="51"/>
    </row>
    <row r="110" spans="1:31" s="123" customFormat="1" ht="11.25" customHeight="1">
      <c r="A110" s="529"/>
      <c r="B110" s="53"/>
      <c r="C110" s="53"/>
      <c r="K110" s="49"/>
      <c r="L110" s="53"/>
      <c r="M110" s="53"/>
      <c r="N110" s="49"/>
      <c r="O110" s="49"/>
      <c r="P110" s="49"/>
      <c r="Q110" s="49"/>
      <c r="R110" s="53"/>
      <c r="S110" s="49"/>
      <c r="T110" s="49"/>
      <c r="U110" s="530"/>
      <c r="V110" s="49"/>
      <c r="W110" s="49"/>
      <c r="X110" s="49"/>
      <c r="Y110" s="49"/>
      <c r="Z110" s="49"/>
      <c r="AA110" s="52"/>
      <c r="AB110" s="51"/>
      <c r="AC110" s="51"/>
      <c r="AD110" s="51"/>
      <c r="AE110" s="51"/>
    </row>
    <row r="111" spans="1:31" s="123" customFormat="1" ht="11.25" customHeight="1">
      <c r="A111" s="529"/>
      <c r="B111" s="53"/>
      <c r="C111" s="53"/>
      <c r="K111" s="49"/>
      <c r="L111" s="53"/>
      <c r="M111" s="53"/>
      <c r="N111" s="49"/>
      <c r="O111" s="49"/>
      <c r="P111" s="49"/>
      <c r="Q111" s="49"/>
      <c r="R111" s="53"/>
      <c r="S111" s="49"/>
      <c r="T111" s="49"/>
      <c r="U111" s="530"/>
      <c r="V111" s="49"/>
      <c r="W111" s="49"/>
      <c r="X111" s="49"/>
      <c r="Y111" s="49"/>
      <c r="Z111" s="49"/>
      <c r="AA111" s="52"/>
      <c r="AB111" s="51"/>
      <c r="AC111" s="51"/>
      <c r="AD111" s="51"/>
      <c r="AE111" s="51"/>
    </row>
    <row r="112" spans="1:31" s="123" customFormat="1" ht="11.25" customHeight="1">
      <c r="A112" s="529"/>
      <c r="B112" s="53"/>
      <c r="C112" s="53"/>
      <c r="K112" s="49"/>
      <c r="L112" s="53"/>
      <c r="M112" s="53"/>
      <c r="N112" s="49"/>
      <c r="O112" s="49"/>
      <c r="P112" s="49"/>
      <c r="Q112" s="49"/>
      <c r="R112" s="53"/>
      <c r="S112" s="49"/>
      <c r="T112" s="49"/>
      <c r="U112" s="530"/>
      <c r="V112" s="49"/>
      <c r="W112" s="49"/>
      <c r="X112" s="49"/>
      <c r="Y112" s="49"/>
      <c r="Z112" s="49"/>
      <c r="AA112" s="52"/>
      <c r="AB112" s="51"/>
      <c r="AC112" s="51"/>
      <c r="AD112" s="51"/>
      <c r="AE112" s="51"/>
    </row>
    <row r="113" spans="1:31" s="123" customFormat="1" ht="11.25" customHeight="1">
      <c r="A113" s="529"/>
      <c r="B113" s="53"/>
      <c r="C113" s="53"/>
      <c r="K113" s="49"/>
      <c r="L113" s="53"/>
      <c r="M113" s="53"/>
      <c r="N113" s="49"/>
      <c r="O113" s="49"/>
      <c r="P113" s="49"/>
      <c r="Q113" s="49"/>
      <c r="R113" s="53"/>
      <c r="S113" s="49"/>
      <c r="T113" s="49"/>
      <c r="U113" s="530"/>
      <c r="V113" s="49"/>
      <c r="W113" s="49"/>
      <c r="X113" s="49"/>
      <c r="Y113" s="49"/>
      <c r="Z113" s="49"/>
      <c r="AA113" s="52"/>
      <c r="AB113" s="51"/>
      <c r="AC113" s="51"/>
      <c r="AD113" s="51"/>
      <c r="AE113" s="51"/>
    </row>
    <row r="114" spans="1:31" s="123" customFormat="1" ht="11.25" customHeight="1">
      <c r="A114" s="529"/>
      <c r="B114" s="53"/>
      <c r="C114" s="53"/>
      <c r="K114" s="49"/>
      <c r="L114" s="53"/>
      <c r="M114" s="53"/>
      <c r="N114" s="49"/>
      <c r="O114" s="49"/>
      <c r="P114" s="49"/>
      <c r="Q114" s="49"/>
      <c r="R114" s="53"/>
      <c r="S114" s="49"/>
      <c r="T114" s="49"/>
      <c r="U114" s="530"/>
      <c r="V114" s="49"/>
      <c r="W114" s="49"/>
      <c r="X114" s="49"/>
      <c r="Y114" s="49"/>
      <c r="Z114" s="49"/>
      <c r="AA114" s="52"/>
      <c r="AB114" s="51"/>
      <c r="AC114" s="51"/>
      <c r="AD114" s="51"/>
      <c r="AE114" s="51"/>
    </row>
    <row r="115" spans="1:31" s="123" customFormat="1" ht="11.25" customHeight="1">
      <c r="A115" s="529"/>
      <c r="B115" s="53"/>
      <c r="C115" s="53"/>
      <c r="K115" s="49"/>
      <c r="L115" s="53"/>
      <c r="M115" s="53"/>
      <c r="N115" s="49"/>
      <c r="O115" s="49"/>
      <c r="P115" s="49"/>
      <c r="Q115" s="49"/>
      <c r="R115" s="53"/>
      <c r="S115" s="49"/>
      <c r="T115" s="49"/>
      <c r="U115" s="530"/>
      <c r="V115" s="49"/>
      <c r="W115" s="49"/>
      <c r="X115" s="49"/>
      <c r="Y115" s="49"/>
      <c r="Z115" s="49"/>
      <c r="AA115" s="52"/>
      <c r="AB115" s="51"/>
      <c r="AC115" s="51"/>
      <c r="AD115" s="51"/>
      <c r="AE115" s="51"/>
    </row>
    <row r="116" spans="1:31" s="123" customFormat="1" ht="11.25" customHeight="1">
      <c r="A116" s="529"/>
      <c r="B116" s="53"/>
      <c r="C116" s="53"/>
      <c r="K116" s="49"/>
      <c r="L116" s="53"/>
      <c r="M116" s="53"/>
      <c r="N116" s="49"/>
      <c r="O116" s="49"/>
      <c r="P116" s="49"/>
      <c r="Q116" s="49"/>
      <c r="R116" s="53"/>
      <c r="S116" s="49"/>
      <c r="T116" s="49"/>
      <c r="U116" s="530"/>
      <c r="V116" s="49"/>
      <c r="W116" s="49"/>
      <c r="X116" s="49"/>
      <c r="Y116" s="49"/>
      <c r="Z116" s="49"/>
      <c r="AA116" s="52"/>
      <c r="AB116" s="51"/>
      <c r="AC116" s="51"/>
      <c r="AD116" s="51"/>
      <c r="AE116" s="51"/>
    </row>
    <row r="117" spans="1:31" s="123" customFormat="1" ht="11.25" customHeight="1">
      <c r="A117" s="529"/>
      <c r="B117" s="53"/>
      <c r="C117" s="53"/>
      <c r="K117" s="49"/>
      <c r="L117" s="53"/>
      <c r="M117" s="53"/>
      <c r="N117" s="49"/>
      <c r="O117" s="49"/>
      <c r="P117" s="49"/>
      <c r="Q117" s="49"/>
      <c r="R117" s="53"/>
      <c r="S117" s="49"/>
      <c r="T117" s="49"/>
      <c r="U117" s="530"/>
      <c r="V117" s="49"/>
      <c r="W117" s="49"/>
      <c r="X117" s="49"/>
      <c r="Y117" s="49"/>
      <c r="Z117" s="49"/>
      <c r="AA117" s="52"/>
      <c r="AB117" s="51"/>
      <c r="AC117" s="51"/>
      <c r="AD117" s="51"/>
      <c r="AE117" s="51"/>
    </row>
    <row r="118" spans="1:31" s="123" customFormat="1" ht="11.25" customHeight="1">
      <c r="A118" s="529"/>
      <c r="B118" s="53"/>
      <c r="C118" s="53"/>
      <c r="K118" s="49"/>
      <c r="L118" s="53"/>
      <c r="M118" s="53"/>
      <c r="N118" s="49"/>
      <c r="O118" s="49"/>
      <c r="P118" s="49"/>
      <c r="Q118" s="49"/>
      <c r="R118" s="53"/>
      <c r="S118" s="49"/>
      <c r="T118" s="49"/>
      <c r="U118" s="530"/>
      <c r="V118" s="49"/>
      <c r="W118" s="49"/>
      <c r="X118" s="49"/>
      <c r="Y118" s="49"/>
      <c r="Z118" s="49"/>
      <c r="AA118" s="52"/>
      <c r="AB118" s="51"/>
      <c r="AC118" s="51"/>
      <c r="AD118" s="51"/>
      <c r="AE118" s="51"/>
    </row>
    <row r="119" spans="1:31" s="123" customFormat="1" ht="11.25" customHeight="1">
      <c r="A119" s="529"/>
      <c r="B119" s="53"/>
      <c r="C119" s="53"/>
      <c r="K119" s="49"/>
      <c r="L119" s="53"/>
      <c r="M119" s="53"/>
      <c r="N119" s="49"/>
      <c r="O119" s="49"/>
      <c r="P119" s="49"/>
      <c r="Q119" s="49"/>
      <c r="R119" s="53"/>
      <c r="S119" s="49"/>
      <c r="T119" s="49"/>
      <c r="U119" s="530"/>
      <c r="V119" s="49"/>
      <c r="W119" s="49"/>
      <c r="X119" s="49"/>
      <c r="Y119" s="49"/>
      <c r="Z119" s="49"/>
      <c r="AA119" s="52"/>
      <c r="AB119" s="51"/>
      <c r="AC119" s="51"/>
      <c r="AD119" s="51"/>
      <c r="AE119" s="51"/>
    </row>
    <row r="120" spans="1:31" s="123" customFormat="1" ht="11.25" customHeight="1">
      <c r="A120" s="529"/>
      <c r="B120" s="53"/>
      <c r="C120" s="53"/>
      <c r="K120" s="49"/>
      <c r="L120" s="53"/>
      <c r="M120" s="53"/>
      <c r="N120" s="49"/>
      <c r="O120" s="49"/>
      <c r="P120" s="49"/>
      <c r="Q120" s="49"/>
      <c r="R120" s="53"/>
      <c r="S120" s="49"/>
      <c r="T120" s="49"/>
      <c r="U120" s="530"/>
      <c r="V120" s="49"/>
      <c r="W120" s="49"/>
      <c r="X120" s="49"/>
      <c r="Y120" s="49"/>
      <c r="Z120" s="49"/>
      <c r="AA120" s="52"/>
      <c r="AB120" s="51"/>
      <c r="AC120" s="51"/>
      <c r="AD120" s="51"/>
      <c r="AE120" s="51"/>
    </row>
    <row r="121" spans="1:31" s="123" customFormat="1" ht="11.25" customHeight="1">
      <c r="A121" s="529"/>
      <c r="B121" s="53"/>
      <c r="C121" s="53"/>
      <c r="K121" s="49"/>
      <c r="L121" s="53"/>
      <c r="M121" s="53"/>
      <c r="N121" s="49"/>
      <c r="O121" s="49"/>
      <c r="P121" s="49"/>
      <c r="Q121" s="49"/>
      <c r="R121" s="53"/>
      <c r="S121" s="49"/>
      <c r="T121" s="49"/>
      <c r="U121" s="530"/>
      <c r="V121" s="49"/>
      <c r="W121" s="49"/>
      <c r="X121" s="49"/>
      <c r="Y121" s="49"/>
      <c r="Z121" s="49"/>
      <c r="AA121" s="52"/>
      <c r="AB121" s="51"/>
      <c r="AC121" s="51"/>
      <c r="AD121" s="51"/>
      <c r="AE121" s="51"/>
    </row>
    <row r="122" spans="1:31" s="123" customFormat="1" ht="11.25" customHeight="1">
      <c r="A122" s="529"/>
      <c r="B122" s="53"/>
      <c r="C122" s="53"/>
      <c r="K122" s="49"/>
      <c r="L122" s="53"/>
      <c r="M122" s="53"/>
      <c r="N122" s="49"/>
      <c r="O122" s="49"/>
      <c r="P122" s="49"/>
      <c r="Q122" s="49"/>
      <c r="R122" s="53"/>
      <c r="S122" s="49"/>
      <c r="T122" s="49"/>
      <c r="U122" s="530"/>
      <c r="V122" s="49"/>
      <c r="W122" s="49"/>
      <c r="X122" s="49"/>
      <c r="Y122" s="49"/>
      <c r="Z122" s="49"/>
      <c r="AA122" s="52"/>
      <c r="AB122" s="51"/>
      <c r="AC122" s="51"/>
      <c r="AD122" s="51"/>
      <c r="AE122" s="51"/>
    </row>
    <row r="123" spans="1:31" s="123" customFormat="1" ht="11.25" customHeight="1">
      <c r="A123" s="529"/>
      <c r="B123" s="53"/>
      <c r="C123" s="53"/>
      <c r="K123" s="49"/>
      <c r="L123" s="53"/>
      <c r="M123" s="53"/>
      <c r="N123" s="49"/>
      <c r="O123" s="49"/>
      <c r="P123" s="49"/>
      <c r="Q123" s="49"/>
      <c r="R123" s="53"/>
      <c r="S123" s="49"/>
      <c r="T123" s="49"/>
      <c r="U123" s="530"/>
      <c r="V123" s="49"/>
      <c r="W123" s="49"/>
      <c r="X123" s="49"/>
      <c r="Y123" s="49"/>
      <c r="Z123" s="49"/>
      <c r="AA123" s="52"/>
      <c r="AB123" s="51"/>
      <c r="AC123" s="51"/>
      <c r="AD123" s="51"/>
      <c r="AE123" s="51"/>
    </row>
    <row r="124" spans="1:31" s="123" customFormat="1" ht="11.25" customHeight="1">
      <c r="A124" s="529"/>
      <c r="B124" s="53"/>
      <c r="C124" s="53"/>
      <c r="K124" s="49"/>
      <c r="L124" s="53"/>
      <c r="M124" s="53"/>
      <c r="N124" s="49"/>
      <c r="O124" s="49"/>
      <c r="P124" s="49"/>
      <c r="Q124" s="49"/>
      <c r="R124" s="53"/>
      <c r="S124" s="49"/>
      <c r="T124" s="49"/>
      <c r="U124" s="530"/>
      <c r="V124" s="49"/>
      <c r="W124" s="49"/>
      <c r="X124" s="49"/>
      <c r="Y124" s="49"/>
      <c r="Z124" s="49"/>
      <c r="AA124" s="52"/>
      <c r="AB124" s="51"/>
      <c r="AC124" s="51"/>
      <c r="AD124" s="51"/>
      <c r="AE124" s="51"/>
    </row>
    <row r="125" spans="1:31" s="123" customFormat="1" ht="11.25" customHeight="1">
      <c r="A125" s="529"/>
      <c r="B125" s="53"/>
      <c r="C125" s="53"/>
      <c r="K125" s="49"/>
      <c r="L125" s="53"/>
      <c r="M125" s="53"/>
      <c r="N125" s="49"/>
      <c r="O125" s="49"/>
      <c r="P125" s="49"/>
      <c r="Q125" s="49"/>
      <c r="R125" s="53"/>
      <c r="S125" s="49"/>
      <c r="T125" s="49"/>
      <c r="U125" s="530"/>
      <c r="V125" s="49"/>
      <c r="W125" s="49"/>
      <c r="X125" s="49"/>
      <c r="Y125" s="49"/>
      <c r="Z125" s="49"/>
      <c r="AA125" s="52"/>
      <c r="AB125" s="51"/>
      <c r="AC125" s="51"/>
      <c r="AD125" s="51"/>
      <c r="AE125" s="51"/>
    </row>
    <row r="126" spans="1:31" s="123" customFormat="1" ht="11.25" customHeight="1">
      <c r="A126" s="529"/>
      <c r="B126" s="53"/>
      <c r="C126" s="53"/>
      <c r="K126" s="49"/>
      <c r="L126" s="53"/>
      <c r="M126" s="53"/>
      <c r="N126" s="49"/>
      <c r="O126" s="49"/>
      <c r="P126" s="49"/>
      <c r="Q126" s="49"/>
      <c r="R126" s="53"/>
      <c r="S126" s="49"/>
      <c r="T126" s="49"/>
      <c r="U126" s="530"/>
      <c r="V126" s="49"/>
      <c r="W126" s="49"/>
      <c r="X126" s="49"/>
      <c r="Y126" s="49"/>
      <c r="Z126" s="49"/>
      <c r="AA126" s="52"/>
      <c r="AB126" s="51"/>
      <c r="AC126" s="51"/>
      <c r="AD126" s="51"/>
      <c r="AE126" s="51"/>
    </row>
    <row r="127" spans="1:31" s="123" customFormat="1" ht="11.25" customHeight="1">
      <c r="A127" s="529"/>
      <c r="B127" s="53"/>
      <c r="C127" s="53"/>
      <c r="K127" s="49"/>
      <c r="L127" s="53"/>
      <c r="M127" s="53"/>
      <c r="N127" s="49"/>
      <c r="O127" s="49"/>
      <c r="P127" s="49"/>
      <c r="Q127" s="49"/>
      <c r="R127" s="53"/>
      <c r="S127" s="49"/>
      <c r="T127" s="49"/>
      <c r="U127" s="530"/>
      <c r="V127" s="49"/>
      <c r="W127" s="49"/>
      <c r="X127" s="49"/>
      <c r="Y127" s="49"/>
      <c r="Z127" s="49"/>
      <c r="AA127" s="52"/>
      <c r="AB127" s="51"/>
      <c r="AC127" s="51"/>
      <c r="AD127" s="51"/>
      <c r="AE127" s="51"/>
    </row>
    <row r="128" spans="1:31" s="123" customFormat="1" ht="11.25" customHeight="1">
      <c r="A128" s="529"/>
      <c r="B128" s="53"/>
      <c r="C128" s="53"/>
      <c r="K128" s="49"/>
      <c r="L128" s="53"/>
      <c r="M128" s="53"/>
      <c r="N128" s="49"/>
      <c r="O128" s="49"/>
      <c r="P128" s="49"/>
      <c r="Q128" s="49"/>
      <c r="R128" s="53"/>
      <c r="S128" s="49"/>
      <c r="T128" s="49"/>
      <c r="U128" s="530"/>
      <c r="V128" s="49"/>
      <c r="W128" s="49"/>
      <c r="X128" s="49"/>
      <c r="Y128" s="49"/>
      <c r="Z128" s="49"/>
      <c r="AA128" s="52"/>
      <c r="AB128" s="51"/>
      <c r="AC128" s="51"/>
      <c r="AD128" s="51"/>
      <c r="AE128" s="51"/>
    </row>
    <row r="129" spans="1:31" s="123" customFormat="1" ht="11.25" customHeight="1">
      <c r="A129" s="529"/>
      <c r="B129" s="53"/>
      <c r="C129" s="53"/>
      <c r="K129" s="49"/>
      <c r="L129" s="53"/>
      <c r="M129" s="53"/>
      <c r="N129" s="49"/>
      <c r="O129" s="49"/>
      <c r="P129" s="49"/>
      <c r="Q129" s="49"/>
      <c r="R129" s="53"/>
      <c r="S129" s="49"/>
      <c r="T129" s="49"/>
      <c r="U129" s="530"/>
      <c r="V129" s="49"/>
      <c r="W129" s="49"/>
      <c r="X129" s="49"/>
      <c r="Y129" s="49"/>
      <c r="Z129" s="49"/>
      <c r="AA129" s="52"/>
      <c r="AB129" s="51"/>
      <c r="AC129" s="51"/>
      <c r="AD129" s="51"/>
      <c r="AE129" s="51"/>
    </row>
    <row r="130" spans="1:31" s="123" customFormat="1" ht="11.25" customHeight="1">
      <c r="A130" s="529"/>
      <c r="B130" s="53"/>
      <c r="C130" s="53"/>
      <c r="K130" s="49"/>
      <c r="L130" s="53"/>
      <c r="M130" s="53"/>
      <c r="N130" s="49"/>
      <c r="O130" s="49"/>
      <c r="P130" s="49"/>
      <c r="Q130" s="49"/>
      <c r="R130" s="53"/>
      <c r="S130" s="49"/>
      <c r="T130" s="49"/>
      <c r="U130" s="530"/>
      <c r="V130" s="49"/>
      <c r="W130" s="49"/>
      <c r="X130" s="49"/>
      <c r="Y130" s="49"/>
      <c r="Z130" s="49"/>
      <c r="AA130" s="52"/>
      <c r="AB130" s="51"/>
      <c r="AC130" s="51"/>
      <c r="AD130" s="51"/>
      <c r="AE130" s="51"/>
    </row>
    <row r="131" spans="1:31" s="123" customFormat="1" ht="11.25" customHeight="1">
      <c r="A131" s="529"/>
      <c r="B131" s="53"/>
      <c r="C131" s="53"/>
      <c r="K131" s="49"/>
      <c r="L131" s="53"/>
      <c r="M131" s="53"/>
      <c r="N131" s="49"/>
      <c r="O131" s="49"/>
      <c r="P131" s="49"/>
      <c r="Q131" s="49"/>
      <c r="R131" s="53"/>
      <c r="S131" s="49"/>
      <c r="T131" s="49"/>
      <c r="U131" s="530"/>
      <c r="V131" s="49"/>
      <c r="W131" s="49"/>
      <c r="X131" s="49"/>
      <c r="Y131" s="49"/>
      <c r="Z131" s="49"/>
      <c r="AA131" s="52"/>
      <c r="AB131" s="51"/>
      <c r="AC131" s="51"/>
      <c r="AD131" s="51"/>
      <c r="AE131" s="51"/>
    </row>
    <row r="132" spans="1:31" s="123" customFormat="1" ht="11.25" customHeight="1">
      <c r="A132" s="529"/>
      <c r="B132" s="53"/>
      <c r="C132" s="53"/>
      <c r="K132" s="49"/>
      <c r="L132" s="53"/>
      <c r="M132" s="53"/>
      <c r="N132" s="49"/>
      <c r="O132" s="49"/>
      <c r="P132" s="49"/>
      <c r="Q132" s="49"/>
      <c r="R132" s="53"/>
      <c r="S132" s="49"/>
      <c r="T132" s="49"/>
      <c r="U132" s="530"/>
      <c r="V132" s="49"/>
      <c r="W132" s="49"/>
      <c r="X132" s="49"/>
      <c r="Y132" s="49"/>
      <c r="Z132" s="49"/>
      <c r="AA132" s="52"/>
      <c r="AB132" s="51"/>
      <c r="AC132" s="51"/>
      <c r="AD132" s="51"/>
      <c r="AE132" s="51"/>
    </row>
    <row r="133" spans="1:31" s="123" customFormat="1" ht="11.25" customHeight="1">
      <c r="A133" s="529"/>
      <c r="B133" s="53"/>
      <c r="C133" s="53"/>
      <c r="K133" s="49"/>
      <c r="L133" s="53"/>
      <c r="M133" s="53"/>
      <c r="N133" s="49"/>
      <c r="O133" s="49"/>
      <c r="P133" s="49"/>
      <c r="Q133" s="49"/>
      <c r="R133" s="53"/>
      <c r="S133" s="49"/>
      <c r="T133" s="49"/>
      <c r="U133" s="530"/>
      <c r="V133" s="49"/>
      <c r="W133" s="49"/>
      <c r="X133" s="49"/>
      <c r="Y133" s="49"/>
      <c r="Z133" s="49"/>
      <c r="AA133" s="52"/>
      <c r="AB133" s="51"/>
      <c r="AC133" s="51"/>
      <c r="AD133" s="51"/>
      <c r="AE133" s="51"/>
    </row>
    <row r="134" spans="1:31" s="123" customFormat="1" ht="11.25" customHeight="1">
      <c r="A134" s="529"/>
      <c r="B134" s="53"/>
      <c r="C134" s="53"/>
      <c r="K134" s="49"/>
      <c r="L134" s="53"/>
      <c r="M134" s="53"/>
      <c r="N134" s="49"/>
      <c r="O134" s="49"/>
      <c r="P134" s="49"/>
      <c r="Q134" s="49"/>
      <c r="R134" s="53"/>
      <c r="S134" s="49"/>
      <c r="T134" s="49"/>
      <c r="U134" s="530"/>
      <c r="V134" s="49"/>
      <c r="W134" s="49"/>
      <c r="X134" s="49"/>
      <c r="Y134" s="49"/>
      <c r="Z134" s="49"/>
      <c r="AA134" s="52"/>
      <c r="AB134" s="51"/>
      <c r="AC134" s="51"/>
      <c r="AD134" s="51"/>
      <c r="AE134" s="51"/>
    </row>
    <row r="135" spans="1:31" s="123" customFormat="1" ht="11.25" customHeight="1">
      <c r="A135" s="529"/>
      <c r="B135" s="53"/>
      <c r="C135" s="53"/>
      <c r="K135" s="49"/>
      <c r="L135" s="53"/>
      <c r="M135" s="53"/>
      <c r="N135" s="49"/>
      <c r="O135" s="49"/>
      <c r="P135" s="49"/>
      <c r="Q135" s="49"/>
      <c r="R135" s="53"/>
      <c r="S135" s="49"/>
      <c r="T135" s="49"/>
      <c r="U135" s="530"/>
      <c r="V135" s="49"/>
      <c r="W135" s="49"/>
      <c r="X135" s="49"/>
      <c r="Y135" s="49"/>
      <c r="Z135" s="49"/>
      <c r="AA135" s="52"/>
      <c r="AB135" s="51"/>
      <c r="AC135" s="51"/>
      <c r="AD135" s="51"/>
      <c r="AE135" s="51"/>
    </row>
    <row r="136" spans="1:31" s="123" customFormat="1" ht="11.25" customHeight="1">
      <c r="A136" s="529"/>
      <c r="B136" s="53"/>
      <c r="C136" s="53"/>
      <c r="K136" s="49"/>
      <c r="L136" s="53"/>
      <c r="M136" s="53"/>
      <c r="N136" s="49"/>
      <c r="O136" s="49"/>
      <c r="P136" s="49"/>
      <c r="Q136" s="49"/>
      <c r="R136" s="53"/>
      <c r="S136" s="49"/>
      <c r="T136" s="49"/>
      <c r="U136" s="530"/>
      <c r="V136" s="49"/>
      <c r="W136" s="49"/>
      <c r="X136" s="49"/>
      <c r="Y136" s="49"/>
      <c r="Z136" s="49"/>
      <c r="AA136" s="52"/>
      <c r="AB136" s="51"/>
      <c r="AC136" s="51"/>
      <c r="AD136" s="51"/>
      <c r="AE136" s="51"/>
    </row>
    <row r="137" spans="1:31" s="123" customFormat="1" ht="11.25" customHeight="1">
      <c r="A137" s="529"/>
      <c r="B137" s="53"/>
      <c r="C137" s="53"/>
      <c r="K137" s="49"/>
      <c r="L137" s="53"/>
      <c r="M137" s="53"/>
      <c r="N137" s="49"/>
      <c r="O137" s="49"/>
      <c r="P137" s="49"/>
      <c r="Q137" s="49"/>
      <c r="R137" s="53"/>
      <c r="S137" s="49"/>
      <c r="T137" s="49"/>
      <c r="U137" s="530"/>
      <c r="V137" s="49"/>
      <c r="W137" s="49"/>
      <c r="X137" s="49"/>
      <c r="Y137" s="49"/>
      <c r="Z137" s="49"/>
      <c r="AA137" s="52"/>
      <c r="AB137" s="51"/>
      <c r="AC137" s="51"/>
      <c r="AD137" s="51"/>
      <c r="AE137" s="51"/>
    </row>
    <row r="138" spans="1:31" s="123" customFormat="1" ht="11.25" customHeight="1">
      <c r="A138" s="529"/>
      <c r="B138" s="53"/>
      <c r="C138" s="53"/>
      <c r="K138" s="49"/>
      <c r="L138" s="53"/>
      <c r="M138" s="53"/>
      <c r="N138" s="49"/>
      <c r="O138" s="49"/>
      <c r="P138" s="49"/>
      <c r="Q138" s="49"/>
      <c r="R138" s="53"/>
      <c r="S138" s="49"/>
      <c r="T138" s="49"/>
      <c r="U138" s="530"/>
      <c r="V138" s="49"/>
      <c r="W138" s="49"/>
      <c r="X138" s="49"/>
      <c r="Y138" s="49"/>
      <c r="Z138" s="49"/>
      <c r="AA138" s="52"/>
      <c r="AB138" s="51"/>
      <c r="AC138" s="51"/>
      <c r="AD138" s="51"/>
      <c r="AE138" s="51"/>
    </row>
    <row r="139" spans="1:31" s="123" customFormat="1" ht="11.25" customHeight="1">
      <c r="A139" s="529"/>
      <c r="B139" s="53"/>
      <c r="C139" s="53"/>
      <c r="K139" s="49"/>
      <c r="L139" s="53"/>
      <c r="M139" s="53"/>
      <c r="N139" s="49"/>
      <c r="O139" s="49"/>
      <c r="P139" s="49"/>
      <c r="Q139" s="49"/>
      <c r="R139" s="53"/>
      <c r="S139" s="49"/>
      <c r="T139" s="49"/>
      <c r="U139" s="530"/>
      <c r="V139" s="49"/>
      <c r="W139" s="49"/>
      <c r="X139" s="49"/>
      <c r="Y139" s="49"/>
      <c r="Z139" s="49"/>
      <c r="AA139" s="52"/>
      <c r="AB139" s="51"/>
      <c r="AC139" s="51"/>
      <c r="AD139" s="51"/>
      <c r="AE139" s="51"/>
    </row>
    <row r="140" spans="1:31" s="123" customFormat="1" ht="11.25" customHeight="1">
      <c r="A140" s="529"/>
      <c r="B140" s="53"/>
      <c r="C140" s="53"/>
      <c r="K140" s="49"/>
      <c r="L140" s="53"/>
      <c r="M140" s="53"/>
      <c r="N140" s="49"/>
      <c r="O140" s="49"/>
      <c r="P140" s="49"/>
      <c r="Q140" s="49"/>
      <c r="R140" s="53"/>
      <c r="S140" s="49"/>
      <c r="T140" s="49"/>
      <c r="U140" s="530"/>
      <c r="V140" s="49"/>
      <c r="W140" s="49"/>
      <c r="X140" s="49"/>
      <c r="Y140" s="49"/>
      <c r="Z140" s="49"/>
      <c r="AA140" s="52"/>
      <c r="AB140" s="51"/>
      <c r="AC140" s="51"/>
      <c r="AD140" s="51"/>
      <c r="AE140" s="51"/>
    </row>
    <row r="141" spans="1:31" s="123" customFormat="1" ht="11.25" customHeight="1">
      <c r="A141" s="529"/>
      <c r="B141" s="53"/>
      <c r="C141" s="53"/>
      <c r="K141" s="49"/>
      <c r="L141" s="53"/>
      <c r="M141" s="53"/>
      <c r="N141" s="49"/>
      <c r="O141" s="49"/>
      <c r="P141" s="49"/>
      <c r="Q141" s="49"/>
      <c r="R141" s="53"/>
      <c r="S141" s="49"/>
      <c r="T141" s="49"/>
      <c r="U141" s="530"/>
      <c r="V141" s="49"/>
      <c r="W141" s="49"/>
      <c r="X141" s="49"/>
      <c r="Y141" s="49"/>
      <c r="Z141" s="49"/>
      <c r="AA141" s="52"/>
      <c r="AB141" s="51"/>
      <c r="AC141" s="51"/>
      <c r="AD141" s="51"/>
      <c r="AE141" s="51"/>
    </row>
    <row r="142" spans="1:31" s="123" customFormat="1" ht="11.25" customHeight="1">
      <c r="A142" s="529"/>
      <c r="B142" s="53"/>
      <c r="C142" s="53"/>
      <c r="K142" s="49"/>
      <c r="L142" s="53"/>
      <c r="M142" s="53"/>
      <c r="N142" s="49"/>
      <c r="O142" s="49"/>
      <c r="P142" s="49"/>
      <c r="Q142" s="49"/>
      <c r="R142" s="53"/>
      <c r="S142" s="49"/>
      <c r="T142" s="49"/>
      <c r="U142" s="530"/>
      <c r="V142" s="49"/>
      <c r="W142" s="49"/>
      <c r="X142" s="49"/>
      <c r="Y142" s="49"/>
      <c r="Z142" s="49"/>
      <c r="AA142" s="52"/>
      <c r="AB142" s="51"/>
      <c r="AC142" s="51"/>
      <c r="AD142" s="51"/>
      <c r="AE142" s="51"/>
    </row>
    <row r="143" spans="1:31" s="123" customFormat="1" ht="11.25" customHeight="1">
      <c r="A143" s="529"/>
      <c r="B143" s="53"/>
      <c r="C143" s="53"/>
      <c r="K143" s="49"/>
      <c r="L143" s="53"/>
      <c r="M143" s="53"/>
      <c r="N143" s="49"/>
      <c r="O143" s="49"/>
      <c r="P143" s="49"/>
      <c r="Q143" s="49"/>
      <c r="R143" s="53"/>
      <c r="S143" s="49"/>
      <c r="T143" s="49"/>
      <c r="U143" s="530"/>
      <c r="V143" s="49"/>
      <c r="W143" s="49"/>
      <c r="X143" s="49"/>
      <c r="Y143" s="49"/>
      <c r="Z143" s="49"/>
      <c r="AA143" s="52"/>
      <c r="AB143" s="51"/>
      <c r="AC143" s="51"/>
      <c r="AD143" s="51"/>
      <c r="AE143" s="51"/>
    </row>
    <row r="144" spans="1:31" s="123" customFormat="1" ht="11.25" customHeight="1">
      <c r="A144" s="529"/>
      <c r="B144" s="53"/>
      <c r="C144" s="53"/>
      <c r="K144" s="49"/>
      <c r="L144" s="53"/>
      <c r="M144" s="53"/>
      <c r="N144" s="49"/>
      <c r="O144" s="49"/>
      <c r="P144" s="49"/>
      <c r="Q144" s="49"/>
      <c r="R144" s="53"/>
      <c r="S144" s="49"/>
      <c r="T144" s="49"/>
      <c r="U144" s="530"/>
      <c r="V144" s="49"/>
      <c r="W144" s="49"/>
      <c r="X144" s="49"/>
      <c r="Y144" s="49"/>
      <c r="Z144" s="49"/>
      <c r="AA144" s="52"/>
      <c r="AB144" s="51"/>
      <c r="AC144" s="51"/>
      <c r="AD144" s="51"/>
      <c r="AE144" s="51"/>
    </row>
    <row r="145" spans="1:31" s="123" customFormat="1" ht="11.25" customHeight="1">
      <c r="A145" s="529"/>
      <c r="B145" s="53"/>
      <c r="C145" s="53"/>
      <c r="K145" s="49"/>
      <c r="L145" s="53"/>
      <c r="M145" s="53"/>
      <c r="N145" s="49"/>
      <c r="O145" s="49"/>
      <c r="P145" s="49"/>
      <c r="Q145" s="49"/>
      <c r="R145" s="53"/>
      <c r="S145" s="49"/>
      <c r="T145" s="49"/>
      <c r="U145" s="530"/>
      <c r="V145" s="49"/>
      <c r="W145" s="49"/>
      <c r="X145" s="49"/>
      <c r="Y145" s="49"/>
      <c r="Z145" s="49"/>
      <c r="AA145" s="52"/>
      <c r="AB145" s="51"/>
      <c r="AC145" s="51"/>
      <c r="AD145" s="51"/>
      <c r="AE145" s="51"/>
    </row>
    <row r="146" spans="1:31" s="123" customFormat="1" ht="11.25" customHeight="1">
      <c r="A146" s="529"/>
      <c r="B146" s="53"/>
      <c r="C146" s="53"/>
      <c r="K146" s="49"/>
      <c r="L146" s="53"/>
      <c r="M146" s="53"/>
      <c r="N146" s="49"/>
      <c r="O146" s="49"/>
      <c r="P146" s="49"/>
      <c r="Q146" s="49"/>
      <c r="R146" s="53"/>
      <c r="S146" s="49"/>
      <c r="T146" s="49"/>
      <c r="U146" s="530"/>
      <c r="V146" s="49"/>
      <c r="W146" s="49"/>
      <c r="X146" s="49"/>
      <c r="Y146" s="49"/>
      <c r="Z146" s="49"/>
      <c r="AA146" s="52"/>
      <c r="AB146" s="51"/>
      <c r="AC146" s="51"/>
      <c r="AD146" s="51"/>
      <c r="AE146" s="51"/>
    </row>
    <row r="147" spans="1:31" s="123" customFormat="1" ht="11.25" customHeight="1">
      <c r="A147" s="529"/>
      <c r="B147" s="53"/>
      <c r="C147" s="53"/>
      <c r="K147" s="49"/>
      <c r="L147" s="53"/>
      <c r="M147" s="53"/>
      <c r="N147" s="49"/>
      <c r="O147" s="49"/>
      <c r="P147" s="49"/>
      <c r="Q147" s="49"/>
      <c r="R147" s="53"/>
      <c r="S147" s="49"/>
      <c r="T147" s="49"/>
      <c r="U147" s="530"/>
      <c r="V147" s="49"/>
      <c r="W147" s="49"/>
      <c r="X147" s="49"/>
      <c r="Y147" s="49"/>
      <c r="Z147" s="49"/>
      <c r="AA147" s="52"/>
      <c r="AB147" s="51"/>
      <c r="AC147" s="51"/>
      <c r="AD147" s="51"/>
      <c r="AE147" s="51"/>
    </row>
    <row r="148" spans="1:31" s="123" customFormat="1" ht="11.25" customHeight="1">
      <c r="A148" s="529"/>
      <c r="B148" s="53"/>
      <c r="C148" s="53"/>
      <c r="K148" s="49"/>
      <c r="L148" s="53"/>
      <c r="M148" s="53"/>
      <c r="N148" s="49"/>
      <c r="O148" s="49"/>
      <c r="P148" s="49"/>
      <c r="Q148" s="49"/>
      <c r="R148" s="53"/>
      <c r="S148" s="49"/>
      <c r="T148" s="49"/>
      <c r="U148" s="530"/>
      <c r="V148" s="49"/>
      <c r="W148" s="49"/>
      <c r="X148" s="49"/>
      <c r="Y148" s="49"/>
      <c r="Z148" s="49"/>
      <c r="AA148" s="52"/>
      <c r="AB148" s="51"/>
      <c r="AC148" s="51"/>
      <c r="AD148" s="51"/>
      <c r="AE148" s="51"/>
    </row>
    <row r="149" spans="1:31" s="123" customFormat="1" ht="11.25" customHeight="1">
      <c r="A149" s="529"/>
      <c r="B149" s="53"/>
      <c r="C149" s="53"/>
      <c r="K149" s="49"/>
      <c r="L149" s="53"/>
      <c r="M149" s="53"/>
      <c r="N149" s="49"/>
      <c r="O149" s="49"/>
      <c r="P149" s="49"/>
      <c r="Q149" s="49"/>
      <c r="R149" s="53"/>
      <c r="S149" s="49"/>
      <c r="T149" s="49"/>
      <c r="U149" s="530"/>
      <c r="V149" s="49"/>
      <c r="W149" s="49"/>
      <c r="X149" s="49"/>
      <c r="Y149" s="49"/>
      <c r="Z149" s="49"/>
      <c r="AA149" s="52"/>
      <c r="AB149" s="51"/>
      <c r="AC149" s="51"/>
      <c r="AD149" s="51"/>
      <c r="AE149" s="51"/>
    </row>
    <row r="150" spans="1:31" s="123" customFormat="1" ht="11.25" customHeight="1">
      <c r="A150" s="529"/>
      <c r="B150" s="53"/>
      <c r="C150" s="53"/>
      <c r="K150" s="49"/>
      <c r="L150" s="53"/>
      <c r="M150" s="53"/>
      <c r="N150" s="49"/>
      <c r="O150" s="49"/>
      <c r="P150" s="49"/>
      <c r="Q150" s="49"/>
      <c r="R150" s="53"/>
      <c r="S150" s="49"/>
      <c r="T150" s="49"/>
      <c r="U150" s="530"/>
      <c r="V150" s="49"/>
      <c r="W150" s="49"/>
      <c r="X150" s="49"/>
      <c r="Y150" s="49"/>
      <c r="Z150" s="49"/>
      <c r="AA150" s="52"/>
      <c r="AB150" s="51"/>
      <c r="AC150" s="51"/>
      <c r="AD150" s="51"/>
      <c r="AE150" s="51"/>
    </row>
    <row r="151" spans="1:31" s="123" customFormat="1" ht="11.25" customHeight="1">
      <c r="A151" s="529"/>
      <c r="B151" s="53"/>
      <c r="C151" s="53"/>
      <c r="K151" s="49"/>
      <c r="L151" s="53"/>
      <c r="M151" s="53"/>
      <c r="N151" s="49"/>
      <c r="O151" s="49"/>
      <c r="P151" s="49"/>
      <c r="Q151" s="49"/>
      <c r="R151" s="53"/>
      <c r="S151" s="49"/>
      <c r="T151" s="49"/>
      <c r="U151" s="530"/>
      <c r="V151" s="49"/>
      <c r="W151" s="49"/>
      <c r="X151" s="49"/>
      <c r="Y151" s="49"/>
      <c r="Z151" s="49"/>
      <c r="AA151" s="52"/>
      <c r="AB151" s="51"/>
      <c r="AC151" s="51"/>
      <c r="AD151" s="51"/>
      <c r="AE151" s="51"/>
    </row>
    <row r="152" spans="1:31" s="123" customFormat="1" ht="11.25" customHeight="1">
      <c r="A152" s="529"/>
      <c r="B152" s="53"/>
      <c r="C152" s="53"/>
      <c r="K152" s="49"/>
      <c r="L152" s="53"/>
      <c r="M152" s="53"/>
      <c r="N152" s="49"/>
      <c r="O152" s="49"/>
      <c r="P152" s="49"/>
      <c r="Q152" s="49"/>
      <c r="R152" s="53"/>
      <c r="S152" s="49"/>
      <c r="T152" s="49"/>
      <c r="U152" s="530"/>
      <c r="V152" s="49"/>
      <c r="W152" s="49"/>
      <c r="X152" s="49"/>
      <c r="Y152" s="49"/>
      <c r="Z152" s="49"/>
      <c r="AA152" s="52"/>
      <c r="AB152" s="51"/>
      <c r="AC152" s="51"/>
      <c r="AD152" s="51"/>
      <c r="AE152" s="51"/>
    </row>
    <row r="153" spans="1:31" s="123" customFormat="1" ht="11.25" customHeight="1">
      <c r="A153" s="529"/>
      <c r="B153" s="53"/>
      <c r="C153" s="53"/>
      <c r="K153" s="49"/>
      <c r="L153" s="53"/>
      <c r="M153" s="53"/>
      <c r="N153" s="49"/>
      <c r="O153" s="49"/>
      <c r="P153" s="49"/>
      <c r="Q153" s="49"/>
      <c r="R153" s="53"/>
      <c r="S153" s="49"/>
      <c r="T153" s="49"/>
      <c r="U153" s="530"/>
      <c r="V153" s="49"/>
      <c r="W153" s="49"/>
      <c r="X153" s="49"/>
      <c r="Y153" s="49"/>
      <c r="Z153" s="49"/>
      <c r="AA153" s="52"/>
      <c r="AB153" s="51"/>
      <c r="AC153" s="51"/>
      <c r="AD153" s="51"/>
      <c r="AE153" s="51"/>
    </row>
    <row r="154" spans="1:31" s="123" customFormat="1" ht="11.25" customHeight="1">
      <c r="A154" s="529"/>
      <c r="B154" s="53"/>
      <c r="C154" s="53"/>
      <c r="K154" s="49"/>
      <c r="L154" s="53"/>
      <c r="M154" s="53"/>
      <c r="N154" s="49"/>
      <c r="O154" s="49"/>
      <c r="P154" s="49"/>
      <c r="Q154" s="49"/>
      <c r="R154" s="53"/>
      <c r="S154" s="49"/>
      <c r="T154" s="49"/>
      <c r="U154" s="530"/>
      <c r="V154" s="49"/>
      <c r="W154" s="49"/>
      <c r="X154" s="49"/>
      <c r="Y154" s="49"/>
      <c r="Z154" s="49"/>
      <c r="AA154" s="52"/>
      <c r="AB154" s="51"/>
      <c r="AC154" s="51"/>
      <c r="AD154" s="51"/>
      <c r="AE154" s="51"/>
    </row>
    <row r="155" spans="1:31" s="123" customFormat="1" ht="11.25" customHeight="1">
      <c r="A155" s="529"/>
      <c r="B155" s="53"/>
      <c r="C155" s="53"/>
      <c r="K155" s="49"/>
      <c r="L155" s="53"/>
      <c r="M155" s="53"/>
      <c r="N155" s="49"/>
      <c r="O155" s="49"/>
      <c r="P155" s="49"/>
      <c r="Q155" s="49"/>
      <c r="R155" s="53"/>
      <c r="S155" s="49"/>
      <c r="T155" s="49"/>
      <c r="U155" s="530"/>
      <c r="V155" s="49"/>
      <c r="W155" s="49"/>
      <c r="X155" s="49"/>
      <c r="Y155" s="49"/>
      <c r="Z155" s="49"/>
      <c r="AA155" s="52"/>
      <c r="AB155" s="51"/>
      <c r="AC155" s="51"/>
      <c r="AD155" s="51"/>
      <c r="AE155" s="51"/>
    </row>
    <row r="156" spans="1:31" s="123" customFormat="1" ht="11.25" customHeight="1">
      <c r="A156" s="529"/>
      <c r="B156" s="53"/>
      <c r="C156" s="53"/>
      <c r="K156" s="49"/>
      <c r="L156" s="53"/>
      <c r="M156" s="53"/>
      <c r="N156" s="49"/>
      <c r="O156" s="49"/>
      <c r="P156" s="49"/>
      <c r="Q156" s="49"/>
      <c r="R156" s="53"/>
      <c r="S156" s="49"/>
      <c r="T156" s="49"/>
      <c r="U156" s="530"/>
      <c r="V156" s="49"/>
      <c r="W156" s="49"/>
      <c r="X156" s="49"/>
      <c r="Y156" s="49"/>
      <c r="Z156" s="49"/>
      <c r="AA156" s="52"/>
      <c r="AB156" s="51"/>
      <c r="AC156" s="51"/>
      <c r="AD156" s="51"/>
      <c r="AE156" s="51"/>
    </row>
    <row r="157" spans="1:31" s="123" customFormat="1" ht="11.25" customHeight="1">
      <c r="A157" s="529"/>
      <c r="B157" s="53"/>
      <c r="C157" s="53"/>
      <c r="K157" s="49"/>
      <c r="L157" s="53"/>
      <c r="M157" s="53"/>
      <c r="N157" s="49"/>
      <c r="O157" s="49"/>
      <c r="P157" s="49"/>
      <c r="Q157" s="49"/>
      <c r="R157" s="53"/>
      <c r="S157" s="49"/>
      <c r="T157" s="49"/>
      <c r="U157" s="530"/>
      <c r="V157" s="49"/>
      <c r="W157" s="49"/>
      <c r="X157" s="49"/>
      <c r="Y157" s="49"/>
      <c r="Z157" s="49"/>
      <c r="AA157" s="52"/>
      <c r="AB157" s="51"/>
      <c r="AC157" s="51"/>
      <c r="AD157" s="51"/>
      <c r="AE157" s="51"/>
    </row>
    <row r="158" spans="1:31" s="123" customFormat="1" ht="11.25" customHeight="1">
      <c r="A158" s="529"/>
      <c r="B158" s="53"/>
      <c r="C158" s="53"/>
      <c r="K158" s="49"/>
      <c r="L158" s="53"/>
      <c r="M158" s="53"/>
      <c r="N158" s="49"/>
      <c r="O158" s="49"/>
      <c r="P158" s="49"/>
      <c r="Q158" s="49"/>
      <c r="R158" s="53"/>
      <c r="S158" s="49"/>
      <c r="T158" s="49"/>
      <c r="U158" s="530"/>
      <c r="V158" s="49"/>
      <c r="W158" s="49"/>
      <c r="X158" s="49"/>
      <c r="Y158" s="49"/>
      <c r="Z158" s="49"/>
      <c r="AA158" s="52"/>
      <c r="AB158" s="51"/>
      <c r="AC158" s="51"/>
      <c r="AD158" s="51"/>
      <c r="AE158" s="51"/>
    </row>
    <row r="159" spans="1:31" s="123" customFormat="1" ht="11.25" customHeight="1">
      <c r="A159" s="529"/>
      <c r="B159" s="53"/>
      <c r="C159" s="53"/>
      <c r="K159" s="49"/>
      <c r="L159" s="53"/>
      <c r="M159" s="53"/>
      <c r="N159" s="49"/>
      <c r="O159" s="49"/>
      <c r="P159" s="49"/>
      <c r="Q159" s="49"/>
      <c r="R159" s="53"/>
      <c r="S159" s="49"/>
      <c r="T159" s="49"/>
      <c r="U159" s="530"/>
      <c r="V159" s="49"/>
      <c r="W159" s="49"/>
      <c r="X159" s="49"/>
      <c r="Y159" s="49"/>
      <c r="Z159" s="49"/>
      <c r="AA159" s="52"/>
      <c r="AB159" s="51"/>
      <c r="AC159" s="51"/>
      <c r="AD159" s="51"/>
      <c r="AE159" s="51"/>
    </row>
    <row r="160" spans="1:31" s="123" customFormat="1" ht="11.25" customHeight="1">
      <c r="A160" s="529"/>
      <c r="B160" s="53"/>
      <c r="C160" s="53"/>
      <c r="K160" s="49"/>
      <c r="L160" s="53"/>
      <c r="M160" s="53"/>
      <c r="N160" s="49"/>
      <c r="O160" s="49"/>
      <c r="P160" s="49"/>
      <c r="Q160" s="49"/>
      <c r="R160" s="53"/>
      <c r="S160" s="49"/>
      <c r="T160" s="49"/>
      <c r="U160" s="530"/>
      <c r="V160" s="49"/>
      <c r="W160" s="49"/>
      <c r="X160" s="49"/>
      <c r="Y160" s="49"/>
      <c r="Z160" s="49"/>
      <c r="AA160" s="52"/>
      <c r="AB160" s="51"/>
      <c r="AC160" s="51"/>
      <c r="AD160" s="51"/>
      <c r="AE160" s="51"/>
    </row>
    <row r="161" spans="1:31" s="123" customFormat="1" ht="11.25" customHeight="1">
      <c r="A161" s="529"/>
      <c r="B161" s="53"/>
      <c r="C161" s="53"/>
      <c r="K161" s="49"/>
      <c r="L161" s="53"/>
      <c r="M161" s="53"/>
      <c r="N161" s="49"/>
      <c r="O161" s="49"/>
      <c r="P161" s="49"/>
      <c r="Q161" s="49"/>
      <c r="R161" s="53"/>
      <c r="S161" s="49"/>
      <c r="T161" s="49"/>
      <c r="U161" s="530"/>
      <c r="V161" s="49"/>
      <c r="W161" s="49"/>
      <c r="X161" s="49"/>
      <c r="Y161" s="49"/>
      <c r="Z161" s="49"/>
      <c r="AA161" s="52"/>
      <c r="AB161" s="51"/>
      <c r="AC161" s="51"/>
      <c r="AD161" s="51"/>
      <c r="AE161" s="51"/>
    </row>
    <row r="162" spans="1:31" s="123" customFormat="1" ht="11.25" customHeight="1">
      <c r="A162" s="529"/>
      <c r="B162" s="53"/>
      <c r="C162" s="53"/>
      <c r="K162" s="49"/>
      <c r="L162" s="53"/>
      <c r="M162" s="53"/>
      <c r="N162" s="49"/>
      <c r="O162" s="49"/>
      <c r="P162" s="49"/>
      <c r="Q162" s="49"/>
      <c r="R162" s="53"/>
      <c r="S162" s="49"/>
      <c r="T162" s="49"/>
      <c r="U162" s="530"/>
      <c r="V162" s="49"/>
      <c r="W162" s="49"/>
      <c r="X162" s="49"/>
      <c r="Y162" s="49"/>
      <c r="Z162" s="49"/>
      <c r="AA162" s="52"/>
      <c r="AB162" s="51"/>
      <c r="AC162" s="51"/>
      <c r="AD162" s="51"/>
      <c r="AE162" s="51"/>
    </row>
    <row r="163" spans="1:31" s="123" customFormat="1" ht="11.25" customHeight="1">
      <c r="A163" s="529"/>
      <c r="B163" s="53"/>
      <c r="C163" s="53"/>
      <c r="K163" s="49"/>
      <c r="L163" s="53"/>
      <c r="M163" s="53"/>
      <c r="N163" s="49"/>
      <c r="O163" s="49"/>
      <c r="P163" s="49"/>
      <c r="Q163" s="49"/>
      <c r="R163" s="53"/>
      <c r="S163" s="49"/>
      <c r="T163" s="49"/>
      <c r="U163" s="530"/>
      <c r="V163" s="49"/>
      <c r="W163" s="49"/>
      <c r="X163" s="49"/>
      <c r="Y163" s="49"/>
      <c r="Z163" s="49"/>
      <c r="AA163" s="52"/>
      <c r="AB163" s="51"/>
      <c r="AC163" s="51"/>
      <c r="AD163" s="51"/>
      <c r="AE163" s="51"/>
    </row>
    <row r="164" spans="1:31" s="123" customFormat="1" ht="11.25" customHeight="1">
      <c r="A164" s="529"/>
      <c r="B164" s="53"/>
      <c r="C164" s="53"/>
      <c r="K164" s="49"/>
      <c r="L164" s="53"/>
      <c r="M164" s="53"/>
      <c r="N164" s="49"/>
      <c r="O164" s="49"/>
      <c r="P164" s="49"/>
      <c r="Q164" s="49"/>
      <c r="R164" s="53"/>
      <c r="S164" s="49"/>
      <c r="T164" s="49"/>
      <c r="U164" s="530"/>
      <c r="V164" s="49"/>
      <c r="W164" s="49"/>
      <c r="X164" s="49"/>
      <c r="Y164" s="49"/>
      <c r="Z164" s="49"/>
      <c r="AA164" s="52"/>
      <c r="AB164" s="51"/>
      <c r="AC164" s="51"/>
      <c r="AD164" s="51"/>
      <c r="AE164" s="51"/>
    </row>
    <row r="165" spans="1:31" s="123" customFormat="1" ht="11.25" customHeight="1">
      <c r="A165" s="529"/>
      <c r="B165" s="53"/>
      <c r="C165" s="53"/>
      <c r="K165" s="49"/>
      <c r="L165" s="53"/>
      <c r="M165" s="53"/>
      <c r="N165" s="49"/>
      <c r="O165" s="49"/>
      <c r="P165" s="49"/>
      <c r="Q165" s="49"/>
      <c r="R165" s="53"/>
      <c r="S165" s="49"/>
      <c r="T165" s="49"/>
      <c r="U165" s="530"/>
      <c r="V165" s="49"/>
      <c r="W165" s="49"/>
      <c r="X165" s="49"/>
      <c r="Y165" s="49"/>
      <c r="Z165" s="49"/>
      <c r="AA165" s="52"/>
      <c r="AB165" s="51"/>
      <c r="AC165" s="51"/>
      <c r="AD165" s="51"/>
      <c r="AE165" s="51"/>
    </row>
    <row r="166" spans="1:31" s="123" customFormat="1" ht="11.25" customHeight="1">
      <c r="A166" s="529"/>
      <c r="B166" s="53"/>
      <c r="C166" s="53"/>
      <c r="K166" s="49"/>
      <c r="L166" s="53"/>
      <c r="M166" s="53"/>
      <c r="N166" s="49"/>
      <c r="O166" s="49"/>
      <c r="P166" s="49"/>
      <c r="Q166" s="49"/>
      <c r="R166" s="53"/>
      <c r="S166" s="49"/>
      <c r="T166" s="49"/>
      <c r="U166" s="530"/>
      <c r="V166" s="49"/>
      <c r="W166" s="49"/>
      <c r="X166" s="49"/>
      <c r="Y166" s="49"/>
      <c r="Z166" s="49"/>
      <c r="AA166" s="52"/>
      <c r="AB166" s="51"/>
      <c r="AC166" s="51"/>
      <c r="AD166" s="51"/>
      <c r="AE166" s="51"/>
    </row>
    <row r="167" spans="1:31" s="123" customFormat="1" ht="11.25" customHeight="1">
      <c r="A167" s="529"/>
      <c r="B167" s="53"/>
      <c r="C167" s="53"/>
      <c r="K167" s="49"/>
      <c r="L167" s="53"/>
      <c r="M167" s="53"/>
      <c r="N167" s="49"/>
      <c r="O167" s="49"/>
      <c r="P167" s="49"/>
      <c r="Q167" s="49"/>
      <c r="R167" s="53"/>
      <c r="S167" s="49"/>
      <c r="T167" s="49"/>
      <c r="U167" s="530"/>
      <c r="V167" s="49"/>
      <c r="W167" s="49"/>
      <c r="X167" s="49"/>
      <c r="Y167" s="49"/>
      <c r="Z167" s="49"/>
      <c r="AA167" s="52"/>
      <c r="AB167" s="51"/>
      <c r="AC167" s="51"/>
      <c r="AD167" s="51"/>
      <c r="AE167" s="51"/>
    </row>
    <row r="168" spans="1:31" s="123" customFormat="1" ht="11.25" customHeight="1">
      <c r="A168" s="529"/>
      <c r="B168" s="53"/>
      <c r="C168" s="53"/>
      <c r="K168" s="49"/>
      <c r="L168" s="53"/>
      <c r="M168" s="53"/>
      <c r="N168" s="49"/>
      <c r="O168" s="49"/>
      <c r="P168" s="49"/>
      <c r="Q168" s="49"/>
      <c r="R168" s="53"/>
      <c r="S168" s="49"/>
      <c r="T168" s="49"/>
      <c r="U168" s="530"/>
      <c r="V168" s="49"/>
      <c r="W168" s="49"/>
      <c r="X168" s="49"/>
      <c r="Y168" s="49"/>
      <c r="Z168" s="49"/>
      <c r="AA168" s="52"/>
      <c r="AB168" s="51"/>
      <c r="AC168" s="51"/>
      <c r="AD168" s="51"/>
      <c r="AE168" s="51"/>
    </row>
    <row r="169" spans="1:31" s="123" customFormat="1" ht="11.25" customHeight="1">
      <c r="A169" s="529"/>
      <c r="B169" s="53"/>
      <c r="C169" s="53"/>
      <c r="K169" s="49"/>
      <c r="L169" s="53"/>
      <c r="M169" s="53"/>
      <c r="N169" s="49"/>
      <c r="O169" s="49"/>
      <c r="P169" s="49"/>
      <c r="Q169" s="49"/>
      <c r="R169" s="53"/>
      <c r="S169" s="49"/>
      <c r="T169" s="49"/>
      <c r="U169" s="530"/>
      <c r="V169" s="49"/>
      <c r="W169" s="49"/>
      <c r="X169" s="49"/>
      <c r="Y169" s="49"/>
      <c r="Z169" s="49"/>
      <c r="AA169" s="52"/>
      <c r="AB169" s="51"/>
      <c r="AC169" s="51"/>
      <c r="AD169" s="51"/>
      <c r="AE169" s="51"/>
    </row>
    <row r="170" spans="1:31" s="123" customFormat="1" ht="11.25" customHeight="1">
      <c r="A170" s="529"/>
      <c r="B170" s="53"/>
      <c r="C170" s="53"/>
      <c r="K170" s="49"/>
      <c r="L170" s="53"/>
      <c r="M170" s="53"/>
      <c r="N170" s="49"/>
      <c r="O170" s="49"/>
      <c r="P170" s="49"/>
      <c r="Q170" s="49"/>
      <c r="R170" s="53"/>
      <c r="S170" s="49"/>
      <c r="T170" s="49"/>
      <c r="U170" s="530"/>
      <c r="V170" s="49"/>
      <c r="W170" s="49"/>
      <c r="X170" s="49"/>
      <c r="Y170" s="49"/>
      <c r="Z170" s="49"/>
      <c r="AA170" s="52"/>
      <c r="AB170" s="51"/>
      <c r="AC170" s="51"/>
      <c r="AD170" s="51"/>
      <c r="AE170" s="51"/>
    </row>
    <row r="171" spans="1:31" s="123" customFormat="1" ht="11.25" customHeight="1">
      <c r="A171" s="529"/>
      <c r="B171" s="53"/>
      <c r="C171" s="53"/>
      <c r="K171" s="49"/>
      <c r="L171" s="53"/>
      <c r="M171" s="53"/>
      <c r="N171" s="49"/>
      <c r="O171" s="49"/>
      <c r="P171" s="49"/>
      <c r="Q171" s="49"/>
      <c r="R171" s="53"/>
      <c r="S171" s="49"/>
      <c r="T171" s="49"/>
      <c r="U171" s="530"/>
      <c r="V171" s="49"/>
      <c r="W171" s="49"/>
      <c r="X171" s="49"/>
      <c r="Y171" s="49"/>
      <c r="Z171" s="49"/>
      <c r="AA171" s="52"/>
      <c r="AB171" s="51"/>
      <c r="AC171" s="51"/>
      <c r="AD171" s="51"/>
      <c r="AE171" s="51"/>
    </row>
    <row r="172" spans="1:31" s="123" customFormat="1" ht="11.25" customHeight="1">
      <c r="A172" s="529"/>
      <c r="B172" s="53"/>
      <c r="C172" s="53"/>
      <c r="K172" s="49"/>
      <c r="L172" s="53"/>
      <c r="M172" s="53"/>
      <c r="N172" s="49"/>
      <c r="O172" s="49"/>
      <c r="P172" s="49"/>
      <c r="Q172" s="49"/>
      <c r="R172" s="53"/>
      <c r="S172" s="49"/>
      <c r="T172" s="49"/>
      <c r="U172" s="530"/>
      <c r="V172" s="49"/>
      <c r="W172" s="49"/>
      <c r="X172" s="49"/>
      <c r="Y172" s="49"/>
      <c r="Z172" s="49"/>
      <c r="AA172" s="52"/>
      <c r="AB172" s="51"/>
      <c r="AC172" s="51"/>
      <c r="AD172" s="51"/>
      <c r="AE172" s="51"/>
    </row>
    <row r="173" spans="1:31" s="123" customFormat="1" ht="11.25" customHeight="1">
      <c r="A173" s="529"/>
      <c r="B173" s="53"/>
      <c r="C173" s="53"/>
      <c r="K173" s="49"/>
      <c r="L173" s="53"/>
      <c r="M173" s="53"/>
      <c r="N173" s="49"/>
      <c r="O173" s="49"/>
      <c r="P173" s="49"/>
      <c r="Q173" s="49"/>
      <c r="R173" s="53"/>
      <c r="S173" s="49"/>
      <c r="T173" s="49"/>
      <c r="U173" s="530"/>
      <c r="V173" s="49"/>
      <c r="W173" s="49"/>
      <c r="X173" s="49"/>
      <c r="Y173" s="49"/>
      <c r="Z173" s="49"/>
      <c r="AA173" s="52"/>
      <c r="AB173" s="51"/>
      <c r="AC173" s="51"/>
      <c r="AD173" s="51"/>
      <c r="AE173" s="51"/>
    </row>
    <row r="174" spans="1:31" s="123" customFormat="1" ht="11.25" customHeight="1">
      <c r="A174" s="529"/>
      <c r="B174" s="53"/>
      <c r="C174" s="53"/>
      <c r="K174" s="49"/>
      <c r="L174" s="53"/>
      <c r="M174" s="53"/>
      <c r="N174" s="49"/>
      <c r="O174" s="49"/>
      <c r="P174" s="49"/>
      <c r="Q174" s="49"/>
      <c r="R174" s="53"/>
      <c r="S174" s="49"/>
      <c r="T174" s="49"/>
      <c r="U174" s="530"/>
      <c r="V174" s="49"/>
      <c r="W174" s="49"/>
      <c r="X174" s="49"/>
      <c r="Y174" s="49"/>
      <c r="Z174" s="49"/>
      <c r="AA174" s="52"/>
      <c r="AB174" s="51"/>
      <c r="AC174" s="51"/>
      <c r="AD174" s="51"/>
      <c r="AE174" s="51"/>
    </row>
    <row r="175" spans="1:31" s="123" customFormat="1" ht="11.25" customHeight="1">
      <c r="A175" s="529"/>
      <c r="B175" s="53"/>
      <c r="C175" s="53"/>
      <c r="K175" s="49"/>
      <c r="L175" s="53"/>
      <c r="M175" s="53"/>
      <c r="N175" s="49"/>
      <c r="O175" s="49"/>
      <c r="P175" s="49"/>
      <c r="Q175" s="49"/>
      <c r="R175" s="53"/>
      <c r="S175" s="49"/>
      <c r="T175" s="49"/>
      <c r="U175" s="530"/>
      <c r="V175" s="49"/>
      <c r="W175" s="49"/>
      <c r="X175" s="49"/>
      <c r="Y175" s="49"/>
      <c r="Z175" s="49"/>
      <c r="AA175" s="52"/>
      <c r="AB175" s="51"/>
      <c r="AC175" s="51"/>
      <c r="AD175" s="51"/>
      <c r="AE175" s="51"/>
    </row>
    <row r="176" spans="1:31" s="123" customFormat="1" ht="11.25" customHeight="1">
      <c r="A176" s="529"/>
      <c r="B176" s="53"/>
      <c r="C176" s="53"/>
      <c r="K176" s="49"/>
      <c r="L176" s="53"/>
      <c r="M176" s="53"/>
      <c r="N176" s="49"/>
      <c r="O176" s="49"/>
      <c r="P176" s="49"/>
      <c r="Q176" s="49"/>
      <c r="R176" s="53"/>
      <c r="S176" s="49"/>
      <c r="T176" s="49"/>
      <c r="U176" s="530"/>
      <c r="V176" s="49"/>
      <c r="W176" s="49"/>
      <c r="X176" s="49"/>
      <c r="Y176" s="49"/>
      <c r="Z176" s="49"/>
      <c r="AA176" s="52"/>
      <c r="AB176" s="51"/>
      <c r="AC176" s="51"/>
      <c r="AD176" s="51"/>
      <c r="AE176" s="51"/>
    </row>
    <row r="177" spans="1:31" s="123" customFormat="1" ht="11.25" customHeight="1">
      <c r="A177" s="529"/>
      <c r="B177" s="53"/>
      <c r="C177" s="53"/>
      <c r="K177" s="49"/>
      <c r="L177" s="53"/>
      <c r="M177" s="53"/>
      <c r="N177" s="49"/>
      <c r="O177" s="49"/>
      <c r="P177" s="49"/>
      <c r="Q177" s="49"/>
      <c r="R177" s="53"/>
      <c r="S177" s="49"/>
      <c r="T177" s="49"/>
      <c r="U177" s="530"/>
      <c r="V177" s="49"/>
      <c r="W177" s="49"/>
      <c r="X177" s="49"/>
      <c r="Y177" s="49"/>
      <c r="Z177" s="49"/>
      <c r="AA177" s="52"/>
      <c r="AB177" s="51"/>
      <c r="AC177" s="51"/>
      <c r="AD177" s="51"/>
      <c r="AE177" s="51"/>
    </row>
    <row r="178" spans="1:31" s="123" customFormat="1" ht="11.25" customHeight="1">
      <c r="A178" s="529"/>
      <c r="B178" s="53"/>
      <c r="C178" s="53"/>
      <c r="K178" s="49"/>
      <c r="L178" s="53"/>
      <c r="M178" s="53"/>
      <c r="N178" s="49"/>
      <c r="O178" s="49"/>
      <c r="P178" s="49"/>
      <c r="Q178" s="49"/>
      <c r="R178" s="53"/>
      <c r="S178" s="49"/>
      <c r="T178" s="49"/>
      <c r="U178" s="530"/>
      <c r="V178" s="49"/>
      <c r="W178" s="49"/>
      <c r="X178" s="49"/>
      <c r="Y178" s="49"/>
      <c r="Z178" s="49"/>
      <c r="AA178" s="52"/>
      <c r="AB178" s="51"/>
      <c r="AC178" s="51"/>
      <c r="AD178" s="51"/>
      <c r="AE178" s="51"/>
    </row>
    <row r="179" spans="1:31" s="123" customFormat="1" ht="11.25" customHeight="1">
      <c r="A179" s="529"/>
      <c r="B179" s="53"/>
      <c r="C179" s="53"/>
      <c r="K179" s="49"/>
      <c r="L179" s="53"/>
      <c r="M179" s="53"/>
      <c r="N179" s="49"/>
      <c r="O179" s="49"/>
      <c r="P179" s="49"/>
      <c r="Q179" s="49"/>
      <c r="R179" s="53"/>
      <c r="S179" s="49"/>
      <c r="T179" s="49"/>
      <c r="U179" s="530"/>
      <c r="V179" s="49"/>
      <c r="W179" s="49"/>
      <c r="X179" s="49"/>
      <c r="Y179" s="49"/>
      <c r="Z179" s="49"/>
      <c r="AA179" s="52"/>
      <c r="AB179" s="51"/>
      <c r="AC179" s="51"/>
      <c r="AD179" s="51"/>
      <c r="AE179" s="51"/>
    </row>
    <row r="180" spans="1:31" s="123" customFormat="1" ht="11.25" customHeight="1">
      <c r="A180" s="529"/>
      <c r="B180" s="53"/>
      <c r="C180" s="53"/>
      <c r="K180" s="49"/>
      <c r="L180" s="53"/>
      <c r="M180" s="53"/>
      <c r="N180" s="49"/>
      <c r="O180" s="49"/>
      <c r="P180" s="49"/>
      <c r="Q180" s="49"/>
      <c r="R180" s="53"/>
      <c r="S180" s="49"/>
      <c r="T180" s="49"/>
      <c r="U180" s="530"/>
      <c r="V180" s="49"/>
      <c r="W180" s="49"/>
      <c r="X180" s="49"/>
      <c r="Y180" s="49"/>
      <c r="Z180" s="49"/>
      <c r="AA180" s="52"/>
      <c r="AB180" s="51"/>
      <c r="AC180" s="51"/>
      <c r="AD180" s="51"/>
      <c r="AE180" s="51"/>
    </row>
    <row r="181" spans="1:31" s="123" customFormat="1" ht="11.25" customHeight="1">
      <c r="A181" s="529"/>
      <c r="B181" s="53"/>
      <c r="C181" s="53"/>
      <c r="K181" s="49"/>
      <c r="L181" s="53"/>
      <c r="M181" s="53"/>
      <c r="N181" s="49"/>
      <c r="O181" s="49"/>
      <c r="P181" s="49"/>
      <c r="Q181" s="49"/>
      <c r="R181" s="53"/>
      <c r="S181" s="49"/>
      <c r="T181" s="49"/>
      <c r="U181" s="530"/>
      <c r="V181" s="49"/>
      <c r="W181" s="49"/>
      <c r="X181" s="49"/>
      <c r="Y181" s="49"/>
      <c r="Z181" s="49"/>
      <c r="AA181" s="52"/>
      <c r="AB181" s="51"/>
      <c r="AC181" s="51"/>
      <c r="AD181" s="51"/>
      <c r="AE181" s="51"/>
    </row>
    <row r="182" spans="1:31" s="123" customFormat="1" ht="11.25" customHeight="1">
      <c r="A182" s="529"/>
      <c r="B182" s="53"/>
      <c r="C182" s="53"/>
      <c r="K182" s="49"/>
      <c r="L182" s="53"/>
      <c r="M182" s="53"/>
      <c r="N182" s="49"/>
      <c r="O182" s="49"/>
      <c r="P182" s="49"/>
      <c r="Q182" s="49"/>
      <c r="R182" s="53"/>
      <c r="S182" s="49"/>
      <c r="T182" s="49"/>
      <c r="U182" s="530"/>
      <c r="V182" s="49"/>
      <c r="W182" s="49"/>
      <c r="X182" s="49"/>
      <c r="Y182" s="49"/>
      <c r="Z182" s="49"/>
      <c r="AA182" s="52"/>
      <c r="AB182" s="51"/>
      <c r="AC182" s="51"/>
      <c r="AD182" s="51"/>
      <c r="AE182" s="51"/>
    </row>
    <row r="183" spans="1:31" s="123" customFormat="1" ht="11.25" customHeight="1">
      <c r="A183" s="529"/>
      <c r="B183" s="53"/>
      <c r="C183" s="53"/>
      <c r="K183" s="49"/>
      <c r="L183" s="53"/>
      <c r="M183" s="53"/>
      <c r="N183" s="49"/>
      <c r="O183" s="49"/>
      <c r="P183" s="49"/>
      <c r="Q183" s="49"/>
      <c r="R183" s="53"/>
      <c r="S183" s="49"/>
      <c r="T183" s="49"/>
      <c r="U183" s="530"/>
      <c r="V183" s="49"/>
      <c r="W183" s="49"/>
      <c r="X183" s="49"/>
      <c r="Y183" s="49"/>
      <c r="Z183" s="49"/>
      <c r="AA183" s="52"/>
      <c r="AB183" s="51"/>
      <c r="AC183" s="51"/>
      <c r="AD183" s="51"/>
      <c r="AE183" s="51"/>
    </row>
    <row r="184" spans="1:31" s="123" customFormat="1" ht="11.25" customHeight="1">
      <c r="A184" s="529"/>
      <c r="B184" s="53"/>
      <c r="C184" s="53"/>
      <c r="K184" s="49"/>
      <c r="L184" s="53"/>
      <c r="M184" s="53"/>
      <c r="N184" s="49"/>
      <c r="O184" s="49"/>
      <c r="P184" s="49"/>
      <c r="Q184" s="49"/>
      <c r="R184" s="53"/>
      <c r="S184" s="49"/>
      <c r="T184" s="49"/>
      <c r="U184" s="530"/>
      <c r="V184" s="49"/>
      <c r="W184" s="49"/>
      <c r="X184" s="49"/>
      <c r="Y184" s="49"/>
      <c r="Z184" s="49"/>
      <c r="AA184" s="52"/>
      <c r="AB184" s="51"/>
      <c r="AC184" s="51"/>
      <c r="AD184" s="51"/>
      <c r="AE184" s="51"/>
    </row>
    <row r="185" spans="1:31" s="123" customFormat="1" ht="11.25" customHeight="1">
      <c r="A185" s="529"/>
      <c r="B185" s="53"/>
      <c r="C185" s="53"/>
      <c r="K185" s="49"/>
      <c r="L185" s="53"/>
      <c r="M185" s="53"/>
      <c r="N185" s="49"/>
      <c r="O185" s="49"/>
      <c r="P185" s="49"/>
      <c r="Q185" s="49"/>
      <c r="R185" s="53"/>
      <c r="S185" s="49"/>
      <c r="T185" s="49"/>
      <c r="U185" s="530"/>
      <c r="V185" s="49"/>
      <c r="W185" s="49"/>
      <c r="X185" s="49"/>
      <c r="Y185" s="49"/>
      <c r="Z185" s="49"/>
      <c r="AA185" s="52"/>
      <c r="AB185" s="51"/>
      <c r="AC185" s="51"/>
      <c r="AD185" s="51"/>
      <c r="AE185" s="51"/>
    </row>
    <row r="186" spans="1:31" s="123" customFormat="1" ht="11.25" customHeight="1">
      <c r="A186" s="529"/>
      <c r="B186" s="53"/>
      <c r="C186" s="53"/>
      <c r="K186" s="49"/>
      <c r="L186" s="53"/>
      <c r="M186" s="53"/>
      <c r="N186" s="49"/>
      <c r="O186" s="49"/>
      <c r="P186" s="49"/>
      <c r="Q186" s="49"/>
      <c r="R186" s="53"/>
      <c r="S186" s="49"/>
      <c r="T186" s="49"/>
      <c r="U186" s="530"/>
      <c r="V186" s="49"/>
      <c r="W186" s="49"/>
      <c r="X186" s="49"/>
      <c r="Y186" s="49"/>
      <c r="Z186" s="49"/>
      <c r="AA186" s="52"/>
      <c r="AB186" s="51"/>
      <c r="AC186" s="51"/>
      <c r="AD186" s="51"/>
      <c r="AE186" s="51"/>
    </row>
    <row r="187" spans="1:31" s="123" customFormat="1" ht="11.25" customHeight="1">
      <c r="A187" s="529"/>
      <c r="B187" s="53"/>
      <c r="C187" s="53"/>
      <c r="K187" s="49"/>
      <c r="L187" s="53"/>
      <c r="M187" s="53"/>
      <c r="N187" s="49"/>
      <c r="O187" s="49"/>
      <c r="P187" s="49"/>
      <c r="Q187" s="49"/>
      <c r="R187" s="53"/>
      <c r="S187" s="49"/>
      <c r="T187" s="49"/>
      <c r="U187" s="530"/>
      <c r="V187" s="49"/>
      <c r="W187" s="49"/>
      <c r="X187" s="49"/>
      <c r="Y187" s="49"/>
      <c r="Z187" s="49"/>
      <c r="AA187" s="52"/>
      <c r="AB187" s="51"/>
      <c r="AC187" s="51"/>
      <c r="AD187" s="51"/>
      <c r="AE187" s="51"/>
    </row>
    <row r="188" spans="1:31" s="123" customFormat="1" ht="11.25" customHeight="1">
      <c r="A188" s="529"/>
      <c r="B188" s="53"/>
      <c r="C188" s="53"/>
      <c r="K188" s="49"/>
      <c r="L188" s="53"/>
      <c r="M188" s="53"/>
      <c r="N188" s="49"/>
      <c r="O188" s="49"/>
      <c r="P188" s="49"/>
      <c r="Q188" s="49"/>
      <c r="R188" s="53"/>
      <c r="S188" s="49"/>
      <c r="T188" s="49"/>
      <c r="U188" s="530"/>
      <c r="V188" s="49"/>
      <c r="W188" s="49"/>
      <c r="X188" s="49"/>
      <c r="Y188" s="49"/>
      <c r="Z188" s="49"/>
      <c r="AA188" s="52"/>
      <c r="AB188" s="51"/>
      <c r="AC188" s="51"/>
      <c r="AD188" s="51"/>
      <c r="AE188" s="51"/>
    </row>
    <row r="189" spans="1:31" s="123" customFormat="1" ht="11.25" customHeight="1">
      <c r="A189" s="529"/>
      <c r="B189" s="53"/>
      <c r="C189" s="53"/>
      <c r="K189" s="49"/>
      <c r="L189" s="53"/>
      <c r="M189" s="53"/>
      <c r="N189" s="49"/>
      <c r="O189" s="49"/>
      <c r="P189" s="49"/>
      <c r="Q189" s="49"/>
      <c r="R189" s="53"/>
      <c r="S189" s="49"/>
      <c r="T189" s="49"/>
      <c r="U189" s="530"/>
      <c r="V189" s="49"/>
      <c r="W189" s="49"/>
      <c r="X189" s="49"/>
      <c r="Y189" s="49"/>
      <c r="Z189" s="49"/>
      <c r="AA189" s="52"/>
      <c r="AB189" s="51"/>
      <c r="AC189" s="51"/>
      <c r="AD189" s="51"/>
      <c r="AE189" s="51"/>
    </row>
    <row r="190" spans="1:31" s="123" customFormat="1" ht="11.25" customHeight="1">
      <c r="A190" s="529"/>
      <c r="B190" s="53"/>
      <c r="C190" s="53"/>
      <c r="K190" s="49"/>
      <c r="L190" s="53"/>
      <c r="M190" s="53"/>
      <c r="N190" s="49"/>
      <c r="O190" s="49"/>
      <c r="P190" s="49"/>
      <c r="Q190" s="49"/>
      <c r="R190" s="53"/>
      <c r="S190" s="49"/>
      <c r="T190" s="49"/>
      <c r="U190" s="530"/>
      <c r="V190" s="49"/>
      <c r="W190" s="49"/>
      <c r="X190" s="49"/>
      <c r="Y190" s="49"/>
      <c r="Z190" s="49"/>
      <c r="AA190" s="52"/>
      <c r="AB190" s="51"/>
      <c r="AC190" s="51"/>
      <c r="AD190" s="51"/>
      <c r="AE190" s="51"/>
    </row>
    <row r="191" spans="1:31" s="123" customFormat="1" ht="11.25" customHeight="1">
      <c r="A191" s="529"/>
      <c r="B191" s="53"/>
      <c r="C191" s="53"/>
      <c r="K191" s="49"/>
      <c r="L191" s="53"/>
      <c r="M191" s="53"/>
      <c r="N191" s="49"/>
      <c r="O191" s="49"/>
      <c r="P191" s="49"/>
      <c r="Q191" s="49"/>
      <c r="R191" s="53"/>
      <c r="S191" s="49"/>
      <c r="T191" s="49"/>
      <c r="U191" s="530"/>
      <c r="V191" s="49"/>
      <c r="W191" s="49"/>
      <c r="X191" s="49"/>
      <c r="Y191" s="49"/>
      <c r="Z191" s="49"/>
      <c r="AA191" s="52"/>
      <c r="AB191" s="51"/>
      <c r="AC191" s="51"/>
      <c r="AD191" s="51"/>
      <c r="AE191" s="51"/>
    </row>
    <row r="192" spans="1:31" s="123" customFormat="1" ht="11.25" customHeight="1">
      <c r="A192" s="529"/>
      <c r="B192" s="53"/>
      <c r="C192" s="53"/>
      <c r="K192" s="49"/>
      <c r="L192" s="53"/>
      <c r="M192" s="53"/>
      <c r="N192" s="49"/>
      <c r="O192" s="49"/>
      <c r="P192" s="49"/>
      <c r="Q192" s="49"/>
      <c r="R192" s="53"/>
      <c r="S192" s="49"/>
      <c r="T192" s="49"/>
      <c r="U192" s="530"/>
      <c r="V192" s="49"/>
      <c r="W192" s="49"/>
      <c r="X192" s="49"/>
      <c r="Y192" s="49"/>
      <c r="Z192" s="49"/>
      <c r="AA192" s="52"/>
      <c r="AB192" s="51"/>
      <c r="AC192" s="51"/>
      <c r="AD192" s="51"/>
      <c r="AE192" s="51"/>
    </row>
    <row r="193" spans="1:31" s="123" customFormat="1" ht="11.25" customHeight="1">
      <c r="A193" s="529"/>
      <c r="B193" s="53"/>
      <c r="C193" s="53"/>
      <c r="K193" s="49"/>
      <c r="L193" s="53"/>
      <c r="M193" s="53"/>
      <c r="N193" s="49"/>
      <c r="O193" s="49"/>
      <c r="P193" s="49"/>
      <c r="Q193" s="49"/>
      <c r="R193" s="53"/>
      <c r="S193" s="49"/>
      <c r="T193" s="49"/>
      <c r="U193" s="530"/>
      <c r="V193" s="49"/>
      <c r="W193" s="49"/>
      <c r="X193" s="49"/>
      <c r="Y193" s="49"/>
      <c r="Z193" s="49"/>
      <c r="AA193" s="52"/>
      <c r="AB193" s="51"/>
      <c r="AC193" s="51"/>
      <c r="AD193" s="51"/>
      <c r="AE193" s="51"/>
    </row>
    <row r="194" spans="1:31" s="123" customFormat="1" ht="11.25" customHeight="1">
      <c r="A194" s="529"/>
      <c r="B194" s="53"/>
      <c r="C194" s="53"/>
      <c r="K194" s="49"/>
      <c r="L194" s="53"/>
      <c r="M194" s="53"/>
      <c r="N194" s="49"/>
      <c r="O194" s="49"/>
      <c r="P194" s="49"/>
      <c r="Q194" s="49"/>
      <c r="R194" s="53"/>
      <c r="S194" s="49"/>
      <c r="T194" s="49"/>
      <c r="U194" s="530"/>
      <c r="V194" s="49"/>
      <c r="W194" s="49"/>
      <c r="X194" s="49"/>
      <c r="Y194" s="49"/>
      <c r="Z194" s="49"/>
      <c r="AA194" s="52"/>
      <c r="AB194" s="51"/>
      <c r="AC194" s="51"/>
      <c r="AD194" s="51"/>
      <c r="AE194" s="51"/>
    </row>
    <row r="195" spans="1:31" s="123" customFormat="1" ht="11.25" customHeight="1">
      <c r="A195" s="529"/>
      <c r="B195" s="53"/>
      <c r="C195" s="53"/>
      <c r="K195" s="49"/>
      <c r="L195" s="53"/>
      <c r="M195" s="53"/>
      <c r="N195" s="49"/>
      <c r="O195" s="49"/>
      <c r="P195" s="49"/>
      <c r="Q195" s="49"/>
      <c r="R195" s="53"/>
      <c r="S195" s="49"/>
      <c r="T195" s="49"/>
      <c r="U195" s="530"/>
      <c r="V195" s="49"/>
      <c r="W195" s="49"/>
      <c r="X195" s="49"/>
      <c r="Y195" s="49"/>
      <c r="Z195" s="49"/>
      <c r="AA195" s="52"/>
      <c r="AB195" s="51"/>
      <c r="AC195" s="51"/>
      <c r="AD195" s="51"/>
      <c r="AE195" s="51"/>
    </row>
    <row r="199" spans="1:31" ht="11.25" customHeight="1">
      <c r="A199" s="594"/>
      <c r="B199" s="46"/>
      <c r="K199" s="46"/>
      <c r="N199" s="46"/>
      <c r="O199" s="46"/>
      <c r="P199" s="46"/>
      <c r="Q199" s="46"/>
      <c r="S199" s="46"/>
      <c r="T199" s="46"/>
      <c r="U199" s="46"/>
      <c r="V199" s="46"/>
      <c r="W199" s="46"/>
      <c r="X199" s="46"/>
      <c r="Y199" s="46"/>
      <c r="Z199" s="46"/>
      <c r="AA199" s="46"/>
      <c r="AB199" s="46"/>
      <c r="AC199" s="46"/>
      <c r="AD199" s="46"/>
      <c r="AE199" s="46"/>
    </row>
    <row r="200" spans="1:31" ht="11.25" customHeight="1">
      <c r="A200" s="594"/>
      <c r="B200" s="46"/>
      <c r="K200" s="46"/>
      <c r="N200" s="46"/>
      <c r="O200" s="46"/>
      <c r="P200" s="46"/>
      <c r="Q200" s="46"/>
      <c r="S200" s="46"/>
      <c r="T200" s="46"/>
      <c r="U200" s="46"/>
      <c r="V200" s="46"/>
      <c r="W200" s="46"/>
      <c r="X200" s="46"/>
      <c r="Y200" s="46"/>
      <c r="Z200" s="46"/>
      <c r="AA200" s="46"/>
      <c r="AB200" s="46"/>
      <c r="AC200" s="46"/>
      <c r="AD200" s="46"/>
      <c r="AE200" s="46"/>
    </row>
    <row r="201" spans="1:31" ht="11.25" customHeight="1">
      <c r="A201" s="594"/>
      <c r="B201" s="46"/>
      <c r="K201" s="46"/>
      <c r="N201" s="46"/>
      <c r="O201" s="46"/>
      <c r="P201" s="46"/>
      <c r="Q201" s="46"/>
      <c r="S201" s="46"/>
      <c r="T201" s="46"/>
      <c r="U201" s="46"/>
      <c r="V201" s="46"/>
      <c r="W201" s="46"/>
      <c r="X201" s="46"/>
      <c r="Y201" s="46"/>
      <c r="Z201" s="46"/>
      <c r="AA201" s="46"/>
      <c r="AB201" s="46"/>
      <c r="AC201" s="46"/>
      <c r="AD201" s="46"/>
      <c r="AE201" s="46"/>
    </row>
    <row r="202" spans="1:31" ht="11.25" customHeight="1">
      <c r="A202" s="594"/>
      <c r="B202" s="46"/>
      <c r="K202" s="46"/>
      <c r="N202" s="46"/>
      <c r="O202" s="46"/>
      <c r="P202" s="46"/>
      <c r="Q202" s="46"/>
      <c r="S202" s="46"/>
      <c r="T202" s="46"/>
      <c r="U202" s="46"/>
      <c r="V202" s="46"/>
      <c r="W202" s="46"/>
      <c r="X202" s="46"/>
      <c r="Y202" s="46"/>
      <c r="Z202" s="46"/>
      <c r="AA202" s="46"/>
      <c r="AB202" s="46"/>
      <c r="AC202" s="46"/>
      <c r="AD202" s="46"/>
      <c r="AE202" s="46"/>
    </row>
    <row r="203" spans="1:31" ht="11.25" customHeight="1">
      <c r="A203" s="594"/>
      <c r="B203" s="46"/>
      <c r="K203" s="46"/>
      <c r="N203" s="46"/>
      <c r="O203" s="46"/>
      <c r="P203" s="46"/>
      <c r="Q203" s="46"/>
      <c r="S203" s="46"/>
      <c r="T203" s="46"/>
      <c r="U203" s="46"/>
      <c r="V203" s="46"/>
      <c r="W203" s="46"/>
      <c r="X203" s="46"/>
      <c r="Y203" s="46"/>
      <c r="Z203" s="46"/>
      <c r="AA203" s="46"/>
      <c r="AB203" s="46"/>
      <c r="AC203" s="46"/>
      <c r="AD203" s="46"/>
      <c r="AE203" s="46"/>
    </row>
    <row r="204" spans="1:31" ht="11.25" customHeight="1">
      <c r="A204" s="594"/>
      <c r="B204" s="46"/>
      <c r="K204" s="46"/>
      <c r="N204" s="46"/>
      <c r="O204" s="46"/>
      <c r="P204" s="46"/>
      <c r="Q204" s="46"/>
      <c r="S204" s="46"/>
      <c r="T204" s="46"/>
      <c r="U204" s="46"/>
      <c r="V204" s="46"/>
      <c r="W204" s="46"/>
      <c r="X204" s="46"/>
      <c r="Y204" s="46"/>
      <c r="Z204" s="46"/>
      <c r="AA204" s="46"/>
      <c r="AB204" s="46"/>
      <c r="AC204" s="46"/>
      <c r="AD204" s="46"/>
      <c r="AE204" s="46"/>
    </row>
    <row r="205" spans="1:31" ht="11.25" customHeight="1">
      <c r="A205" s="594"/>
      <c r="B205" s="46"/>
      <c r="K205" s="46"/>
      <c r="N205" s="46"/>
      <c r="O205" s="46"/>
      <c r="P205" s="46"/>
      <c r="Q205" s="46"/>
      <c r="S205" s="46"/>
      <c r="T205" s="46"/>
      <c r="U205" s="46"/>
      <c r="V205" s="46"/>
      <c r="W205" s="46"/>
      <c r="X205" s="46"/>
      <c r="Y205" s="46"/>
      <c r="Z205" s="46"/>
      <c r="AA205" s="46"/>
      <c r="AB205" s="46"/>
      <c r="AC205" s="46"/>
      <c r="AD205" s="46"/>
      <c r="AE205" s="46"/>
    </row>
    <row r="206" spans="1:31" ht="11.25" customHeight="1">
      <c r="A206" s="594"/>
      <c r="B206" s="46"/>
      <c r="K206" s="46"/>
      <c r="N206" s="46"/>
      <c r="O206" s="46"/>
      <c r="P206" s="46"/>
      <c r="Q206" s="46"/>
      <c r="S206" s="46"/>
      <c r="T206" s="46"/>
      <c r="U206" s="46"/>
      <c r="V206" s="46"/>
      <c r="W206" s="46"/>
      <c r="X206" s="46"/>
      <c r="Y206" s="46"/>
      <c r="Z206" s="46"/>
      <c r="AA206" s="46"/>
      <c r="AB206" s="46"/>
      <c r="AC206" s="46"/>
      <c r="AD206" s="46"/>
      <c r="AE206" s="46"/>
    </row>
    <row r="207" spans="1:31" ht="11.25" customHeight="1">
      <c r="A207" s="594"/>
      <c r="B207" s="46"/>
      <c r="K207" s="46"/>
      <c r="N207" s="46"/>
      <c r="O207" s="46"/>
      <c r="P207" s="46"/>
      <c r="Q207" s="46"/>
      <c r="S207" s="46"/>
      <c r="T207" s="46"/>
      <c r="U207" s="46"/>
      <c r="V207" s="46"/>
      <c r="W207" s="46"/>
      <c r="X207" s="46"/>
      <c r="Y207" s="46"/>
      <c r="Z207" s="46"/>
      <c r="AA207" s="46"/>
      <c r="AB207" s="46"/>
      <c r="AC207" s="46"/>
      <c r="AD207" s="46"/>
      <c r="AE207" s="46"/>
    </row>
    <row r="208" spans="1:31" ht="11.25" customHeight="1">
      <c r="A208" s="594"/>
      <c r="B208" s="46"/>
      <c r="K208" s="46"/>
      <c r="N208" s="46"/>
      <c r="O208" s="46"/>
      <c r="P208" s="46"/>
      <c r="Q208" s="46"/>
      <c r="S208" s="46"/>
      <c r="T208" s="46"/>
      <c r="U208" s="46"/>
      <c r="V208" s="46"/>
      <c r="W208" s="46"/>
      <c r="X208" s="46"/>
      <c r="Y208" s="46"/>
      <c r="Z208" s="46"/>
      <c r="AA208" s="46"/>
      <c r="AB208" s="46"/>
      <c r="AC208" s="46"/>
      <c r="AD208" s="46"/>
      <c r="AE208" s="46"/>
    </row>
    <row r="209" spans="1:31" ht="11.25" customHeight="1">
      <c r="A209" s="594"/>
      <c r="B209" s="46"/>
      <c r="K209" s="46"/>
      <c r="N209" s="46"/>
      <c r="O209" s="46"/>
      <c r="P209" s="46"/>
      <c r="Q209" s="46"/>
      <c r="S209" s="46"/>
      <c r="T209" s="46"/>
      <c r="U209" s="46"/>
      <c r="V209" s="46"/>
      <c r="W209" s="46"/>
      <c r="X209" s="46"/>
      <c r="Y209" s="46"/>
      <c r="Z209" s="46"/>
      <c r="AA209" s="46"/>
      <c r="AB209" s="46"/>
      <c r="AC209" s="46"/>
      <c r="AD209" s="46"/>
      <c r="AE209" s="46"/>
    </row>
  </sheetData>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formula2>0</formula2>
    </dataValidation>
    <dataValidation type="decimal" allowBlank="1" showErrorMessage="1" errorTitle="Ошибка" error="Допускается ввод только неотрицательных чисел!" sqref="H2:I2 H15:I15 H17:I27 H31:I31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formula2>0</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s>
  <pageMargins left="0.7" right="0.7" top="0.625" bottom="0.625" header="0.3" footer="0.3"/>
  <pageSetup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W101"/>
  <sheetViews>
    <sheetView showGridLines="0" topLeftCell="C2" zoomScale="90" zoomScaleNormal="90" workbookViewId="0"/>
  </sheetViews>
  <sheetFormatPr defaultColWidth="10.5703125" defaultRowHeight="11.25"/>
  <cols>
    <col min="1" max="1" width="9.140625" style="628" hidden="1" customWidth="1"/>
    <col min="2" max="2" width="3.5703125" style="53" hidden="1" customWidth="1"/>
    <col min="3" max="3" width="3.7109375" style="46" customWidth="1"/>
    <col min="4" max="4" width="7.7109375" style="46" customWidth="1"/>
    <col min="5" max="5" width="69.85546875" style="46" customWidth="1"/>
    <col min="6" max="6" width="11.140625" style="46" customWidth="1"/>
    <col min="7" max="8" width="44" style="46" hidden="1" customWidth="1"/>
    <col min="9" max="10" width="44" style="46" customWidth="1"/>
    <col min="11" max="11" width="74" style="46" customWidth="1"/>
    <col min="12" max="12" width="3.7109375" style="46" customWidth="1"/>
    <col min="13" max="23" width="10.5703125" style="46"/>
  </cols>
  <sheetData>
    <row r="1" spans="1:12" s="49" customFormat="1" ht="11.25" hidden="1" customHeight="1">
      <c r="A1" s="628"/>
      <c r="B1" s="53"/>
      <c r="G1" s="49">
        <v>4</v>
      </c>
      <c r="I1" s="49">
        <v>4</v>
      </c>
      <c r="K1" s="49">
        <v>5</v>
      </c>
    </row>
    <row r="2" spans="1:12" ht="3" customHeight="1"/>
    <row r="3" spans="1:12" ht="75" customHeight="1">
      <c r="D3" s="1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090"/>
      <c r="F3" s="1090"/>
    </row>
    <row r="4" spans="1:12" s="46" customFormat="1" ht="20.25" customHeight="1">
      <c r="A4" s="628"/>
      <c r="B4" s="53"/>
      <c r="D4" s="1127" t="str">
        <f>IF(org=0,"Не определено",org)</f>
        <v>Филиал ПАО "ОГК-2" - Серовская ГРЭС, г. Серов</v>
      </c>
      <c r="E4" s="1127"/>
      <c r="F4" s="1127"/>
    </row>
    <row r="5" spans="1:12" ht="11.25" customHeight="1">
      <c r="H5" s="272"/>
      <c r="J5" s="272"/>
    </row>
    <row r="6" spans="1:12" ht="0.75" customHeight="1">
      <c r="E6" s="47"/>
      <c r="F6" s="598"/>
      <c r="G6" s="629"/>
      <c r="H6" s="629"/>
      <c r="I6" s="629" t="s">
        <v>113</v>
      </c>
      <c r="J6" s="629"/>
    </row>
    <row r="7" spans="1:12" ht="11.25" customHeight="1">
      <c r="D7" s="545"/>
      <c r="E7" s="1197" t="s">
        <v>101</v>
      </c>
      <c r="F7" s="1197"/>
      <c r="G7" s="1207" t="str">
        <f>IF(G6="","",INDEX(DIFFERENTIATION_UNMERGE_VD,MATCH(G6,DIFFERENTIATION_ID_DIFF,0)))</f>
        <v/>
      </c>
      <c r="H7" s="1207"/>
      <c r="I7" s="1207">
        <f>IF(I6="","",INDEX(DIFFERENTIATION_UNMERGE_VD,MATCH(I6,DIFFERENTIATION_ID_DIFF,0)))</f>
        <v>0</v>
      </c>
      <c r="J7" s="1207"/>
      <c r="K7" s="1087"/>
    </row>
    <row r="8" spans="1:12" ht="11.25" customHeight="1">
      <c r="D8" s="545"/>
      <c r="E8" s="1197" t="s">
        <v>544</v>
      </c>
      <c r="F8" s="1197"/>
      <c r="G8" s="1207" t="str">
        <f>IF(G6="","",INDEX(DIFFERENTIATION_UNMERGE_AREA,MATCH(G6,DIFFERENTIATION_ID_DIFF,0)))</f>
        <v/>
      </c>
      <c r="H8" s="1207"/>
      <c r="I8" s="1207" t="str">
        <f>IF(I6="","",INDEX(DIFFERENTIATION_UNMERGE_AREA,MATCH(I6,DIFFERENTIATION_ID_DIFF,0)))</f>
        <v/>
      </c>
      <c r="J8" s="1207"/>
      <c r="K8" s="1087"/>
    </row>
    <row r="9" spans="1:12" ht="11.25" customHeight="1">
      <c r="D9" s="545"/>
      <c r="E9" s="1197" t="s">
        <v>545</v>
      </c>
      <c r="F9" s="1197"/>
      <c r="G9" s="1207" t="str">
        <f>IF(G6="","",INDEX(DIFFERENTIATION_UNMERGE_SYSTEM,MATCH(G6,DIFFERENTIATION_ID_DIFF,0)))</f>
        <v/>
      </c>
      <c r="H9" s="1207"/>
      <c r="I9" s="1207" t="str">
        <f>IF(I6="","",INDEX(DIFFERENTIATION_UNMERGE_SYSTEM,MATCH(I6,DIFFERENTIATION_ID_DIFF,0)))</f>
        <v>без дифференциации</v>
      </c>
      <c r="J9" s="1207"/>
      <c r="K9" s="1087"/>
    </row>
    <row r="10" spans="1:12" s="46" customFormat="1" ht="11.25" customHeight="1">
      <c r="A10" s="628"/>
      <c r="B10" s="53"/>
      <c r="D10" s="1087" t="s">
        <v>287</v>
      </c>
      <c r="E10" s="1087"/>
      <c r="F10" s="1087"/>
      <c r="G10" s="1087"/>
      <c r="H10" s="1087"/>
      <c r="I10" s="1087"/>
      <c r="J10" s="1087"/>
      <c r="K10" s="1087"/>
    </row>
    <row r="11" spans="1:12" s="46" customFormat="1" ht="22.5" customHeight="1">
      <c r="A11" s="1171"/>
      <c r="B11" s="1171"/>
      <c r="C11" s="318"/>
      <c r="D11" s="148" t="s">
        <v>84</v>
      </c>
      <c r="E11" s="148" t="s">
        <v>701</v>
      </c>
      <c r="F11" s="148" t="s">
        <v>546</v>
      </c>
      <c r="G11" s="148" t="s">
        <v>290</v>
      </c>
      <c r="H11" s="148" t="s">
        <v>379</v>
      </c>
      <c r="I11" s="148" t="s">
        <v>290</v>
      </c>
      <c r="J11" s="245" t="s">
        <v>379</v>
      </c>
      <c r="K11" s="1087"/>
      <c r="L11" s="456"/>
    </row>
    <row r="12" spans="1:12" s="53" customFormat="1" ht="10.5" customHeight="1">
      <c r="A12" s="431"/>
      <c r="D12" s="431" t="s">
        <v>105</v>
      </c>
      <c r="E12" s="431" t="s">
        <v>106</v>
      </c>
      <c r="F12" s="431" t="s">
        <v>86</v>
      </c>
      <c r="G12" s="124" t="str">
        <f>G1&amp;".1"</f>
        <v>4.1</v>
      </c>
      <c r="H12" s="124" t="str">
        <f>G1&amp;".2"</f>
        <v>4.2</v>
      </c>
      <c r="I12" s="124" t="str">
        <f>I1&amp;".1"</f>
        <v>4.1</v>
      </c>
      <c r="J12" s="124" t="str">
        <f>I1&amp;".2"</f>
        <v>4.2</v>
      </c>
      <c r="K12" s="124"/>
    </row>
    <row r="13" spans="1:12" ht="22.5" hidden="1" customHeight="1">
      <c r="A13" s="1208" t="s">
        <v>702</v>
      </c>
      <c r="D13" s="190" t="s">
        <v>105</v>
      </c>
      <c r="E13" s="549" t="s">
        <v>703</v>
      </c>
      <c r="F13" s="137" t="s">
        <v>704</v>
      </c>
      <c r="G13" s="550"/>
      <c r="H13" s="630"/>
      <c r="I13" s="550"/>
      <c r="J13" s="630"/>
      <c r="K13" s="395" t="s">
        <v>705</v>
      </c>
      <c r="L13" s="631"/>
    </row>
    <row r="14" spans="1:12" ht="22.5" hidden="1" customHeight="1">
      <c r="A14" s="1208"/>
      <c r="D14" s="190" t="s">
        <v>106</v>
      </c>
      <c r="E14" s="549" t="s">
        <v>706</v>
      </c>
      <c r="F14" s="137" t="s">
        <v>707</v>
      </c>
      <c r="G14" s="550"/>
      <c r="H14" s="630"/>
      <c r="I14" s="550"/>
      <c r="J14" s="630"/>
      <c r="K14" s="395" t="s">
        <v>708</v>
      </c>
      <c r="L14" s="631"/>
    </row>
    <row r="15" spans="1:12" s="46" customFormat="1" ht="78.75" hidden="1" customHeight="1">
      <c r="A15" s="1208"/>
      <c r="B15" s="53"/>
      <c r="D15" s="190" t="s">
        <v>86</v>
      </c>
      <c r="E15" s="549" t="s">
        <v>709</v>
      </c>
      <c r="F15" s="148" t="s">
        <v>293</v>
      </c>
      <c r="G15" s="148" t="s">
        <v>293</v>
      </c>
      <c r="H15" s="224"/>
      <c r="I15" s="148" t="s">
        <v>293</v>
      </c>
      <c r="J15" s="224"/>
      <c r="K15" s="395" t="s">
        <v>710</v>
      </c>
      <c r="L15" s="631"/>
    </row>
    <row r="16" spans="1:12" s="46" customFormat="1" ht="22.5" hidden="1" customHeight="1">
      <c r="A16" s="1208"/>
      <c r="B16" s="53"/>
      <c r="D16" s="190" t="s">
        <v>313</v>
      </c>
      <c r="E16" s="513" t="s">
        <v>711</v>
      </c>
      <c r="F16" s="148" t="s">
        <v>712</v>
      </c>
      <c r="G16" s="632"/>
      <c r="H16" s="224"/>
      <c r="I16" s="632"/>
      <c r="J16" s="224"/>
      <c r="K16" s="395"/>
      <c r="L16" s="631"/>
    </row>
    <row r="17" spans="1:23" s="46" customFormat="1" ht="22.5" hidden="1" customHeight="1">
      <c r="A17" s="1208"/>
      <c r="B17" s="53"/>
      <c r="D17" s="190" t="s">
        <v>321</v>
      </c>
      <c r="E17" s="513" t="s">
        <v>713</v>
      </c>
      <c r="F17" s="148" t="s">
        <v>714</v>
      </c>
      <c r="G17" s="632"/>
      <c r="H17" s="224"/>
      <c r="I17" s="632"/>
      <c r="J17" s="224"/>
      <c r="K17" s="395"/>
      <c r="L17" s="631"/>
    </row>
    <row r="18" spans="1:23" s="46" customFormat="1" ht="33.75" hidden="1" customHeight="1">
      <c r="A18" s="1208"/>
      <c r="B18" s="53"/>
      <c r="D18" s="190" t="s">
        <v>323</v>
      </c>
      <c r="E18" s="513" t="s">
        <v>715</v>
      </c>
      <c r="F18" s="148" t="s">
        <v>551</v>
      </c>
      <c r="G18" s="633"/>
      <c r="H18" s="224"/>
      <c r="I18" s="633"/>
      <c r="J18" s="224"/>
      <c r="K18" s="395"/>
      <c r="L18" s="631"/>
    </row>
    <row r="19" spans="1:23" ht="101.25" hidden="1" customHeight="1">
      <c r="A19" s="1208"/>
      <c r="D19" s="190" t="s">
        <v>87</v>
      </c>
      <c r="E19" s="549" t="s">
        <v>716</v>
      </c>
      <c r="F19" s="137" t="s">
        <v>526</v>
      </c>
      <c r="G19" s="308"/>
      <c r="H19" s="630"/>
      <c r="I19" s="308"/>
      <c r="J19" s="630"/>
      <c r="K19" s="533" t="s">
        <v>717</v>
      </c>
      <c r="L19" s="631"/>
    </row>
    <row r="20" spans="1:23" s="46" customFormat="1" ht="18.75" hidden="1" customHeight="1">
      <c r="A20" s="1208"/>
      <c r="C20" s="120"/>
      <c r="D20" s="190" t="s">
        <v>647</v>
      </c>
      <c r="E20" s="513" t="s">
        <v>718</v>
      </c>
      <c r="F20" s="148" t="s">
        <v>293</v>
      </c>
      <c r="G20" s="148" t="s">
        <v>293</v>
      </c>
      <c r="H20" s="242" t="s">
        <v>293</v>
      </c>
      <c r="I20" s="148" t="s">
        <v>293</v>
      </c>
      <c r="J20" s="242" t="s">
        <v>293</v>
      </c>
      <c r="K20" s="245"/>
      <c r="L20" s="631"/>
      <c r="W20" s="108"/>
    </row>
    <row r="21" spans="1:23" s="46" customFormat="1" ht="33.75" hidden="1" customHeight="1">
      <c r="A21" s="1208"/>
      <c r="C21" s="120"/>
      <c r="D21" s="190" t="s">
        <v>650</v>
      </c>
      <c r="E21" s="564" t="s">
        <v>719</v>
      </c>
      <c r="F21" s="148" t="s">
        <v>720</v>
      </c>
      <c r="G21" s="634"/>
      <c r="H21" s="224"/>
      <c r="I21" s="634"/>
      <c r="J21" s="224"/>
      <c r="K21" s="245"/>
      <c r="L21" s="631"/>
      <c r="W21" s="108"/>
    </row>
    <row r="22" spans="1:23" s="46" customFormat="1" ht="33.75" hidden="1" customHeight="1">
      <c r="A22" s="1208"/>
      <c r="C22" s="120"/>
      <c r="D22" s="190" t="s">
        <v>653</v>
      </c>
      <c r="E22" s="564" t="s">
        <v>721</v>
      </c>
      <c r="F22" s="148" t="s">
        <v>722</v>
      </c>
      <c r="G22" s="634"/>
      <c r="H22" s="224"/>
      <c r="I22" s="634"/>
      <c r="J22" s="224"/>
      <c r="K22" s="245"/>
      <c r="L22" s="631"/>
      <c r="W22" s="108"/>
    </row>
    <row r="23" spans="1:23" s="46" customFormat="1" ht="22.5" hidden="1" customHeight="1">
      <c r="A23" s="1208"/>
      <c r="C23" s="120"/>
      <c r="D23" s="190" t="s">
        <v>690</v>
      </c>
      <c r="E23" s="513" t="s">
        <v>723</v>
      </c>
      <c r="F23" s="148" t="s">
        <v>293</v>
      </c>
      <c r="G23" s="148" t="s">
        <v>293</v>
      </c>
      <c r="H23" s="242" t="s">
        <v>293</v>
      </c>
      <c r="I23" s="148" t="s">
        <v>293</v>
      </c>
      <c r="J23" s="242" t="s">
        <v>293</v>
      </c>
      <c r="K23" s="245"/>
      <c r="L23" s="631"/>
      <c r="W23" s="108"/>
    </row>
    <row r="24" spans="1:23" s="46" customFormat="1" ht="22.5" hidden="1" customHeight="1">
      <c r="A24" s="1208"/>
      <c r="C24" s="120"/>
      <c r="D24" s="190" t="s">
        <v>724</v>
      </c>
      <c r="E24" s="564" t="s">
        <v>725</v>
      </c>
      <c r="F24" s="148" t="s">
        <v>726</v>
      </c>
      <c r="G24" s="634"/>
      <c r="H24" s="635"/>
      <c r="I24" s="634"/>
      <c r="J24" s="635"/>
      <c r="K24" s="245"/>
      <c r="L24" s="631"/>
      <c r="W24" s="108"/>
    </row>
    <row r="25" spans="1:23" s="46" customFormat="1" ht="22.5" hidden="1" customHeight="1">
      <c r="A25" s="1208"/>
      <c r="C25" s="120"/>
      <c r="D25" s="190" t="s">
        <v>727</v>
      </c>
      <c r="E25" s="564" t="s">
        <v>728</v>
      </c>
      <c r="F25" s="148" t="s">
        <v>293</v>
      </c>
      <c r="G25" s="148" t="s">
        <v>293</v>
      </c>
      <c r="H25" s="242" t="s">
        <v>293</v>
      </c>
      <c r="I25" s="148" t="s">
        <v>293</v>
      </c>
      <c r="J25" s="242" t="s">
        <v>293</v>
      </c>
      <c r="K25" s="245"/>
      <c r="L25" s="631"/>
      <c r="W25" s="108"/>
    </row>
    <row r="26" spans="1:23" s="46" customFormat="1" ht="18.75" hidden="1" customHeight="1">
      <c r="A26" s="1208"/>
      <c r="C26" s="120"/>
      <c r="D26" s="190" t="s">
        <v>729</v>
      </c>
      <c r="E26" s="537" t="s">
        <v>730</v>
      </c>
      <c r="F26" s="148" t="s">
        <v>731</v>
      </c>
      <c r="G26" s="633"/>
      <c r="H26" s="635"/>
      <c r="I26" s="633"/>
      <c r="J26" s="635"/>
      <c r="K26" s="245"/>
      <c r="L26" s="631"/>
      <c r="W26" s="108"/>
    </row>
    <row r="27" spans="1:23" s="46" customFormat="1" ht="18.75" hidden="1" customHeight="1">
      <c r="A27" s="1208"/>
      <c r="C27" s="120"/>
      <c r="D27" s="190" t="s">
        <v>732</v>
      </c>
      <c r="E27" s="537" t="s">
        <v>733</v>
      </c>
      <c r="F27" s="148" t="s">
        <v>734</v>
      </c>
      <c r="G27" s="633"/>
      <c r="H27" s="635"/>
      <c r="I27" s="633"/>
      <c r="J27" s="635"/>
      <c r="K27" s="245"/>
      <c r="L27" s="631"/>
      <c r="W27" s="108"/>
    </row>
    <row r="28" spans="1:23" s="46" customFormat="1" ht="18.75" hidden="1" customHeight="1">
      <c r="A28" s="1208"/>
      <c r="C28" s="120"/>
      <c r="D28" s="190" t="s">
        <v>735</v>
      </c>
      <c r="E28" s="564" t="s">
        <v>736</v>
      </c>
      <c r="F28" s="148" t="s">
        <v>293</v>
      </c>
      <c r="G28" s="148" t="s">
        <v>293</v>
      </c>
      <c r="H28" s="242" t="s">
        <v>293</v>
      </c>
      <c r="I28" s="148" t="s">
        <v>293</v>
      </c>
      <c r="J28" s="242" t="s">
        <v>293</v>
      </c>
      <c r="K28" s="245"/>
      <c r="L28" s="631"/>
      <c r="W28" s="108"/>
    </row>
    <row r="29" spans="1:23" s="46" customFormat="1" ht="18.75" hidden="1" customHeight="1">
      <c r="A29" s="1208"/>
      <c r="C29" s="120"/>
      <c r="D29" s="190" t="s">
        <v>737</v>
      </c>
      <c r="E29" s="537" t="s">
        <v>730</v>
      </c>
      <c r="F29" s="148" t="s">
        <v>738</v>
      </c>
      <c r="G29" s="633"/>
      <c r="H29" s="635"/>
      <c r="I29" s="633"/>
      <c r="J29" s="635"/>
      <c r="K29" s="245"/>
      <c r="L29" s="631"/>
      <c r="W29" s="108"/>
    </row>
    <row r="30" spans="1:23" s="46" customFormat="1" ht="18.75" hidden="1" customHeight="1">
      <c r="A30" s="1208"/>
      <c r="C30" s="120"/>
      <c r="D30" s="190" t="s">
        <v>739</v>
      </c>
      <c r="E30" s="537" t="s">
        <v>740</v>
      </c>
      <c r="F30" s="148" t="s">
        <v>741</v>
      </c>
      <c r="G30" s="633"/>
      <c r="H30" s="635"/>
      <c r="I30" s="633"/>
      <c r="J30" s="635"/>
      <c r="K30" s="245"/>
      <c r="L30" s="631"/>
      <c r="W30" s="108"/>
    </row>
    <row r="31" spans="1:23" ht="126.75" hidden="1" customHeight="1">
      <c r="A31" s="1208"/>
      <c r="D31" s="190" t="s">
        <v>107</v>
      </c>
      <c r="E31" s="549" t="s">
        <v>742</v>
      </c>
      <c r="F31" s="137" t="s">
        <v>538</v>
      </c>
      <c r="G31" s="550"/>
      <c r="H31" s="630"/>
      <c r="I31" s="550"/>
      <c r="J31" s="630"/>
      <c r="K31" s="533" t="s">
        <v>743</v>
      </c>
      <c r="L31" s="631"/>
    </row>
    <row r="32" spans="1:23" ht="56.25" hidden="1" customHeight="1">
      <c r="A32" s="1208"/>
      <c r="D32" s="190" t="s">
        <v>88</v>
      </c>
      <c r="E32" s="549" t="s">
        <v>744</v>
      </c>
      <c r="F32" s="190" t="s">
        <v>714</v>
      </c>
      <c r="G32" s="550"/>
      <c r="H32" s="630"/>
      <c r="I32" s="550"/>
      <c r="J32" s="630"/>
      <c r="K32" s="533" t="s">
        <v>745</v>
      </c>
      <c r="L32" s="631"/>
    </row>
    <row r="33" spans="1:11" ht="11.25" hidden="1" customHeight="1">
      <c r="A33" s="1208"/>
      <c r="E33" s="388"/>
      <c r="F33" s="171"/>
      <c r="G33" s="171"/>
      <c r="H33" s="171"/>
      <c r="I33" s="171"/>
      <c r="J33" s="171"/>
      <c r="K33" s="171"/>
    </row>
    <row r="34" spans="1:11" ht="12.75" hidden="1" customHeight="1">
      <c r="A34" s="1208"/>
      <c r="D34" s="318">
        <v>1</v>
      </c>
      <c r="E34" s="636" t="s">
        <v>746</v>
      </c>
    </row>
    <row r="35" spans="1:11" ht="11.25" hidden="1" customHeight="1">
      <c r="A35" s="1208"/>
      <c r="D35" s="318"/>
      <c r="E35" s="636" t="s">
        <v>747</v>
      </c>
    </row>
    <row r="36" spans="1:11" s="46" customFormat="1" ht="11.25" customHeight="1">
      <c r="A36" s="628"/>
      <c r="B36" s="53"/>
      <c r="D36" s="318"/>
      <c r="E36" s="636"/>
    </row>
    <row r="37" spans="1:11" s="46" customFormat="1" ht="22.5" hidden="1" customHeight="1">
      <c r="A37" s="1208" t="s">
        <v>748</v>
      </c>
      <c r="B37" s="53"/>
      <c r="D37" s="190">
        <v>1</v>
      </c>
      <c r="E37" s="549" t="s">
        <v>749</v>
      </c>
      <c r="F37" s="137" t="s">
        <v>704</v>
      </c>
      <c r="G37" s="550"/>
      <c r="H37" s="637"/>
      <c r="I37" s="550"/>
      <c r="J37" s="637"/>
      <c r="K37" s="395" t="s">
        <v>750</v>
      </c>
    </row>
    <row r="38" spans="1:11" s="46" customFormat="1" ht="22.5" hidden="1" customHeight="1">
      <c r="A38" s="1208"/>
      <c r="B38" s="53"/>
      <c r="D38" s="638" t="s">
        <v>106</v>
      </c>
      <c r="E38" s="639" t="s">
        <v>751</v>
      </c>
      <c r="F38" s="640" t="s">
        <v>526</v>
      </c>
      <c r="G38" s="640" t="s">
        <v>526</v>
      </c>
      <c r="H38" s="641"/>
      <c r="I38" s="640" t="s">
        <v>526</v>
      </c>
      <c r="J38" s="641"/>
      <c r="K38" s="445"/>
    </row>
    <row r="39" spans="1:11" s="46" customFormat="1" ht="33.75" hidden="1" customHeight="1">
      <c r="A39" s="1208"/>
      <c r="B39" s="53"/>
      <c r="D39" s="642" t="s">
        <v>605</v>
      </c>
      <c r="E39" s="643" t="s">
        <v>752</v>
      </c>
      <c r="F39" s="137" t="s">
        <v>753</v>
      </c>
      <c r="G39" s="644"/>
      <c r="H39" s="645"/>
      <c r="I39" s="644"/>
      <c r="J39" s="645"/>
      <c r="K39" s="395" t="s">
        <v>754</v>
      </c>
    </row>
    <row r="40" spans="1:11" s="46" customFormat="1" ht="33.75" hidden="1" customHeight="1">
      <c r="A40" s="1208"/>
      <c r="B40" s="53"/>
      <c r="D40" s="642" t="s">
        <v>608</v>
      </c>
      <c r="E40" s="643" t="s">
        <v>755</v>
      </c>
      <c r="F40" s="646" t="s">
        <v>756</v>
      </c>
      <c r="G40" s="647"/>
      <c r="H40" s="645"/>
      <c r="I40" s="647"/>
      <c r="J40" s="645"/>
      <c r="K40" s="395" t="s">
        <v>757</v>
      </c>
    </row>
    <row r="41" spans="1:11" s="46" customFormat="1" ht="22.5" hidden="1" customHeight="1">
      <c r="A41" s="1208"/>
      <c r="B41" s="53"/>
      <c r="D41" s="642" t="s">
        <v>86</v>
      </c>
      <c r="E41" s="648" t="s">
        <v>758</v>
      </c>
      <c r="F41" s="137" t="s">
        <v>526</v>
      </c>
      <c r="G41" s="137" t="s">
        <v>526</v>
      </c>
      <c r="H41" s="649"/>
      <c r="I41" s="137" t="s">
        <v>526</v>
      </c>
      <c r="J41" s="649"/>
      <c r="K41" s="446"/>
    </row>
    <row r="42" spans="1:11" s="46" customFormat="1" ht="45" hidden="1" customHeight="1">
      <c r="A42" s="1208"/>
      <c r="B42" s="53"/>
      <c r="D42" s="642" t="s">
        <v>313</v>
      </c>
      <c r="E42" s="643" t="s">
        <v>759</v>
      </c>
      <c r="F42" s="137" t="s">
        <v>538</v>
      </c>
      <c r="G42" s="550"/>
      <c r="H42" s="649"/>
      <c r="I42" s="550"/>
      <c r="J42" s="649"/>
      <c r="K42" s="446" t="s">
        <v>760</v>
      </c>
    </row>
    <row r="43" spans="1:11" s="46" customFormat="1" ht="45" hidden="1" customHeight="1">
      <c r="A43" s="1208"/>
      <c r="B43" s="53"/>
      <c r="D43" s="642" t="s">
        <v>321</v>
      </c>
      <c r="E43" s="650" t="s">
        <v>761</v>
      </c>
      <c r="F43" s="651" t="s">
        <v>538</v>
      </c>
      <c r="G43" s="582"/>
      <c r="H43" s="645"/>
      <c r="I43" s="582"/>
      <c r="J43" s="645"/>
      <c r="K43" s="446" t="s">
        <v>762</v>
      </c>
    </row>
    <row r="44" spans="1:11" s="46" customFormat="1" ht="11.25" hidden="1" customHeight="1">
      <c r="A44" s="1208"/>
      <c r="B44" s="53"/>
      <c r="D44" s="642" t="s">
        <v>87</v>
      </c>
      <c r="E44" s="652" t="s">
        <v>763</v>
      </c>
      <c r="F44" s="137" t="s">
        <v>753</v>
      </c>
      <c r="G44" s="644"/>
      <c r="H44" s="645"/>
      <c r="I44" s="644"/>
      <c r="J44" s="645"/>
      <c r="K44" s="395"/>
    </row>
    <row r="45" spans="1:11" s="46" customFormat="1" ht="11.25" hidden="1" customHeight="1">
      <c r="A45" s="1208"/>
      <c r="B45" s="53"/>
      <c r="D45" s="642" t="s">
        <v>647</v>
      </c>
      <c r="E45" s="650" t="s">
        <v>764</v>
      </c>
      <c r="F45" s="137" t="s">
        <v>753</v>
      </c>
      <c r="G45" s="644"/>
      <c r="H45" s="645"/>
      <c r="I45" s="644"/>
      <c r="J45" s="645"/>
      <c r="K45" s="395"/>
    </row>
    <row r="46" spans="1:11" s="46" customFormat="1" ht="11.25" hidden="1" customHeight="1">
      <c r="A46" s="1208"/>
      <c r="B46" s="53"/>
      <c r="D46" s="642" t="s">
        <v>690</v>
      </c>
      <c r="E46" s="650" t="s">
        <v>765</v>
      </c>
      <c r="F46" s="137" t="s">
        <v>753</v>
      </c>
      <c r="G46" s="644"/>
      <c r="H46" s="645"/>
      <c r="I46" s="644"/>
      <c r="J46" s="645"/>
      <c r="K46" s="395"/>
    </row>
    <row r="47" spans="1:11" s="46" customFormat="1" ht="11.25" hidden="1" customHeight="1">
      <c r="A47" s="1208"/>
      <c r="B47" s="53"/>
      <c r="D47" s="642" t="s">
        <v>693</v>
      </c>
      <c r="E47" s="650" t="s">
        <v>766</v>
      </c>
      <c r="F47" s="137" t="s">
        <v>753</v>
      </c>
      <c r="G47" s="644"/>
      <c r="H47" s="645"/>
      <c r="I47" s="644"/>
      <c r="J47" s="645"/>
      <c r="K47" s="395"/>
    </row>
    <row r="48" spans="1:11" s="46" customFormat="1" ht="11.25" hidden="1" customHeight="1">
      <c r="A48" s="1208"/>
      <c r="B48" s="53"/>
      <c r="D48" s="642" t="s">
        <v>767</v>
      </c>
      <c r="E48" s="653" t="s">
        <v>768</v>
      </c>
      <c r="F48" s="137" t="s">
        <v>753</v>
      </c>
      <c r="G48" s="644"/>
      <c r="H48" s="645"/>
      <c r="I48" s="644"/>
      <c r="J48" s="645"/>
      <c r="K48" s="395"/>
    </row>
    <row r="49" spans="1:11" s="46" customFormat="1" ht="11.25" hidden="1" customHeight="1">
      <c r="A49" s="1208"/>
      <c r="B49" s="53"/>
      <c r="D49" s="642" t="s">
        <v>769</v>
      </c>
      <c r="E49" s="653" t="s">
        <v>770</v>
      </c>
      <c r="F49" s="137" t="s">
        <v>753</v>
      </c>
      <c r="G49" s="644"/>
      <c r="H49" s="645"/>
      <c r="I49" s="644"/>
      <c r="J49" s="645"/>
      <c r="K49" s="395"/>
    </row>
    <row r="50" spans="1:11" s="46" customFormat="1" ht="11.25" hidden="1" customHeight="1">
      <c r="A50" s="1208"/>
      <c r="B50" s="53"/>
      <c r="D50" s="642" t="s">
        <v>771</v>
      </c>
      <c r="E50" s="650" t="s">
        <v>772</v>
      </c>
      <c r="F50" s="137" t="s">
        <v>753</v>
      </c>
      <c r="G50" s="644"/>
      <c r="H50" s="645"/>
      <c r="I50" s="644"/>
      <c r="J50" s="645"/>
      <c r="K50" s="395"/>
    </row>
    <row r="51" spans="1:11" s="46" customFormat="1" ht="11.25" hidden="1" customHeight="1">
      <c r="A51" s="1208"/>
      <c r="B51" s="53"/>
      <c r="D51" s="642" t="s">
        <v>773</v>
      </c>
      <c r="E51" s="650" t="s">
        <v>774</v>
      </c>
      <c r="F51" s="137" t="s">
        <v>753</v>
      </c>
      <c r="G51" s="644"/>
      <c r="H51" s="645"/>
      <c r="I51" s="644"/>
      <c r="J51" s="645"/>
      <c r="K51" s="395"/>
    </row>
    <row r="52" spans="1:11" s="46" customFormat="1" ht="45" hidden="1" customHeight="1">
      <c r="A52" s="1208"/>
      <c r="B52" s="53"/>
      <c r="D52" s="642" t="s">
        <v>107</v>
      </c>
      <c r="E52" s="652" t="s">
        <v>775</v>
      </c>
      <c r="F52" s="137" t="s">
        <v>753</v>
      </c>
      <c r="G52" s="644"/>
      <c r="H52" s="645"/>
      <c r="I52" s="644"/>
      <c r="J52" s="645"/>
      <c r="K52" s="395"/>
    </row>
    <row r="53" spans="1:11" s="46" customFormat="1" ht="11.25" hidden="1" customHeight="1">
      <c r="A53" s="1208"/>
      <c r="B53" s="53"/>
      <c r="D53" s="642" t="s">
        <v>302</v>
      </c>
      <c r="E53" s="650" t="s">
        <v>764</v>
      </c>
      <c r="F53" s="137" t="s">
        <v>753</v>
      </c>
      <c r="G53" s="644"/>
      <c r="H53" s="645"/>
      <c r="I53" s="644"/>
      <c r="J53" s="645"/>
      <c r="K53" s="395"/>
    </row>
    <row r="54" spans="1:11" s="46" customFormat="1" ht="11.25" hidden="1" customHeight="1">
      <c r="A54" s="1208"/>
      <c r="B54" s="53"/>
      <c r="D54" s="642" t="s">
        <v>304</v>
      </c>
      <c r="E54" s="650" t="s">
        <v>765</v>
      </c>
      <c r="F54" s="137" t="s">
        <v>753</v>
      </c>
      <c r="G54" s="644"/>
      <c r="H54" s="645"/>
      <c r="I54" s="644"/>
      <c r="J54" s="645"/>
      <c r="K54" s="395"/>
    </row>
    <row r="55" spans="1:11" s="46" customFormat="1" ht="11.25" hidden="1" customHeight="1">
      <c r="A55" s="1208"/>
      <c r="B55" s="53"/>
      <c r="D55" s="642" t="s">
        <v>307</v>
      </c>
      <c r="E55" s="650" t="s">
        <v>766</v>
      </c>
      <c r="F55" s="137" t="s">
        <v>753</v>
      </c>
      <c r="G55" s="644"/>
      <c r="H55" s="645"/>
      <c r="I55" s="644"/>
      <c r="J55" s="645"/>
      <c r="K55" s="395"/>
    </row>
    <row r="56" spans="1:11" s="46" customFormat="1" ht="11.25" hidden="1" customHeight="1">
      <c r="A56" s="1208"/>
      <c r="B56" s="53"/>
      <c r="D56" s="642" t="s">
        <v>776</v>
      </c>
      <c r="E56" s="653" t="s">
        <v>768</v>
      </c>
      <c r="F56" s="137" t="s">
        <v>753</v>
      </c>
      <c r="G56" s="644"/>
      <c r="H56" s="645"/>
      <c r="I56" s="644"/>
      <c r="J56" s="645"/>
      <c r="K56" s="395"/>
    </row>
    <row r="57" spans="1:11" s="46" customFormat="1" ht="11.25" hidden="1" customHeight="1">
      <c r="A57" s="1208"/>
      <c r="B57" s="53"/>
      <c r="D57" s="642" t="s">
        <v>777</v>
      </c>
      <c r="E57" s="653" t="s">
        <v>770</v>
      </c>
      <c r="F57" s="137" t="s">
        <v>753</v>
      </c>
      <c r="G57" s="644"/>
      <c r="H57" s="645"/>
      <c r="I57" s="644"/>
      <c r="J57" s="645"/>
      <c r="K57" s="395"/>
    </row>
    <row r="58" spans="1:11" s="46" customFormat="1" ht="11.25" hidden="1" customHeight="1">
      <c r="A58" s="1208"/>
      <c r="B58" s="53"/>
      <c r="D58" s="642" t="s">
        <v>309</v>
      </c>
      <c r="E58" s="650" t="s">
        <v>772</v>
      </c>
      <c r="F58" s="137" t="s">
        <v>753</v>
      </c>
      <c r="G58" s="644"/>
      <c r="H58" s="645"/>
      <c r="I58" s="644"/>
      <c r="J58" s="645"/>
      <c r="K58" s="395"/>
    </row>
    <row r="59" spans="1:11" s="46" customFormat="1" ht="11.25" hidden="1" customHeight="1">
      <c r="A59" s="1208"/>
      <c r="B59" s="53"/>
      <c r="D59" s="642" t="s">
        <v>778</v>
      </c>
      <c r="E59" s="650" t="s">
        <v>774</v>
      </c>
      <c r="F59" s="137" t="s">
        <v>753</v>
      </c>
      <c r="G59" s="644"/>
      <c r="H59" s="645"/>
      <c r="I59" s="644"/>
      <c r="J59" s="645"/>
      <c r="K59" s="395"/>
    </row>
    <row r="60" spans="1:11" s="46" customFormat="1" ht="33.75" hidden="1" customHeight="1">
      <c r="A60" s="1208"/>
      <c r="B60" s="53"/>
      <c r="D60" s="642" t="s">
        <v>88</v>
      </c>
      <c r="E60" s="652" t="s">
        <v>779</v>
      </c>
      <c r="F60" s="654" t="s">
        <v>538</v>
      </c>
      <c r="G60" s="582"/>
      <c r="H60" s="645"/>
      <c r="I60" s="582"/>
      <c r="J60" s="645"/>
      <c r="K60" s="446" t="s">
        <v>780</v>
      </c>
    </row>
    <row r="61" spans="1:11" s="46" customFormat="1" ht="33.75" hidden="1" customHeight="1">
      <c r="A61" s="1208"/>
      <c r="B61" s="53"/>
      <c r="D61" s="642" t="s">
        <v>89</v>
      </c>
      <c r="E61" s="652" t="s">
        <v>781</v>
      </c>
      <c r="F61" s="655" t="s">
        <v>714</v>
      </c>
      <c r="G61" s="644"/>
      <c r="H61" s="645"/>
      <c r="I61" s="644"/>
      <c r="J61" s="645"/>
      <c r="K61" s="395"/>
    </row>
    <row r="62" spans="1:11" s="46" customFormat="1" ht="22.5" hidden="1" customHeight="1">
      <c r="A62" s="1208"/>
      <c r="B62" s="53" t="s">
        <v>568</v>
      </c>
      <c r="D62" s="642" t="s">
        <v>108</v>
      </c>
      <c r="E62" s="652" t="s">
        <v>782</v>
      </c>
      <c r="F62" s="655" t="s">
        <v>293</v>
      </c>
      <c r="G62" s="381"/>
      <c r="H62" s="645"/>
      <c r="I62" s="381"/>
      <c r="J62" s="645"/>
      <c r="K62" s="395" t="s">
        <v>783</v>
      </c>
    </row>
    <row r="63" spans="1:11" s="46" customFormat="1" ht="45" hidden="1" customHeight="1">
      <c r="A63" s="1208"/>
      <c r="B63" s="53" t="s">
        <v>568</v>
      </c>
      <c r="D63" s="642" t="s">
        <v>784</v>
      </c>
      <c r="E63" s="650" t="s">
        <v>785</v>
      </c>
      <c r="F63" s="654" t="s">
        <v>293</v>
      </c>
      <c r="G63" s="381"/>
      <c r="H63" s="645"/>
      <c r="I63" s="381"/>
      <c r="J63" s="645"/>
      <c r="K63" s="395" t="s">
        <v>783</v>
      </c>
    </row>
    <row r="64" spans="1:11" s="46" customFormat="1" ht="11.25" customHeight="1">
      <c r="A64" s="628"/>
      <c r="B64" s="53"/>
      <c r="D64" s="318"/>
      <c r="E64" s="636"/>
    </row>
    <row r="65" spans="1:11" s="46" customFormat="1" ht="22.5" hidden="1" customHeight="1">
      <c r="A65" s="1208" t="s">
        <v>786</v>
      </c>
      <c r="B65" s="53"/>
      <c r="D65" s="642">
        <v>1</v>
      </c>
      <c r="E65" s="656" t="s">
        <v>787</v>
      </c>
      <c r="F65" s="657" t="s">
        <v>704</v>
      </c>
      <c r="G65" s="647"/>
      <c r="H65" s="658"/>
      <c r="I65" s="647"/>
      <c r="J65" s="658"/>
      <c r="K65" s="444" t="s">
        <v>788</v>
      </c>
    </row>
    <row r="66" spans="1:11" s="46" customFormat="1" ht="56.25" hidden="1" customHeight="1">
      <c r="A66" s="1208"/>
      <c r="B66" s="53"/>
      <c r="D66" s="659" t="s">
        <v>106</v>
      </c>
      <c r="E66" s="549" t="s">
        <v>789</v>
      </c>
      <c r="F66" s="137" t="s">
        <v>526</v>
      </c>
      <c r="G66" s="137" t="s">
        <v>526</v>
      </c>
      <c r="H66" s="637"/>
      <c r="I66" s="137" t="s">
        <v>526</v>
      </c>
      <c r="J66" s="637"/>
      <c r="K66" s="395"/>
    </row>
    <row r="67" spans="1:11" s="46" customFormat="1" ht="33.75" hidden="1" customHeight="1">
      <c r="A67" s="1208"/>
      <c r="B67" s="53"/>
      <c r="D67" s="659" t="s">
        <v>602</v>
      </c>
      <c r="E67" s="513" t="s">
        <v>790</v>
      </c>
      <c r="F67" s="137" t="s">
        <v>756</v>
      </c>
      <c r="G67" s="660"/>
      <c r="H67" s="637"/>
      <c r="I67" s="660"/>
      <c r="J67" s="637"/>
      <c r="K67" s="395"/>
    </row>
    <row r="68" spans="1:11" s="46" customFormat="1" ht="22.5" hidden="1" customHeight="1">
      <c r="A68" s="1208"/>
      <c r="B68" s="53"/>
      <c r="D68" s="659" t="s">
        <v>294</v>
      </c>
      <c r="E68" s="513" t="s">
        <v>791</v>
      </c>
      <c r="F68" s="137" t="s">
        <v>756</v>
      </c>
      <c r="G68" s="660"/>
      <c r="H68" s="637"/>
      <c r="I68" s="660"/>
      <c r="J68" s="637"/>
      <c r="K68" s="395"/>
    </row>
    <row r="69" spans="1:11" s="46" customFormat="1" ht="22.5" hidden="1" customHeight="1">
      <c r="A69" s="1208"/>
      <c r="B69" s="53"/>
      <c r="D69" s="659" t="s">
        <v>297</v>
      </c>
      <c r="E69" s="513" t="s">
        <v>792</v>
      </c>
      <c r="F69" s="654" t="s">
        <v>538</v>
      </c>
      <c r="G69" s="582"/>
      <c r="H69" s="637"/>
      <c r="I69" s="582"/>
      <c r="J69" s="637"/>
      <c r="K69" s="395"/>
    </row>
    <row r="70" spans="1:11" s="46" customFormat="1" ht="22.5" hidden="1" customHeight="1">
      <c r="A70" s="1208"/>
      <c r="B70" s="53"/>
      <c r="D70" s="659" t="s">
        <v>622</v>
      </c>
      <c r="E70" s="513" t="s">
        <v>793</v>
      </c>
      <c r="F70" s="654" t="s">
        <v>538</v>
      </c>
      <c r="G70" s="582"/>
      <c r="H70" s="637"/>
      <c r="I70" s="582"/>
      <c r="J70" s="637"/>
      <c r="K70" s="395"/>
    </row>
    <row r="71" spans="1:11" s="46" customFormat="1" ht="22.5" hidden="1" customHeight="1">
      <c r="A71" s="1208"/>
      <c r="B71" s="53"/>
      <c r="D71" s="642" t="s">
        <v>86</v>
      </c>
      <c r="E71" s="652" t="s">
        <v>794</v>
      </c>
      <c r="F71" s="137" t="s">
        <v>756</v>
      </c>
      <c r="G71" s="550"/>
      <c r="H71" s="641"/>
      <c r="I71" s="550"/>
      <c r="J71" s="641"/>
      <c r="K71" s="446"/>
    </row>
    <row r="72" spans="1:11" s="46" customFormat="1" ht="56.25" hidden="1" customHeight="1">
      <c r="A72" s="1208"/>
      <c r="B72" s="53"/>
      <c r="D72" s="642" t="s">
        <v>87</v>
      </c>
      <c r="E72" s="652" t="s">
        <v>795</v>
      </c>
      <c r="F72" s="654" t="s">
        <v>538</v>
      </c>
      <c r="G72" s="582"/>
      <c r="H72" s="645"/>
      <c r="I72" s="582"/>
      <c r="J72" s="645"/>
      <c r="K72" s="446"/>
    </row>
    <row r="73" spans="1:11" s="46" customFormat="1" ht="33.75" hidden="1" customHeight="1">
      <c r="A73" s="1208"/>
      <c r="B73" s="53"/>
      <c r="D73" s="642" t="s">
        <v>107</v>
      </c>
      <c r="E73" s="652" t="s">
        <v>796</v>
      </c>
      <c r="F73" s="655" t="s">
        <v>714</v>
      </c>
      <c r="G73" s="644"/>
      <c r="H73" s="645"/>
      <c r="I73" s="644"/>
      <c r="J73" s="645"/>
      <c r="K73" s="395"/>
    </row>
    <row r="74" spans="1:11" s="46" customFormat="1" ht="22.5" hidden="1" customHeight="1">
      <c r="A74" s="1208"/>
      <c r="B74" s="53" t="s">
        <v>568</v>
      </c>
      <c r="D74" s="642" t="s">
        <v>88</v>
      </c>
      <c r="E74" s="652" t="s">
        <v>797</v>
      </c>
      <c r="F74" s="655" t="s">
        <v>293</v>
      </c>
      <c r="G74" s="381"/>
      <c r="H74" s="645"/>
      <c r="I74" s="381"/>
      <c r="J74" s="645"/>
      <c r="K74" s="395" t="s">
        <v>783</v>
      </c>
    </row>
    <row r="75" spans="1:11" s="46" customFormat="1" ht="45" hidden="1" customHeight="1">
      <c r="A75" s="1208"/>
      <c r="B75" s="53" t="s">
        <v>568</v>
      </c>
      <c r="D75" s="642" t="s">
        <v>798</v>
      </c>
      <c r="E75" s="650" t="s">
        <v>799</v>
      </c>
      <c r="F75" s="654" t="s">
        <v>293</v>
      </c>
      <c r="G75" s="381"/>
      <c r="H75" s="645"/>
      <c r="I75" s="381"/>
      <c r="J75" s="645"/>
      <c r="K75" s="395" t="s">
        <v>783</v>
      </c>
    </row>
    <row r="76" spans="1:11" s="46" customFormat="1" ht="11.25" customHeight="1">
      <c r="A76" s="628"/>
      <c r="B76" s="53"/>
      <c r="D76" s="318"/>
      <c r="E76" s="636"/>
    </row>
    <row r="77" spans="1:11" s="46" customFormat="1" ht="11.25" customHeight="1">
      <c r="A77" s="1208" t="s">
        <v>800</v>
      </c>
      <c r="B77" s="53"/>
      <c r="D77" s="642">
        <v>1</v>
      </c>
      <c r="E77" s="652" t="s">
        <v>801</v>
      </c>
      <c r="F77" s="654" t="s">
        <v>704</v>
      </c>
      <c r="G77" s="661"/>
      <c r="H77" s="645"/>
      <c r="I77" s="661"/>
      <c r="J77" s="645"/>
      <c r="K77" s="395" t="s">
        <v>802</v>
      </c>
    </row>
    <row r="78" spans="1:11" s="46" customFormat="1" ht="11.25" customHeight="1">
      <c r="A78" s="1208"/>
      <c r="B78" s="53"/>
      <c r="D78" s="642" t="s">
        <v>106</v>
      </c>
      <c r="E78" s="652" t="s">
        <v>803</v>
      </c>
      <c r="F78" s="654" t="s">
        <v>704</v>
      </c>
      <c r="G78" s="661"/>
      <c r="H78" s="645"/>
      <c r="I78" s="661"/>
      <c r="J78" s="645"/>
      <c r="K78" s="395" t="s">
        <v>804</v>
      </c>
    </row>
    <row r="79" spans="1:11" s="46" customFormat="1" ht="22.5" customHeight="1">
      <c r="A79" s="1208"/>
      <c r="B79" s="53"/>
      <c r="D79" s="642" t="s">
        <v>86</v>
      </c>
      <c r="E79" s="648" t="s">
        <v>805</v>
      </c>
      <c r="F79" s="137" t="s">
        <v>753</v>
      </c>
      <c r="G79" s="661"/>
      <c r="H79" s="645"/>
      <c r="I79" s="661"/>
      <c r="J79" s="645"/>
      <c r="K79" s="395" t="s">
        <v>806</v>
      </c>
    </row>
    <row r="80" spans="1:11" s="46" customFormat="1" ht="11.25" customHeight="1">
      <c r="A80" s="1208"/>
      <c r="B80" s="53"/>
      <c r="D80" s="642" t="s">
        <v>313</v>
      </c>
      <c r="E80" s="643" t="s">
        <v>807</v>
      </c>
      <c r="F80" s="137" t="s">
        <v>753</v>
      </c>
      <c r="G80" s="661"/>
      <c r="H80" s="645"/>
      <c r="I80" s="661"/>
      <c r="J80" s="645"/>
      <c r="K80" s="395"/>
    </row>
    <row r="81" spans="1:11" s="46" customFormat="1" ht="11.25" customHeight="1">
      <c r="A81" s="1208"/>
      <c r="B81" s="53"/>
      <c r="D81" s="642" t="s">
        <v>321</v>
      </c>
      <c r="E81" s="643" t="s">
        <v>808</v>
      </c>
      <c r="F81" s="137" t="s">
        <v>753</v>
      </c>
      <c r="G81" s="661"/>
      <c r="H81" s="645"/>
      <c r="I81" s="661"/>
      <c r="J81" s="645"/>
      <c r="K81" s="395"/>
    </row>
    <row r="82" spans="1:11" s="46" customFormat="1" ht="11.25" customHeight="1">
      <c r="A82" s="1208"/>
      <c r="B82" s="53"/>
      <c r="D82" s="642" t="s">
        <v>323</v>
      </c>
      <c r="E82" s="643" t="s">
        <v>809</v>
      </c>
      <c r="F82" s="137" t="s">
        <v>753</v>
      </c>
      <c r="G82" s="661"/>
      <c r="H82" s="645"/>
      <c r="I82" s="661"/>
      <c r="J82" s="645"/>
      <c r="K82" s="395"/>
    </row>
    <row r="83" spans="1:11" s="46" customFormat="1" ht="11.25" customHeight="1">
      <c r="A83" s="1208"/>
      <c r="B83" s="53"/>
      <c r="D83" s="642" t="s">
        <v>325</v>
      </c>
      <c r="E83" s="643" t="s">
        <v>810</v>
      </c>
      <c r="F83" s="137" t="s">
        <v>753</v>
      </c>
      <c r="G83" s="661"/>
      <c r="H83" s="645"/>
      <c r="I83" s="661"/>
      <c r="J83" s="645"/>
      <c r="K83" s="395"/>
    </row>
    <row r="84" spans="1:11" s="46" customFormat="1" ht="11.25" customHeight="1">
      <c r="A84" s="1208"/>
      <c r="B84" s="53"/>
      <c r="D84" s="642" t="s">
        <v>811</v>
      </c>
      <c r="E84" s="643" t="s">
        <v>812</v>
      </c>
      <c r="F84" s="137" t="s">
        <v>753</v>
      </c>
      <c r="G84" s="661"/>
      <c r="H84" s="645"/>
      <c r="I84" s="661"/>
      <c r="J84" s="645"/>
      <c r="K84" s="395"/>
    </row>
    <row r="85" spans="1:11" s="46" customFormat="1" ht="11.25" customHeight="1">
      <c r="A85" s="1208"/>
      <c r="B85" s="53"/>
      <c r="D85" s="642" t="s">
        <v>813</v>
      </c>
      <c r="E85" s="643" t="s">
        <v>814</v>
      </c>
      <c r="F85" s="137" t="s">
        <v>753</v>
      </c>
      <c r="G85" s="661"/>
      <c r="H85" s="645"/>
      <c r="I85" s="661"/>
      <c r="J85" s="645"/>
      <c r="K85" s="395"/>
    </row>
    <row r="86" spans="1:11" s="46" customFormat="1" ht="11.25" customHeight="1">
      <c r="A86" s="1208"/>
      <c r="B86" s="53"/>
      <c r="D86" s="642" t="s">
        <v>815</v>
      </c>
      <c r="E86" s="643" t="s">
        <v>816</v>
      </c>
      <c r="F86" s="137" t="s">
        <v>753</v>
      </c>
      <c r="G86" s="661"/>
      <c r="H86" s="645"/>
      <c r="I86" s="661"/>
      <c r="J86" s="645"/>
      <c r="K86" s="395"/>
    </row>
    <row r="87" spans="1:11" s="46" customFormat="1" ht="45" customHeight="1">
      <c r="A87" s="1208"/>
      <c r="B87" s="53"/>
      <c r="D87" s="642" t="s">
        <v>87</v>
      </c>
      <c r="E87" s="652" t="s">
        <v>817</v>
      </c>
      <c r="F87" s="137" t="s">
        <v>753</v>
      </c>
      <c r="G87" s="661"/>
      <c r="H87" s="645"/>
      <c r="I87" s="661"/>
      <c r="J87" s="645"/>
      <c r="K87" s="395" t="s">
        <v>818</v>
      </c>
    </row>
    <row r="88" spans="1:11" s="46" customFormat="1" ht="11.25" customHeight="1">
      <c r="A88" s="1208"/>
      <c r="B88" s="53"/>
      <c r="D88" s="642" t="s">
        <v>647</v>
      </c>
      <c r="E88" s="643" t="s">
        <v>807</v>
      </c>
      <c r="F88" s="137" t="s">
        <v>753</v>
      </c>
      <c r="G88" s="661"/>
      <c r="H88" s="645"/>
      <c r="I88" s="661"/>
      <c r="J88" s="645"/>
      <c r="K88" s="395"/>
    </row>
    <row r="89" spans="1:11" s="46" customFormat="1" ht="11.25" customHeight="1">
      <c r="A89" s="1208"/>
      <c r="B89" s="53"/>
      <c r="D89" s="642" t="s">
        <v>690</v>
      </c>
      <c r="E89" s="643" t="s">
        <v>808</v>
      </c>
      <c r="F89" s="137" t="s">
        <v>753</v>
      </c>
      <c r="G89" s="661"/>
      <c r="H89" s="645"/>
      <c r="I89" s="661"/>
      <c r="J89" s="645"/>
      <c r="K89" s="395"/>
    </row>
    <row r="90" spans="1:11" s="46" customFormat="1" ht="11.25" customHeight="1">
      <c r="A90" s="1208"/>
      <c r="B90" s="53"/>
      <c r="D90" s="642" t="s">
        <v>693</v>
      </c>
      <c r="E90" s="643" t="s">
        <v>809</v>
      </c>
      <c r="F90" s="137" t="s">
        <v>753</v>
      </c>
      <c r="G90" s="661"/>
      <c r="H90" s="645"/>
      <c r="I90" s="661"/>
      <c r="J90" s="645"/>
      <c r="K90" s="395"/>
    </row>
    <row r="91" spans="1:11" s="46" customFormat="1" ht="11.25" customHeight="1">
      <c r="A91" s="1208"/>
      <c r="B91" s="53"/>
      <c r="D91" s="642" t="s">
        <v>771</v>
      </c>
      <c r="E91" s="643" t="s">
        <v>810</v>
      </c>
      <c r="F91" s="137" t="s">
        <v>753</v>
      </c>
      <c r="G91" s="661"/>
      <c r="H91" s="645"/>
      <c r="I91" s="661"/>
      <c r="J91" s="645"/>
      <c r="K91" s="395"/>
    </row>
    <row r="92" spans="1:11" s="46" customFormat="1" ht="11.25" customHeight="1">
      <c r="A92" s="1208"/>
      <c r="B92" s="53"/>
      <c r="D92" s="642" t="s">
        <v>773</v>
      </c>
      <c r="E92" s="643" t="s">
        <v>812</v>
      </c>
      <c r="F92" s="137" t="s">
        <v>753</v>
      </c>
      <c r="G92" s="661"/>
      <c r="H92" s="645"/>
      <c r="I92" s="661"/>
      <c r="J92" s="645"/>
      <c r="K92" s="395"/>
    </row>
    <row r="93" spans="1:11" s="46" customFormat="1" ht="11.25" customHeight="1">
      <c r="A93" s="1208"/>
      <c r="B93" s="53"/>
      <c r="D93" s="642" t="s">
        <v>819</v>
      </c>
      <c r="E93" s="643" t="s">
        <v>814</v>
      </c>
      <c r="F93" s="137" t="s">
        <v>753</v>
      </c>
      <c r="G93" s="661"/>
      <c r="H93" s="645"/>
      <c r="I93" s="661"/>
      <c r="J93" s="645"/>
      <c r="K93" s="395"/>
    </row>
    <row r="94" spans="1:11" s="46" customFormat="1" ht="11.25" customHeight="1">
      <c r="A94" s="1208"/>
      <c r="B94" s="53"/>
      <c r="D94" s="642" t="s">
        <v>820</v>
      </c>
      <c r="E94" s="643" t="s">
        <v>816</v>
      </c>
      <c r="F94" s="137" t="s">
        <v>753</v>
      </c>
      <c r="G94" s="661"/>
      <c r="H94" s="645"/>
      <c r="I94" s="661"/>
      <c r="J94" s="645"/>
      <c r="K94" s="395"/>
    </row>
    <row r="95" spans="1:11" s="46" customFormat="1" ht="24.75" customHeight="1">
      <c r="A95" s="1208"/>
      <c r="B95" s="53"/>
      <c r="D95" s="642" t="s">
        <v>107</v>
      </c>
      <c r="E95" s="652" t="s">
        <v>821</v>
      </c>
      <c r="F95" s="662" t="s">
        <v>538</v>
      </c>
      <c r="G95" s="660"/>
      <c r="H95" s="645"/>
      <c r="I95" s="660"/>
      <c r="J95" s="645"/>
      <c r="K95" s="395" t="s">
        <v>822</v>
      </c>
    </row>
    <row r="96" spans="1:11" s="46" customFormat="1" ht="33.75" customHeight="1">
      <c r="A96" s="1208"/>
      <c r="B96" s="53"/>
      <c r="D96" s="642" t="s">
        <v>88</v>
      </c>
      <c r="E96" s="652" t="s">
        <v>823</v>
      </c>
      <c r="F96" s="655" t="s">
        <v>714</v>
      </c>
      <c r="G96" s="663"/>
      <c r="H96" s="645"/>
      <c r="I96" s="663"/>
      <c r="J96" s="645"/>
      <c r="K96" s="395"/>
    </row>
    <row r="97" spans="1:11" s="46" customFormat="1" ht="22.5" customHeight="1">
      <c r="A97" s="1208"/>
      <c r="B97" s="53" t="s">
        <v>568</v>
      </c>
      <c r="D97" s="642" t="s">
        <v>89</v>
      </c>
      <c r="E97" s="652" t="s">
        <v>824</v>
      </c>
      <c r="F97" s="655" t="s">
        <v>293</v>
      </c>
      <c r="G97" s="664"/>
      <c r="H97" s="645"/>
      <c r="I97" s="664"/>
      <c r="J97" s="645"/>
      <c r="K97" s="395" t="s">
        <v>783</v>
      </c>
    </row>
    <row r="98" spans="1:11" s="46" customFormat="1" ht="45" customHeight="1">
      <c r="A98" s="1208"/>
      <c r="B98" s="53" t="s">
        <v>568</v>
      </c>
      <c r="D98" s="642" t="s">
        <v>825</v>
      </c>
      <c r="E98" s="650" t="s">
        <v>826</v>
      </c>
      <c r="F98" s="654" t="s">
        <v>293</v>
      </c>
      <c r="G98" s="664"/>
      <c r="H98" s="645"/>
      <c r="I98" s="664"/>
      <c r="J98" s="645"/>
      <c r="K98" s="395" t="s">
        <v>783</v>
      </c>
    </row>
    <row r="99" spans="1:11" s="46" customFormat="1" ht="95.25" customHeight="1">
      <c r="A99" s="1208"/>
      <c r="B99" s="53" t="s">
        <v>568</v>
      </c>
      <c r="D99" s="642" t="s">
        <v>108</v>
      </c>
      <c r="E99" s="652" t="s">
        <v>827</v>
      </c>
      <c r="F99" s="654" t="s">
        <v>293</v>
      </c>
      <c r="G99" s="664"/>
      <c r="H99" s="645"/>
      <c r="I99" s="664"/>
      <c r="J99" s="645"/>
      <c r="K99" s="395" t="s">
        <v>783</v>
      </c>
    </row>
    <row r="100" spans="1:11" s="46" customFormat="1" ht="22.5" customHeight="1">
      <c r="A100" s="1208"/>
      <c r="B100" s="53" t="s">
        <v>568</v>
      </c>
      <c r="D100" s="642" t="s">
        <v>144</v>
      </c>
      <c r="E100" s="652" t="s">
        <v>828</v>
      </c>
      <c r="F100" s="654" t="s">
        <v>293</v>
      </c>
      <c r="G100" s="664"/>
      <c r="H100" s="645"/>
      <c r="I100" s="664"/>
      <c r="J100" s="645"/>
      <c r="K100" s="395" t="s">
        <v>783</v>
      </c>
    </row>
    <row r="101" spans="1:11" s="46" customFormat="1" ht="11.25" customHeight="1">
      <c r="A101" s="628"/>
      <c r="B101" s="53"/>
      <c r="D101" s="318"/>
      <c r="E101" s="636"/>
    </row>
  </sheetData>
  <mergeCells count="18">
    <mergeCell ref="A11:B11"/>
    <mergeCell ref="A13:A35"/>
    <mergeCell ref="A37:A63"/>
    <mergeCell ref="A65:A75"/>
    <mergeCell ref="A77:A100"/>
    <mergeCell ref="K7:K11"/>
    <mergeCell ref="E8:F8"/>
    <mergeCell ref="G8:H8"/>
    <mergeCell ref="I8:J8"/>
    <mergeCell ref="E9:F9"/>
    <mergeCell ref="G9:H9"/>
    <mergeCell ref="I9:J9"/>
    <mergeCell ref="D10:J10"/>
    <mergeCell ref="D3:F3"/>
    <mergeCell ref="D4:F4"/>
    <mergeCell ref="E7:F7"/>
    <mergeCell ref="G7:H7"/>
    <mergeCell ref="I7:J7"/>
  </mergeCells>
  <dataValidations count="6">
    <dataValidation type="textLength" operator="lessThanOrEqual" allowBlank="1" showInputMessage="1" showErrorMessage="1" errorTitle="Ошибка" error="Допускается ввод не более 900 символов!" sqref="H15:H18 J15:J18 H21:H22 J21:J22 H24 J24 H26:H27 J26:J27 H29:H30 J29:J30">
      <formula1>900</formula1>
      <formula2>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3:H14 J13:J14 H19 J19 H31:H32 J31:J32 G62:G63 I62:I63 G74:G75 I74:I75 G97:G100 I97:I100">
      <formula1>900</formula1>
      <formula2>0</formula2>
    </dataValidation>
    <dataValidation type="decimal" allowBlank="1" showErrorMessage="1" errorTitle="Ошибка" error="Допускается ввод только неотрицательных чисел!" sqref="G13:G14 I13:I14 G18 I18 G26:G27 I26:I27 G29:G30 I29:I30 G32 I32 G37 I37 G39:G40 I39:I40 G44:G59 I44:I59 G61 I61 G65 I65 G67:G68 I67:I68 G71 I71 G73 I73 G77:G94 I77:I94 G96 I96">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Введите значение от 0 до 100%" sqref="G31 I31 G42:G43 I42:I43 G60 I60 G69:G70 I69:I70 G72 I72 G95 I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formula2>0</formula2>
    </dataValidation>
  </dataValidations>
  <pageMargins left="0.7" right="0.7" top="0.625" bottom="0.62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zoomScaleNormal="90" workbookViewId="0"/>
  </sheetViews>
  <sheetFormatPr defaultColWidth="10.5703125" defaultRowHeight="15"/>
  <cols>
    <col min="1" max="1" width="9.140625" style="52" hidden="1" customWidth="1"/>
    <col min="2" max="2" width="9.140625" style="46" hidden="1" customWidth="1"/>
    <col min="3" max="3" width="4.7109375" style="140" customWidth="1"/>
    <col min="4" max="4" width="6.28515625" style="46" customWidth="1"/>
    <col min="5" max="5" width="36.7109375" style="46" customWidth="1"/>
    <col min="6" max="6" width="9.5703125" style="46" customWidth="1"/>
    <col min="7" max="7" width="25.7109375" style="46" hidden="1" customWidth="1"/>
    <col min="8" max="8" width="33.7109375" style="46" hidden="1" customWidth="1"/>
    <col min="9" max="9" width="25.7109375" style="46" customWidth="1"/>
    <col min="10" max="10" width="33.7109375" style="46" customWidth="1"/>
    <col min="11" max="11" width="93.42578125" style="49" customWidth="1"/>
    <col min="12" max="20" width="10.5703125" style="46"/>
    <col min="21" max="21" width="10.5703125" style="108"/>
  </cols>
  <sheetData>
    <row r="1" spans="1:21" s="49" customFormat="1" ht="15" hidden="1" customHeight="1">
      <c r="C1" s="107"/>
      <c r="G1" s="49">
        <v>4</v>
      </c>
      <c r="I1" s="49">
        <v>4</v>
      </c>
      <c r="U1" s="157"/>
    </row>
    <row r="2" spans="1:21" s="49" customFormat="1" ht="15" hidden="1" customHeight="1">
      <c r="C2" s="107"/>
      <c r="U2" s="157"/>
    </row>
    <row r="3" spans="1:21" ht="22.5" hidden="1" customHeight="1">
      <c r="A3" s="46"/>
      <c r="B3" s="1209"/>
      <c r="C3" s="1210"/>
      <c r="D3" s="666" t="str">
        <f>B3&amp;".1"</f>
        <v>.1</v>
      </c>
      <c r="E3" s="301" t="s">
        <v>829</v>
      </c>
      <c r="F3" s="458" t="s">
        <v>293</v>
      </c>
      <c r="G3" s="635"/>
      <c r="H3" s="577"/>
      <c r="I3" s="635"/>
      <c r="J3" s="577"/>
      <c r="K3" s="395" t="s">
        <v>830</v>
      </c>
    </row>
    <row r="4" spans="1:21" ht="15" hidden="1" customHeight="1">
      <c r="A4" s="46"/>
      <c r="B4" s="1209"/>
      <c r="C4" s="1210"/>
      <c r="D4" s="666" t="str">
        <f>B3&amp;".2"</f>
        <v>.2</v>
      </c>
      <c r="E4" s="301" t="s">
        <v>831</v>
      </c>
      <c r="F4" s="458" t="s">
        <v>293</v>
      </c>
      <c r="G4" s="667"/>
      <c r="H4" s="577"/>
      <c r="I4" s="667"/>
      <c r="J4" s="577"/>
      <c r="K4" s="395" t="s">
        <v>832</v>
      </c>
    </row>
    <row r="5" spans="1:21" s="49" customFormat="1" ht="15" hidden="1" customHeight="1">
      <c r="C5" s="107"/>
      <c r="U5" s="157"/>
    </row>
    <row r="6" spans="1:21" ht="22.5" hidden="1" customHeight="1">
      <c r="A6" s="46"/>
      <c r="B6" s="1209"/>
      <c r="C6" s="1210"/>
      <c r="D6" s="666" t="str">
        <f>B6&amp;".1"</f>
        <v>.1</v>
      </c>
      <c r="E6" s="301" t="s">
        <v>833</v>
      </c>
      <c r="F6" s="458" t="s">
        <v>293</v>
      </c>
      <c r="G6" s="635"/>
      <c r="H6" s="577"/>
      <c r="I6" s="635"/>
      <c r="J6" s="577"/>
      <c r="K6" s="395" t="s">
        <v>834</v>
      </c>
    </row>
    <row r="7" spans="1:21" ht="15" hidden="1" customHeight="1">
      <c r="A7" s="46"/>
      <c r="B7" s="1209"/>
      <c r="C7" s="1210"/>
      <c r="D7" s="666" t="str">
        <f>B6&amp;".2"</f>
        <v>.2</v>
      </c>
      <c r="E7" s="301" t="s">
        <v>831</v>
      </c>
      <c r="F7" s="458" t="s">
        <v>293</v>
      </c>
      <c r="G7" s="667"/>
      <c r="H7" s="577"/>
      <c r="I7" s="667"/>
      <c r="J7" s="577"/>
      <c r="K7" s="395" t="s">
        <v>832</v>
      </c>
    </row>
    <row r="8" spans="1:21" s="49" customFormat="1" ht="15" hidden="1" customHeight="1">
      <c r="C8" s="107"/>
      <c r="U8" s="157"/>
    </row>
    <row r="9" spans="1:21" ht="22.5" hidden="1" customHeight="1">
      <c r="A9" s="46"/>
      <c r="B9" s="1209"/>
      <c r="C9" s="1210"/>
      <c r="D9" s="666" t="str">
        <f>B9&amp;".1"</f>
        <v>.1</v>
      </c>
      <c r="E9" s="301" t="s">
        <v>835</v>
      </c>
      <c r="F9" s="458" t="s">
        <v>293</v>
      </c>
      <c r="G9" s="304"/>
      <c r="H9" s="577"/>
      <c r="I9" s="304"/>
      <c r="J9" s="577"/>
      <c r="K9" s="395"/>
    </row>
    <row r="10" spans="1:21" ht="15" hidden="1" customHeight="1">
      <c r="A10" s="46"/>
      <c r="B10" s="1209"/>
      <c r="C10" s="1210"/>
      <c r="D10" s="666" t="str">
        <f>B9&amp;".2"</f>
        <v>.2</v>
      </c>
      <c r="E10" s="301" t="s">
        <v>836</v>
      </c>
      <c r="F10" s="458" t="s">
        <v>293</v>
      </c>
      <c r="G10" s="81"/>
      <c r="H10" s="577"/>
      <c r="I10" s="81"/>
      <c r="J10" s="577"/>
      <c r="K10" s="395" t="s">
        <v>837</v>
      </c>
    </row>
    <row r="11" spans="1:21" ht="15" hidden="1" customHeight="1">
      <c r="A11" s="46"/>
      <c r="B11" s="1209"/>
      <c r="C11" s="1210"/>
      <c r="D11" s="666" t="str">
        <f>B9&amp;".3"</f>
        <v>.3</v>
      </c>
      <c r="E11" s="301" t="s">
        <v>838</v>
      </c>
      <c r="F11" s="458" t="s">
        <v>293</v>
      </c>
      <c r="G11" s="81"/>
      <c r="H11" s="577"/>
      <c r="I11" s="81"/>
      <c r="J11" s="577"/>
      <c r="K11" s="395" t="s">
        <v>839</v>
      </c>
    </row>
    <row r="12" spans="1:21" s="49" customFormat="1" ht="15" hidden="1" customHeight="1">
      <c r="C12" s="107"/>
      <c r="U12" s="157"/>
    </row>
    <row r="13" spans="1:21" ht="33.75" hidden="1" customHeight="1">
      <c r="A13" s="46"/>
      <c r="B13" s="1209"/>
      <c r="C13" s="1210"/>
      <c r="D13" s="666" t="str">
        <f>B13&amp;".1"</f>
        <v>.1</v>
      </c>
      <c r="E13" s="301" t="s">
        <v>840</v>
      </c>
      <c r="F13" s="458" t="s">
        <v>293</v>
      </c>
      <c r="G13" s="304"/>
      <c r="H13" s="577"/>
      <c r="I13" s="304"/>
      <c r="J13" s="577"/>
      <c r="K13" s="395" t="s">
        <v>841</v>
      </c>
    </row>
    <row r="14" spans="1:21" ht="15" hidden="1" customHeight="1">
      <c r="B14" s="1209"/>
      <c r="C14" s="1210"/>
      <c r="D14" s="666" t="str">
        <f>B13&amp;".2"</f>
        <v>.2</v>
      </c>
      <c r="E14" s="301" t="s">
        <v>842</v>
      </c>
      <c r="F14" s="458" t="s">
        <v>293</v>
      </c>
      <c r="G14" s="81"/>
      <c r="H14" s="577"/>
      <c r="I14" s="81"/>
      <c r="J14" s="577"/>
      <c r="K14" s="395" t="s">
        <v>843</v>
      </c>
    </row>
    <row r="15" spans="1:21" s="49" customFormat="1" ht="15" hidden="1" customHeight="1">
      <c r="C15" s="107"/>
      <c r="U15" s="157"/>
    </row>
    <row r="16" spans="1:21" s="49" customFormat="1" ht="15" hidden="1" customHeight="1">
      <c r="C16" s="107"/>
      <c r="U16" s="157"/>
    </row>
    <row r="17" spans="1:21" s="49" customFormat="1" ht="15" hidden="1" customHeight="1">
      <c r="C17" s="107"/>
      <c r="U17" s="157"/>
    </row>
    <row r="18" spans="1:21" s="49" customFormat="1" ht="15" hidden="1" customHeight="1">
      <c r="C18" s="107"/>
      <c r="U18" s="157"/>
    </row>
    <row r="19" spans="1:21" s="49" customFormat="1" ht="15" hidden="1" customHeight="1">
      <c r="C19" s="107"/>
      <c r="U19" s="157"/>
    </row>
    <row r="20" spans="1:21" s="49" customFormat="1" ht="15" hidden="1" customHeight="1">
      <c r="C20" s="107"/>
      <c r="U20" s="157"/>
    </row>
    <row r="22" spans="1:21" ht="22.5" customHeight="1">
      <c r="D22" s="11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106"/>
      <c r="F22" s="1106"/>
      <c r="G22" s="1106"/>
      <c r="H22" s="1106"/>
      <c r="I22" s="1106"/>
      <c r="J22" s="254"/>
    </row>
    <row r="23" spans="1:21" ht="15" customHeight="1">
      <c r="D23" s="1127" t="str">
        <f>IF(org=0,"Не определено",org)</f>
        <v>Филиал ПАО "ОГК-2" - Серовская ГРЭС, г. Серов</v>
      </c>
      <c r="E23" s="1127"/>
      <c r="F23" s="1127"/>
      <c r="G23" s="1127"/>
      <c r="H23" s="1127"/>
      <c r="I23" s="1127"/>
      <c r="J23" s="254"/>
    </row>
    <row r="24" spans="1:21" ht="15" customHeight="1">
      <c r="G24" s="49">
        <v>22</v>
      </c>
      <c r="H24" s="272"/>
      <c r="I24" s="49">
        <v>22</v>
      </c>
      <c r="J24" s="272"/>
    </row>
    <row r="25" spans="1:21" s="46" customFormat="1" ht="0.75" customHeight="1">
      <c r="A25" s="52"/>
      <c r="C25" s="140"/>
      <c r="G25" s="49"/>
      <c r="H25" s="272"/>
      <c r="I25" s="49" t="s">
        <v>113</v>
      </c>
      <c r="J25" s="272"/>
      <c r="K25" s="49"/>
      <c r="U25" s="108"/>
    </row>
    <row r="26" spans="1:21" ht="15" customHeight="1">
      <c r="D26" s="545"/>
      <c r="E26" s="1197" t="s">
        <v>101</v>
      </c>
      <c r="F26" s="1197"/>
      <c r="G26" s="1211" t="str">
        <f>IF(G25="","",INDEX(DIFFERENTIATION_UNMERGE_VD,MATCH(G25,DIFFERENTIATION_ID_DIFF,0)))</f>
        <v/>
      </c>
      <c r="H26" s="1211"/>
      <c r="I26" s="1211">
        <f>IF(I25="","",INDEX(DIFFERENTIATION_UNMERGE_VD,MATCH(I25,DIFFERENTIATION_ID_DIFF,0)))</f>
        <v>0</v>
      </c>
      <c r="J26" s="1211"/>
      <c r="K26" s="1087" t="s">
        <v>288</v>
      </c>
    </row>
    <row r="27" spans="1:21" s="46" customFormat="1" ht="15" customHeight="1">
      <c r="A27" s="52"/>
      <c r="C27" s="140"/>
      <c r="D27" s="545"/>
      <c r="E27" s="1197" t="s">
        <v>544</v>
      </c>
      <c r="F27" s="1197"/>
      <c r="G27" s="1211" t="str">
        <f>IF(G25="","",INDEX(DIFFERENTIATION_UNMERGE_AREA,MATCH(G25,DIFFERENTIATION_ID_DIFF,0)))</f>
        <v/>
      </c>
      <c r="H27" s="1211"/>
      <c r="I27" s="1211" t="str">
        <f>IF(I25="","",INDEX(DIFFERENTIATION_UNMERGE_AREA,MATCH(I25,DIFFERENTIATION_ID_DIFF,0)))</f>
        <v/>
      </c>
      <c r="J27" s="1211"/>
      <c r="K27" s="1087"/>
      <c r="U27" s="108"/>
    </row>
    <row r="28" spans="1:21" s="46" customFormat="1" ht="15" customHeight="1">
      <c r="A28" s="52"/>
      <c r="C28" s="140"/>
      <c r="D28" s="545"/>
      <c r="E28" s="1197" t="s">
        <v>545</v>
      </c>
      <c r="F28" s="1197"/>
      <c r="G28" s="1211" t="str">
        <f>IF(G25="","",INDEX(DIFFERENTIATION_UNMERGE_SYSTEM,MATCH(G25,DIFFERENTIATION_ID_DIFF,0)))</f>
        <v/>
      </c>
      <c r="H28" s="1211"/>
      <c r="I28" s="1211" t="str">
        <f>IF(I25="","",INDEX(DIFFERENTIATION_UNMERGE_SYSTEM,MATCH(I25,DIFFERENTIATION_ID_DIFF,0)))</f>
        <v>без дифференциации</v>
      </c>
      <c r="J28" s="1211"/>
      <c r="K28" s="1087"/>
      <c r="U28" s="108"/>
    </row>
    <row r="29" spans="1:21" s="46" customFormat="1" ht="15" customHeight="1">
      <c r="A29" s="52"/>
      <c r="C29" s="140"/>
      <c r="D29" s="1198" t="s">
        <v>287</v>
      </c>
      <c r="E29" s="1198"/>
      <c r="F29" s="1198"/>
      <c r="G29" s="548"/>
      <c r="H29" s="548"/>
      <c r="I29" s="548"/>
      <c r="J29" s="546"/>
      <c r="K29" s="1087"/>
      <c r="U29" s="108"/>
    </row>
    <row r="30" spans="1:21" ht="33.75" customHeight="1">
      <c r="D30" s="148" t="s">
        <v>84</v>
      </c>
      <c r="E30" s="136" t="s">
        <v>289</v>
      </c>
      <c r="F30" s="148" t="s">
        <v>546</v>
      </c>
      <c r="G30" s="245" t="s">
        <v>290</v>
      </c>
      <c r="H30" s="148" t="s">
        <v>379</v>
      </c>
      <c r="I30" s="245" t="s">
        <v>290</v>
      </c>
      <c r="J30" s="148" t="s">
        <v>379</v>
      </c>
      <c r="K30" s="1087"/>
    </row>
    <row r="31" spans="1:21" ht="15" hidden="1" customHeight="1">
      <c r="D31" s="182"/>
      <c r="E31" s="182"/>
      <c r="F31" s="182"/>
      <c r="G31" s="140"/>
      <c r="H31" s="140"/>
      <c r="I31" s="140"/>
      <c r="J31" s="140"/>
      <c r="K31" s="395"/>
    </row>
    <row r="32" spans="1:21" ht="22.5" customHeight="1">
      <c r="A32" s="46"/>
      <c r="B32" s="46" t="s">
        <v>844</v>
      </c>
      <c r="C32" s="120"/>
      <c r="D32" s="668">
        <v>1</v>
      </c>
      <c r="E32" s="627" t="s">
        <v>845</v>
      </c>
      <c r="F32" s="458" t="s">
        <v>293</v>
      </c>
      <c r="G32" s="458" t="s">
        <v>293</v>
      </c>
      <c r="H32" s="458" t="s">
        <v>293</v>
      </c>
      <c r="I32" s="458" t="s">
        <v>293</v>
      </c>
      <c r="J32" s="458" t="s">
        <v>293</v>
      </c>
      <c r="K32" s="395"/>
    </row>
    <row r="33" spans="1:21" ht="11.25" customHeight="1">
      <c r="A33" s="46"/>
      <c r="C33" s="46"/>
      <c r="D33" s="669"/>
      <c r="E33" s="163" t="s">
        <v>566</v>
      </c>
      <c r="F33" s="562"/>
      <c r="G33" s="562"/>
      <c r="H33" s="562"/>
      <c r="I33" s="562"/>
      <c r="J33" s="562"/>
      <c r="K33" s="563"/>
      <c r="U33" s="46"/>
    </row>
    <row r="34" spans="1:21" ht="22.5" customHeight="1">
      <c r="A34" s="46"/>
      <c r="B34" s="254" t="s">
        <v>846</v>
      </c>
      <c r="C34" s="120"/>
      <c r="D34" s="668">
        <v>2</v>
      </c>
      <c r="E34" s="627" t="s">
        <v>847</v>
      </c>
      <c r="F34" s="458" t="s">
        <v>293</v>
      </c>
      <c r="G34" s="458" t="s">
        <v>293</v>
      </c>
      <c r="H34" s="458" t="s">
        <v>293</v>
      </c>
      <c r="I34" s="458"/>
      <c r="J34" s="458"/>
      <c r="K34" s="395"/>
    </row>
    <row r="35" spans="1:21" ht="11.25" customHeight="1">
      <c r="A35" s="46"/>
      <c r="C35" s="46"/>
      <c r="D35" s="669"/>
      <c r="E35" s="163" t="s">
        <v>848</v>
      </c>
      <c r="F35" s="562"/>
      <c r="G35" s="670"/>
      <c r="H35" s="562"/>
      <c r="I35" s="670"/>
      <c r="J35" s="562"/>
      <c r="K35" s="563"/>
      <c r="U35" s="46"/>
    </row>
    <row r="36" spans="1:21" ht="67.5" customHeight="1">
      <c r="A36" s="46"/>
      <c r="B36" s="46" t="s">
        <v>849</v>
      </c>
      <c r="C36" s="120"/>
      <c r="D36" s="668">
        <v>3</v>
      </c>
      <c r="E36" s="627" t="s">
        <v>850</v>
      </c>
      <c r="F36" s="671" t="s">
        <v>293</v>
      </c>
      <c r="G36" s="191" t="s">
        <v>851</v>
      </c>
      <c r="H36" s="458" t="s">
        <v>293</v>
      </c>
      <c r="I36" s="191" t="s">
        <v>851</v>
      </c>
      <c r="J36" s="458" t="s">
        <v>293</v>
      </c>
      <c r="K36" s="533" t="s">
        <v>852</v>
      </c>
    </row>
    <row r="37" spans="1:21" ht="11.25" customHeight="1">
      <c r="A37" s="46"/>
      <c r="C37" s="46"/>
      <c r="D37" s="669"/>
      <c r="E37" s="163" t="s">
        <v>853</v>
      </c>
      <c r="F37" s="562"/>
      <c r="G37" s="670"/>
      <c r="H37" s="670"/>
      <c r="I37" s="670"/>
      <c r="J37" s="670"/>
      <c r="K37" s="563"/>
      <c r="U37" s="46"/>
    </row>
    <row r="38" spans="1:21" ht="67.5" customHeight="1">
      <c r="A38" s="46"/>
      <c r="B38" s="46" t="s">
        <v>854</v>
      </c>
      <c r="C38" s="120"/>
      <c r="D38" s="668">
        <v>4</v>
      </c>
      <c r="E38" s="627" t="s">
        <v>855</v>
      </c>
      <c r="F38" s="671" t="s">
        <v>293</v>
      </c>
      <c r="G38" s="191" t="s">
        <v>851</v>
      </c>
      <c r="H38" s="148" t="s">
        <v>293</v>
      </c>
      <c r="I38" s="191" t="s">
        <v>851</v>
      </c>
      <c r="J38" s="148" t="s">
        <v>293</v>
      </c>
      <c r="K38" s="672" t="s">
        <v>856</v>
      </c>
    </row>
    <row r="39" spans="1:21" ht="11.25" customHeight="1">
      <c r="A39" s="46"/>
      <c r="C39" s="46"/>
      <c r="D39" s="669"/>
      <c r="E39" s="163" t="s">
        <v>857</v>
      </c>
      <c r="F39" s="562"/>
      <c r="G39" s="562"/>
      <c r="H39" s="673"/>
      <c r="I39" s="562"/>
      <c r="J39" s="673"/>
      <c r="K39" s="563"/>
      <c r="U39" s="46"/>
    </row>
  </sheetData>
  <mergeCells count="21">
    <mergeCell ref="K26:K30"/>
    <mergeCell ref="E27:F27"/>
    <mergeCell ref="G27:H27"/>
    <mergeCell ref="I27:J27"/>
    <mergeCell ref="E28:F28"/>
    <mergeCell ref="G28:H28"/>
    <mergeCell ref="I28:J28"/>
    <mergeCell ref="D29:F29"/>
    <mergeCell ref="B13:B14"/>
    <mergeCell ref="C13:C14"/>
    <mergeCell ref="D22:I22"/>
    <mergeCell ref="D23:I23"/>
    <mergeCell ref="E26:F26"/>
    <mergeCell ref="G26:H26"/>
    <mergeCell ref="I26:J26"/>
    <mergeCell ref="B3:B4"/>
    <mergeCell ref="C3:C4"/>
    <mergeCell ref="B6:B7"/>
    <mergeCell ref="C6:C7"/>
    <mergeCell ref="B9:B11"/>
    <mergeCell ref="C9:C11"/>
  </mergeCells>
  <dataValidations count="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4 I4 G7 I7 G10:G11 I10:I11 G14 I14">
      <formula1>0</formula1>
      <formula2>0</formula2>
    </dataValidation>
    <dataValidation type="textLength" operator="lessThanOrEqual" allowBlank="1" showInputMessage="1" showErrorMessage="1" errorTitle="Ошибка" error="Допускается ввод не более 900 символов!" sqref="G3 I3 G6 I6 G9 I9 G13 I13">
      <formula1>900</formula1>
      <formula2>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H4 J3:J4 H6:H7 J6:J7 H9:H11 J9:J11 H13:H14 J13:J14">
      <formula1>900</formula1>
      <formula2>0</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formula1>0</formula1>
      <formula2>0</formula2>
    </dataValidation>
    <dataValidation allowBlank="1" showInputMessage="1" showErrorMessage="1" prompt="Для выбора выполните двойной щелчок левой клавиши мыши по ячейке." sqref="G36 I36 G38 I38">
      <formula1>0</formula1>
      <formula2>0</formula2>
    </dataValidation>
  </dataValidations>
  <pageMargins left="0.7" right="0.7" top="0.625" bottom="0.62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D15"/>
  <sheetViews>
    <sheetView showGridLines="0" topLeftCell="E4" zoomScale="85" zoomScaleNormal="85" workbookViewId="0"/>
  </sheetViews>
  <sheetFormatPr defaultColWidth="9.140625" defaultRowHeight="11.25"/>
  <cols>
    <col min="1" max="3" width="6.7109375" style="628" hidden="1" customWidth="1"/>
    <col min="4" max="4" width="6.7109375" style="49" hidden="1" customWidth="1"/>
    <col min="5" max="5" width="3.7109375" style="46" customWidth="1"/>
    <col min="6" max="6" width="6.28515625" style="46" customWidth="1"/>
    <col min="7" max="7" width="37.7109375" style="46" customWidth="1"/>
    <col min="8" max="8" width="16.5703125" style="46" customWidth="1"/>
    <col min="9" max="10" width="19.7109375" style="46" customWidth="1"/>
    <col min="11" max="11" width="25" style="46" customWidth="1"/>
    <col min="12" max="13" width="25.7109375" style="46" customWidth="1"/>
    <col min="14" max="16" width="17.7109375" style="46" customWidth="1"/>
    <col min="17" max="24" width="19.7109375" style="46" customWidth="1"/>
    <col min="25" max="25" width="8" style="46" customWidth="1"/>
    <col min="26" max="26" width="3.28515625" style="46" customWidth="1"/>
    <col min="27" max="27" width="6.28515625" style="46" customWidth="1"/>
    <col min="28" max="28" width="34.140625" style="46" customWidth="1"/>
    <col min="29" max="30" width="9.140625" style="46"/>
  </cols>
  <sheetData>
    <row r="1" spans="1:30" s="49" customFormat="1" ht="10.5" hidden="1" customHeight="1">
      <c r="A1" s="628"/>
      <c r="B1" s="628"/>
      <c r="C1" s="628"/>
    </row>
    <row r="2" spans="1:30" ht="10.5" hidden="1" customHeight="1"/>
    <row r="3" spans="1:30" s="52" customFormat="1" ht="10.5" hidden="1" customHeight="1">
      <c r="A3" s="628"/>
      <c r="B3" s="628"/>
      <c r="C3" s="628"/>
      <c r="D3" s="49"/>
    </row>
    <row r="4" spans="1:30" ht="3" customHeight="1"/>
    <row r="5" spans="1:30" ht="25.5" customHeight="1">
      <c r="F5" s="1106" t="str">
        <f>IP_NAME_FORM</f>
        <v>Форма 7. Информация об инвестиционных программах организации водоотведения и отчетах об их исполнении</v>
      </c>
      <c r="G5" s="1106"/>
      <c r="H5" s="1106"/>
      <c r="I5" s="1106"/>
      <c r="J5" s="1106"/>
      <c r="K5" s="1106"/>
      <c r="M5" s="100"/>
    </row>
    <row r="6" spans="1:30" s="46" customFormat="1" ht="15.75" customHeight="1">
      <c r="A6" s="628"/>
      <c r="B6" s="628"/>
      <c r="C6" s="628"/>
      <c r="D6" s="49"/>
      <c r="F6" s="1127" t="str">
        <f>IF(org=0,"Не определено",org)</f>
        <v>Филиал ПАО "ОГК-2" - Серовская ГРЭС, г. Серов</v>
      </c>
      <c r="G6" s="1127"/>
      <c r="H6" s="1127"/>
      <c r="I6" s="1127"/>
      <c r="J6" s="1127"/>
      <c r="K6" s="1127"/>
      <c r="M6" s="100"/>
    </row>
    <row r="8" spans="1:30" ht="10.5" customHeight="1">
      <c r="F8" s="1087" t="s">
        <v>287</v>
      </c>
      <c r="G8" s="1087"/>
      <c r="H8" s="1087"/>
      <c r="I8" s="1087"/>
      <c r="J8" s="1087"/>
      <c r="K8" s="1087"/>
      <c r="L8" s="1087"/>
      <c r="M8" s="1087"/>
      <c r="N8" s="1087"/>
      <c r="O8" s="1087"/>
      <c r="P8" s="1087"/>
      <c r="Q8" s="1087"/>
      <c r="R8" s="1087"/>
      <c r="S8" s="1087"/>
      <c r="T8" s="1087"/>
      <c r="U8" s="1087"/>
      <c r="V8" s="1087"/>
      <c r="W8" s="1087"/>
      <c r="X8" s="1087"/>
      <c r="Y8" s="1087"/>
      <c r="Z8" s="1087"/>
      <c r="AA8" s="1087"/>
      <c r="AB8" s="1087"/>
    </row>
    <row r="9" spans="1:30" ht="41.25" customHeight="1">
      <c r="A9" s="674"/>
      <c r="B9" s="674"/>
      <c r="C9" s="674"/>
      <c r="F9" s="1128" t="s">
        <v>84</v>
      </c>
      <c r="G9" s="1128" t="s">
        <v>858</v>
      </c>
      <c r="H9" s="1087" t="s">
        <v>859</v>
      </c>
      <c r="I9" s="1128" t="s">
        <v>860</v>
      </c>
      <c r="J9" s="1128" t="s">
        <v>861</v>
      </c>
      <c r="K9" s="1128" t="s">
        <v>862</v>
      </c>
      <c r="L9" s="1128" t="s">
        <v>863</v>
      </c>
      <c r="M9" s="1128" t="s">
        <v>864</v>
      </c>
      <c r="N9" s="1167" t="s">
        <v>865</v>
      </c>
      <c r="O9" s="1167"/>
      <c r="P9" s="1167"/>
      <c r="Q9" s="1140" t="s">
        <v>866</v>
      </c>
      <c r="R9" s="1140"/>
      <c r="S9" s="1140"/>
      <c r="T9" s="1140"/>
      <c r="U9" s="1140" t="s">
        <v>867</v>
      </c>
      <c r="V9" s="1140"/>
      <c r="W9" s="1140"/>
      <c r="X9" s="1140"/>
      <c r="Y9" s="1087" t="s">
        <v>868</v>
      </c>
      <c r="Z9" s="1087"/>
      <c r="AA9" s="1087"/>
      <c r="AB9" s="1087"/>
    </row>
    <row r="10" spans="1:30" ht="41.25" customHeight="1">
      <c r="A10" s="674"/>
      <c r="B10" s="674"/>
      <c r="C10" s="674"/>
      <c r="F10" s="1128"/>
      <c r="G10" s="1128"/>
      <c r="H10" s="1087"/>
      <c r="I10" s="1128"/>
      <c r="J10" s="1128"/>
      <c r="K10" s="1128"/>
      <c r="L10" s="1128"/>
      <c r="M10" s="1128"/>
      <c r="N10" s="510" t="s">
        <v>869</v>
      </c>
      <c r="O10" s="510" t="s">
        <v>870</v>
      </c>
      <c r="P10" s="675" t="s">
        <v>871</v>
      </c>
      <c r="Q10" s="510" t="s">
        <v>85</v>
      </c>
      <c r="R10" s="510" t="s">
        <v>872</v>
      </c>
      <c r="S10" s="510" t="s">
        <v>873</v>
      </c>
      <c r="T10" s="676" t="s">
        <v>874</v>
      </c>
      <c r="U10" s="510" t="s">
        <v>85</v>
      </c>
      <c r="V10" s="510" t="s">
        <v>875</v>
      </c>
      <c r="W10" s="510" t="s">
        <v>873</v>
      </c>
      <c r="X10" s="676" t="s">
        <v>874</v>
      </c>
      <c r="Y10" s="444" t="s">
        <v>876</v>
      </c>
      <c r="Z10" s="1087" t="s">
        <v>84</v>
      </c>
      <c r="AA10" s="1087"/>
      <c r="AB10" s="148" t="s">
        <v>877</v>
      </c>
    </row>
    <row r="11" spans="1:30" s="53" customFormat="1" ht="5.25" hidden="1" customHeight="1">
      <c r="A11" s="431"/>
      <c r="B11" s="431"/>
      <c r="C11" s="431"/>
      <c r="E11" s="124"/>
      <c r="F11" s="1126" t="s">
        <v>365</v>
      </c>
      <c r="G11" s="1212"/>
      <c r="H11" s="1213"/>
      <c r="I11" s="1213"/>
      <c r="J11" s="1213"/>
      <c r="K11" s="1214"/>
      <c r="L11" s="1214"/>
      <c r="M11" s="1214"/>
      <c r="N11" s="1213"/>
      <c r="O11" s="1213"/>
      <c r="P11" s="1087"/>
      <c r="Q11" s="1137"/>
      <c r="R11" s="1137"/>
      <c r="S11" s="1137"/>
      <c r="T11" s="1213"/>
      <c r="U11" s="1137"/>
      <c r="V11" s="1137"/>
      <c r="W11" s="1137"/>
      <c r="X11" s="1213"/>
      <c r="Y11" s="1099"/>
      <c r="Z11" s="1099"/>
      <c r="AA11" s="1099"/>
      <c r="AB11" s="1099"/>
      <c r="AD11" s="53" t="s">
        <v>878</v>
      </c>
    </row>
    <row r="12" spans="1:30" s="53" customFormat="1" ht="5.25" hidden="1" customHeight="1">
      <c r="A12" s="431"/>
      <c r="B12" s="431"/>
      <c r="C12" s="431"/>
      <c r="F12" s="1126"/>
      <c r="G12" s="1212"/>
      <c r="H12" s="1213"/>
      <c r="I12" s="1213"/>
      <c r="J12" s="1213"/>
      <c r="K12" s="1214"/>
      <c r="L12" s="1214"/>
      <c r="M12" s="1214"/>
      <c r="N12" s="1213"/>
      <c r="O12" s="1213"/>
      <c r="P12" s="1087"/>
      <c r="Q12" s="1137"/>
      <c r="R12" s="1137"/>
      <c r="S12" s="1137"/>
      <c r="T12" s="1213"/>
      <c r="U12" s="1137"/>
      <c r="V12" s="1137"/>
      <c r="W12" s="1137"/>
      <c r="X12" s="1213"/>
      <c r="Y12" s="1099"/>
      <c r="Z12" s="1099"/>
      <c r="AA12" s="1099"/>
      <c r="AB12" s="1099"/>
    </row>
    <row r="13" spans="1:30" ht="10.5" customHeight="1">
      <c r="F13" s="492"/>
      <c r="G13" s="163" t="s">
        <v>879</v>
      </c>
      <c r="H13" s="163"/>
      <c r="I13" s="562"/>
      <c r="J13" s="562"/>
      <c r="K13" s="562"/>
      <c r="L13" s="562"/>
      <c r="M13" s="562"/>
      <c r="N13" s="562"/>
      <c r="O13" s="562"/>
      <c r="P13" s="562"/>
      <c r="Q13" s="562"/>
      <c r="R13" s="562"/>
      <c r="S13" s="562"/>
      <c r="T13" s="562"/>
      <c r="U13" s="562"/>
      <c r="V13" s="562"/>
      <c r="W13" s="562"/>
      <c r="X13" s="562"/>
      <c r="Y13" s="562"/>
      <c r="Z13" s="673"/>
      <c r="AA13" s="673"/>
      <c r="AB13" s="678"/>
    </row>
    <row r="15" spans="1:30" s="53" customFormat="1" ht="10.5" customHeight="1">
      <c r="A15" s="431"/>
      <c r="B15" s="431"/>
      <c r="C15" s="431"/>
      <c r="H15" s="53">
        <f>IFERROR(MATCH("нет",IP_MAIN_DIFFERENTIATION_EVENTS_FLAG,0),0)</f>
        <v>0</v>
      </c>
    </row>
  </sheetData>
  <mergeCells count="39">
    <mergeCell ref="Z11:Z12"/>
    <mergeCell ref="AA11:AA12"/>
    <mergeCell ref="AB11:AB12"/>
    <mergeCell ref="U11:U12"/>
    <mergeCell ref="V11:V12"/>
    <mergeCell ref="W11:W12"/>
    <mergeCell ref="X11:X12"/>
    <mergeCell ref="Y11:Y12"/>
    <mergeCell ref="P11:P12"/>
    <mergeCell ref="Q11:Q12"/>
    <mergeCell ref="R11:R12"/>
    <mergeCell ref="S11:S12"/>
    <mergeCell ref="T11:T12"/>
    <mergeCell ref="K11:K12"/>
    <mergeCell ref="L11:L12"/>
    <mergeCell ref="M11:M12"/>
    <mergeCell ref="N11:N12"/>
    <mergeCell ref="O11:O12"/>
    <mergeCell ref="F11:F12"/>
    <mergeCell ref="G11:G12"/>
    <mergeCell ref="H11:H12"/>
    <mergeCell ref="I11:I12"/>
    <mergeCell ref="J11:J12"/>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s>
  <pageMargins left="0.7" right="0.7" top="0.625" bottom="0.62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BF19"/>
  <sheetViews>
    <sheetView showGridLines="0" topLeftCell="E4" zoomScale="90" zoomScaleNormal="90" workbookViewId="0"/>
  </sheetViews>
  <sheetFormatPr defaultColWidth="9.140625" defaultRowHeight="11.25"/>
  <cols>
    <col min="1" max="3" width="4.140625" style="628" hidden="1" customWidth="1"/>
    <col min="4" max="4" width="4.140625" style="49" hidden="1" customWidth="1"/>
    <col min="5" max="5" width="3.7109375" style="46" customWidth="1"/>
    <col min="6" max="6" width="14.42578125" style="46" customWidth="1"/>
    <col min="7" max="7" width="3.7109375" style="46" customWidth="1"/>
    <col min="8" max="8" width="7.7109375" style="46" customWidth="1"/>
    <col min="9" max="10" width="16.7109375" style="46" customWidth="1"/>
    <col min="11" max="11" width="25.7109375" style="46" customWidth="1"/>
    <col min="12" max="12" width="8" style="46" customWidth="1"/>
    <col min="13" max="13" width="15.5703125" style="46" customWidth="1"/>
    <col min="14" max="14" width="3.28515625" style="46" customWidth="1"/>
    <col min="15" max="15" width="4.7109375" style="46" customWidth="1"/>
    <col min="16" max="16" width="9" style="46" customWidth="1"/>
    <col min="17" max="17" width="21.7109375" style="46" customWidth="1"/>
    <col min="18" max="18" width="14.7109375" style="46" customWidth="1"/>
    <col min="19" max="20" width="17.7109375" style="46" customWidth="1"/>
    <col min="21" max="21" width="9.7109375" style="46" customWidth="1"/>
    <col min="22" max="22" width="12.7109375" style="46" customWidth="1"/>
    <col min="23" max="23" width="9.7109375" style="46" customWidth="1"/>
    <col min="24" max="24" width="21.7109375" style="46" customWidth="1"/>
    <col min="25" max="25" width="12.7109375" style="46" customWidth="1"/>
    <col min="26" max="26" width="3.28515625" style="46" customWidth="1"/>
    <col min="27" max="27" width="7.140625" style="46" customWidth="1"/>
    <col min="28" max="28" width="38.42578125" style="46" customWidth="1"/>
    <col min="29" max="29" width="15.7109375" style="46" customWidth="1"/>
    <col min="30" max="30" width="37.5703125" style="46" customWidth="1"/>
    <col min="31" max="31" width="15.7109375" style="46" customWidth="1"/>
    <col min="32" max="37" width="16.7109375" style="46" customWidth="1"/>
    <col min="38" max="58" width="9.140625" style="46"/>
  </cols>
  <sheetData>
    <row r="1" spans="1:58" s="49" customFormat="1" ht="10.5" hidden="1" customHeight="1">
      <c r="A1" s="628"/>
      <c r="B1" s="628"/>
      <c r="C1" s="628"/>
    </row>
    <row r="2" spans="1:58" ht="10.5" hidden="1" customHeight="1"/>
    <row r="3" spans="1:58" s="52" customFormat="1" ht="10.5" hidden="1" customHeight="1">
      <c r="A3" s="628"/>
      <c r="B3" s="628"/>
      <c r="C3" s="628"/>
      <c r="D3" s="49"/>
    </row>
    <row r="4" spans="1:58" ht="3" customHeight="1"/>
    <row r="5" spans="1:58" ht="25.5" customHeight="1">
      <c r="F5" s="1106" t="str">
        <f>IP_NAME_FORM</f>
        <v>Форма 7. Информация об инвестиционных программах организации водоотведения и отчетах об их исполнении</v>
      </c>
      <c r="G5" s="1106"/>
      <c r="H5" s="1106"/>
      <c r="I5" s="1106"/>
      <c r="J5" s="1106"/>
      <c r="K5" s="1106"/>
      <c r="L5" s="543"/>
      <c r="M5" s="543"/>
    </row>
    <row r="6" spans="1:58" ht="10.5" customHeight="1">
      <c r="F6" s="1127" t="str">
        <f>IF(org=0,"Не определено",org)</f>
        <v>Филиал ПАО "ОГК-2" - Серовская ГРЭС, г. Серов</v>
      </c>
      <c r="G6" s="1127"/>
      <c r="H6" s="1127"/>
      <c r="I6" s="1127"/>
      <c r="J6" s="1127"/>
      <c r="K6" s="1127"/>
      <c r="L6" s="543"/>
      <c r="M6" s="543"/>
    </row>
    <row r="7" spans="1:58" ht="11.25" customHeight="1">
      <c r="E7" s="83"/>
      <c r="F7" s="679"/>
      <c r="G7" s="679"/>
      <c r="H7" s="679"/>
      <c r="I7" s="679"/>
      <c r="J7" s="679"/>
      <c r="K7" s="680"/>
      <c r="L7" s="680"/>
      <c r="M7" s="680"/>
      <c r="N7" s="679"/>
      <c r="O7" s="679"/>
      <c r="P7" s="679"/>
      <c r="Q7" s="680"/>
      <c r="R7" s="679"/>
      <c r="S7" s="679"/>
      <c r="T7" s="679"/>
      <c r="U7" s="679"/>
      <c r="V7" s="679"/>
      <c r="W7" s="679"/>
      <c r="X7" s="679"/>
      <c r="Y7" s="679"/>
      <c r="Z7" s="679"/>
      <c r="AA7" s="679"/>
      <c r="AB7" s="679"/>
      <c r="AC7" s="681"/>
      <c r="AD7" s="681"/>
      <c r="AE7" s="681"/>
      <c r="AF7" s="679"/>
      <c r="AG7" s="679"/>
      <c r="AH7" s="679"/>
      <c r="AI7" s="679"/>
      <c r="AJ7" s="679"/>
      <c r="AK7" s="679"/>
      <c r="AL7" s="49"/>
      <c r="AM7" s="49"/>
      <c r="AN7" s="49"/>
      <c r="AO7" s="134"/>
      <c r="AP7" s="134"/>
      <c r="AQ7" s="134"/>
      <c r="AR7" s="134"/>
      <c r="AS7" s="134"/>
      <c r="AT7" s="134"/>
      <c r="AU7" s="134"/>
      <c r="AV7" s="134"/>
      <c r="AW7" s="134"/>
      <c r="AX7" s="134"/>
      <c r="AY7" s="134"/>
      <c r="AZ7" s="134"/>
      <c r="BA7" s="134"/>
      <c r="BB7" s="134"/>
      <c r="BC7" s="134"/>
      <c r="BD7" s="134"/>
      <c r="BE7" s="134"/>
      <c r="BF7" s="134"/>
    </row>
    <row r="8" spans="1:58" ht="10.5" customHeight="1">
      <c r="E8" s="83"/>
      <c r="F8" s="1215" t="s">
        <v>287</v>
      </c>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682"/>
      <c r="AM8" s="134"/>
      <c r="AN8" s="134"/>
      <c r="AO8" s="134"/>
      <c r="AP8" s="134"/>
      <c r="AQ8" s="134"/>
      <c r="AR8" s="134"/>
      <c r="AS8" s="134"/>
      <c r="AT8" s="134"/>
      <c r="AU8" s="134"/>
      <c r="AV8" s="134"/>
      <c r="AW8" s="134"/>
      <c r="AX8" s="134"/>
      <c r="AY8" s="134"/>
      <c r="AZ8" s="134"/>
      <c r="BA8" s="134"/>
      <c r="BB8" s="134"/>
      <c r="BC8" s="134"/>
      <c r="BD8" s="134"/>
      <c r="BE8" s="134"/>
      <c r="BF8" s="134"/>
    </row>
    <row r="9" spans="1:58" ht="23.25" customHeight="1">
      <c r="A9" s="674"/>
      <c r="B9" s="674"/>
      <c r="C9" s="674"/>
      <c r="E9" s="83"/>
      <c r="F9" s="1167" t="s">
        <v>880</v>
      </c>
      <c r="G9" s="1216" t="s">
        <v>881</v>
      </c>
      <c r="H9" s="1216"/>
      <c r="I9" s="1087" t="s">
        <v>882</v>
      </c>
      <c r="J9" s="1087"/>
      <c r="K9" s="1087" t="s">
        <v>883</v>
      </c>
      <c r="L9" s="1087"/>
      <c r="M9" s="1087"/>
      <c r="N9" s="1087"/>
      <c r="O9" s="1087"/>
      <c r="P9" s="1087"/>
      <c r="Q9" s="1087"/>
      <c r="R9" s="1087"/>
      <c r="S9" s="1087"/>
      <c r="T9" s="1087"/>
      <c r="U9" s="1087"/>
      <c r="V9" s="1087"/>
      <c r="W9" s="1087"/>
      <c r="X9" s="1087"/>
      <c r="Y9" s="1087"/>
      <c r="Z9" s="1087" t="s">
        <v>884</v>
      </c>
      <c r="AA9" s="1087"/>
      <c r="AB9" s="1087" t="s">
        <v>885</v>
      </c>
      <c r="AC9" s="1087"/>
      <c r="AD9" s="1087"/>
      <c r="AE9" s="1087"/>
      <c r="AF9" s="1087" t="s">
        <v>886</v>
      </c>
      <c r="AG9" s="1087" t="s">
        <v>887</v>
      </c>
      <c r="AH9" s="1087"/>
      <c r="AI9" s="1087" t="s">
        <v>888</v>
      </c>
      <c r="AJ9" s="1087" t="s">
        <v>889</v>
      </c>
      <c r="AK9" s="1087"/>
      <c r="AM9" s="134"/>
      <c r="AN9" s="134"/>
      <c r="AO9" s="134"/>
      <c r="AP9" s="134"/>
      <c r="AQ9" s="134"/>
      <c r="AR9" s="134"/>
      <c r="AS9" s="134"/>
      <c r="AT9" s="134"/>
      <c r="AU9" s="134"/>
      <c r="AV9" s="134"/>
      <c r="AW9" s="134"/>
      <c r="AX9" s="134"/>
      <c r="AY9" s="134"/>
      <c r="AZ9" s="134"/>
      <c r="BA9" s="134"/>
      <c r="BB9" s="134"/>
      <c r="BC9" s="134"/>
      <c r="BD9" s="134"/>
      <c r="BE9" s="134"/>
      <c r="BF9" s="134"/>
    </row>
    <row r="10" spans="1:58" ht="23.25" customHeight="1">
      <c r="A10" s="674"/>
      <c r="B10" s="674"/>
      <c r="C10" s="674"/>
      <c r="E10" s="83"/>
      <c r="F10" s="1167"/>
      <c r="G10" s="1216"/>
      <c r="H10" s="1216"/>
      <c r="I10" s="1087"/>
      <c r="J10" s="1087"/>
      <c r="K10" s="1087" t="s">
        <v>890</v>
      </c>
      <c r="L10" s="1087" t="s">
        <v>891</v>
      </c>
      <c r="M10" s="1087"/>
      <c r="N10" s="1087" t="s">
        <v>892</v>
      </c>
      <c r="O10" s="1087"/>
      <c r="P10" s="1087"/>
      <c r="Q10" s="1087"/>
      <c r="R10" s="1087"/>
      <c r="S10" s="1087"/>
      <c r="T10" s="1087"/>
      <c r="U10" s="1087"/>
      <c r="V10" s="1087"/>
      <c r="W10" s="1087"/>
      <c r="X10" s="1087"/>
      <c r="Y10" s="1087"/>
      <c r="Z10" s="1087"/>
      <c r="AA10" s="1087"/>
      <c r="AB10" s="1087"/>
      <c r="AC10" s="1087"/>
      <c r="AD10" s="1087"/>
      <c r="AE10" s="1087"/>
      <c r="AF10" s="1087"/>
      <c r="AG10" s="1087"/>
      <c r="AH10" s="1087"/>
      <c r="AI10" s="1087"/>
      <c r="AJ10" s="1087"/>
      <c r="AK10" s="1087"/>
      <c r="AM10" s="134"/>
      <c r="AN10" s="134"/>
      <c r="AO10" s="134"/>
      <c r="AP10" s="134"/>
      <c r="AQ10" s="134"/>
      <c r="AR10" s="134"/>
      <c r="AS10" s="134"/>
      <c r="AT10" s="134"/>
      <c r="AU10" s="134"/>
      <c r="AV10" s="134"/>
      <c r="AW10" s="134"/>
      <c r="AX10" s="134"/>
      <c r="AY10" s="134"/>
      <c r="AZ10" s="134"/>
      <c r="BA10" s="134"/>
      <c r="BB10" s="134"/>
      <c r="BC10" s="134"/>
      <c r="BD10" s="134"/>
      <c r="BE10" s="134"/>
      <c r="BF10" s="134"/>
    </row>
    <row r="11" spans="1:58" s="46" customFormat="1" ht="23.25" customHeight="1">
      <c r="A11" s="674"/>
      <c r="B11" s="674"/>
      <c r="C11" s="674"/>
      <c r="D11" s="49"/>
      <c r="E11" s="83"/>
      <c r="F11" s="1167"/>
      <c r="G11" s="1216"/>
      <c r="H11" s="1216"/>
      <c r="I11" s="1087"/>
      <c r="J11" s="1087"/>
      <c r="K11" s="1087"/>
      <c r="L11" s="1087" t="s">
        <v>893</v>
      </c>
      <c r="M11" s="1087" t="s">
        <v>894</v>
      </c>
      <c r="N11" s="1087" t="s">
        <v>895</v>
      </c>
      <c r="O11" s="1087"/>
      <c r="P11" s="1108" t="s">
        <v>876</v>
      </c>
      <c r="Q11" s="1108" t="s">
        <v>896</v>
      </c>
      <c r="R11" s="1108" t="s">
        <v>897</v>
      </c>
      <c r="S11" s="1108" t="s">
        <v>898</v>
      </c>
      <c r="T11" s="1108"/>
      <c r="U11" s="1108"/>
      <c r="V11" s="1108"/>
      <c r="W11" s="1108"/>
      <c r="X11" s="1108"/>
      <c r="Y11" s="1108"/>
      <c r="Z11" s="1087"/>
      <c r="AA11" s="1087"/>
      <c r="AB11" s="1087" t="s">
        <v>899</v>
      </c>
      <c r="AC11" s="1087"/>
      <c r="AD11" s="1087" t="s">
        <v>900</v>
      </c>
      <c r="AE11" s="1087"/>
      <c r="AF11" s="1087"/>
      <c r="AG11" s="1087"/>
      <c r="AH11" s="1087"/>
      <c r="AI11" s="1087"/>
      <c r="AJ11" s="1087"/>
      <c r="AK11" s="1087"/>
      <c r="AM11" s="134"/>
      <c r="AN11" s="134"/>
      <c r="AO11" s="134"/>
      <c r="AP11" s="134"/>
      <c r="AQ11" s="134"/>
      <c r="AR11" s="134"/>
      <c r="AS11" s="134"/>
      <c r="AT11" s="134"/>
      <c r="AU11" s="134"/>
      <c r="AV11" s="134"/>
      <c r="AW11" s="134"/>
      <c r="AX11" s="134"/>
      <c r="AY11" s="134"/>
      <c r="AZ11" s="134"/>
      <c r="BA11" s="134"/>
      <c r="BB11" s="134"/>
      <c r="BC11" s="134"/>
      <c r="BD11" s="134"/>
      <c r="BE11" s="134"/>
      <c r="BF11" s="134"/>
    </row>
    <row r="12" spans="1:58" ht="33.75" customHeight="1">
      <c r="A12" s="674"/>
      <c r="B12" s="674"/>
      <c r="C12" s="674"/>
      <c r="E12" s="83"/>
      <c r="F12" s="1167"/>
      <c r="G12" s="1216"/>
      <c r="H12" s="1216"/>
      <c r="I12" s="148" t="s">
        <v>85</v>
      </c>
      <c r="J12" s="148" t="s">
        <v>901</v>
      </c>
      <c r="K12" s="1087"/>
      <c r="L12" s="1087"/>
      <c r="M12" s="1087"/>
      <c r="N12" s="1087"/>
      <c r="O12" s="1087"/>
      <c r="P12" s="1108"/>
      <c r="Q12" s="1108"/>
      <c r="R12" s="1108"/>
      <c r="S12" s="203" t="s">
        <v>82</v>
      </c>
      <c r="T12" s="203" t="s">
        <v>83</v>
      </c>
      <c r="U12" s="203" t="s">
        <v>81</v>
      </c>
      <c r="V12" s="203" t="s">
        <v>902</v>
      </c>
      <c r="W12" s="203" t="s">
        <v>81</v>
      </c>
      <c r="X12" s="203" t="s">
        <v>903</v>
      </c>
      <c r="Y12" s="203" t="s">
        <v>904</v>
      </c>
      <c r="Z12" s="1087"/>
      <c r="AA12" s="1087"/>
      <c r="AB12" s="148" t="s">
        <v>905</v>
      </c>
      <c r="AC12" s="148" t="s">
        <v>906</v>
      </c>
      <c r="AD12" s="148" t="s">
        <v>905</v>
      </c>
      <c r="AE12" s="148" t="s">
        <v>906</v>
      </c>
      <c r="AF12" s="1087"/>
      <c r="AG12" s="148" t="s">
        <v>907</v>
      </c>
      <c r="AH12" s="148" t="s">
        <v>908</v>
      </c>
      <c r="AI12" s="1087"/>
      <c r="AJ12" s="148" t="s">
        <v>907</v>
      </c>
      <c r="AK12" s="148" t="s">
        <v>908</v>
      </c>
      <c r="AM12" s="134"/>
      <c r="AN12" s="134"/>
      <c r="AO12" s="134"/>
      <c r="AP12" s="134"/>
      <c r="AQ12" s="134"/>
      <c r="AR12" s="134"/>
      <c r="AS12" s="134"/>
      <c r="AT12" s="134"/>
      <c r="AU12" s="134"/>
      <c r="AV12" s="134"/>
      <c r="AW12" s="134"/>
      <c r="AX12" s="134"/>
      <c r="AY12" s="134"/>
      <c r="AZ12" s="134"/>
      <c r="BA12" s="134"/>
      <c r="BB12" s="134"/>
      <c r="BC12" s="134"/>
      <c r="BD12" s="134"/>
      <c r="BE12" s="134"/>
      <c r="BF12" s="134"/>
    </row>
    <row r="13" spans="1:58" ht="0.75" customHeight="1">
      <c r="E13" s="83"/>
      <c r="F13" s="83">
        <v>0</v>
      </c>
      <c r="G13" s="83"/>
      <c r="H13" s="83"/>
      <c r="I13" s="83"/>
      <c r="J13" s="83"/>
      <c r="AL13" s="682"/>
      <c r="AM13" s="134"/>
      <c r="AN13" s="134"/>
      <c r="AO13" s="134"/>
      <c r="AP13" s="134"/>
      <c r="AQ13" s="134"/>
      <c r="AR13" s="134"/>
      <c r="AS13" s="134"/>
      <c r="AT13" s="134"/>
      <c r="AU13" s="134"/>
      <c r="AV13" s="134"/>
      <c r="AW13" s="134"/>
      <c r="AX13" s="134"/>
      <c r="AY13" s="134"/>
      <c r="AZ13" s="134"/>
      <c r="BA13" s="134"/>
      <c r="BB13" s="134"/>
      <c r="BC13" s="134"/>
      <c r="BD13" s="134"/>
      <c r="BE13" s="134"/>
      <c r="BF13" s="134"/>
    </row>
    <row r="14" spans="1:58" ht="10.5" customHeight="1">
      <c r="E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row>
    <row r="15" spans="1:58" ht="12.75" customHeight="1">
      <c r="E15" s="134"/>
      <c r="F15" s="683" t="s">
        <v>909</v>
      </c>
      <c r="G15" s="100"/>
      <c r="H15" s="100"/>
      <c r="I15" s="100"/>
      <c r="J15" s="100"/>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row>
    <row r="17" spans="5:58" ht="10.5" customHeight="1">
      <c r="E17" s="134"/>
      <c r="F17" s="1217"/>
      <c r="G17" s="1217"/>
      <c r="H17" s="1217"/>
      <c r="I17" s="1217"/>
      <c r="J17" s="1217"/>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row>
    <row r="18" spans="5:58" ht="10.5" customHeight="1">
      <c r="E18" s="134"/>
      <c r="F18" s="1217"/>
      <c r="G18" s="1217"/>
      <c r="H18" s="1217"/>
      <c r="I18" s="1217"/>
      <c r="J18" s="1217"/>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row>
    <row r="19" spans="5:58" ht="10.5" customHeight="1">
      <c r="E19" s="134"/>
      <c r="F19" s="1217"/>
      <c r="G19" s="1217"/>
      <c r="H19" s="1217"/>
      <c r="I19" s="1217"/>
      <c r="J19" s="1217"/>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row>
  </sheetData>
  <mergeCells count="28">
    <mergeCell ref="F18:J18"/>
    <mergeCell ref="F19:J19"/>
    <mergeCell ref="R11:R12"/>
    <mergeCell ref="S11:Y11"/>
    <mergeCell ref="AB11:AC11"/>
    <mergeCell ref="AD11:AE11"/>
    <mergeCell ref="F17:J17"/>
    <mergeCell ref="L11:L12"/>
    <mergeCell ref="M11:M12"/>
    <mergeCell ref="N11:O12"/>
    <mergeCell ref="P11:P12"/>
    <mergeCell ref="Q11:Q12"/>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s>
  <pageMargins left="0.7" right="0.7" top="0.625" bottom="0.62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V58"/>
  <sheetViews>
    <sheetView showGridLines="0" topLeftCell="E4" zoomScale="85" zoomScaleNormal="85" workbookViewId="0"/>
  </sheetViews>
  <sheetFormatPr defaultColWidth="9.140625" defaultRowHeight="11.25"/>
  <cols>
    <col min="1" max="3" width="4.140625" style="628" hidden="1" customWidth="1"/>
    <col min="4" max="4" width="4.140625" style="49" hidden="1" customWidth="1"/>
    <col min="5" max="5" width="3.7109375" style="46" customWidth="1"/>
    <col min="6" max="6" width="6.28515625" style="46" customWidth="1"/>
    <col min="7" max="7" width="60.140625" style="46" customWidth="1"/>
    <col min="8" max="9" width="21.7109375" style="46" hidden="1" customWidth="1"/>
    <col min="10" max="10" width="0.140625" style="46" customWidth="1"/>
    <col min="11" max="11" width="1.7109375" style="46" customWidth="1"/>
    <col min="12" max="22" width="9.140625" style="46"/>
  </cols>
  <sheetData>
    <row r="1" spans="1:22" s="49" customFormat="1" ht="10.5" hidden="1" customHeight="1">
      <c r="A1" s="628"/>
      <c r="B1" s="628"/>
      <c r="C1" s="628"/>
    </row>
    <row r="2" spans="1:22" ht="10.5" hidden="1" customHeight="1"/>
    <row r="3" spans="1:22" s="52" customFormat="1" ht="10.5" hidden="1" customHeight="1">
      <c r="A3" s="628"/>
      <c r="B3" s="628"/>
      <c r="C3" s="628"/>
      <c r="D3" s="49"/>
    </row>
    <row r="4" spans="1:22" ht="3" customHeight="1"/>
    <row r="5" spans="1:22" ht="25.5" customHeight="1">
      <c r="F5" s="110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106"/>
      <c r="H5" s="1106"/>
      <c r="I5" s="1106"/>
      <c r="J5" s="1106"/>
    </row>
    <row r="6" spans="1:22" ht="10.5" customHeight="1">
      <c r="F6" s="1127" t="str">
        <f>IF(org=0,"Не определено",org)</f>
        <v>Филиал ПАО "ОГК-2" - Серовская ГРЭС, г. Серов</v>
      </c>
      <c r="G6" s="1127"/>
      <c r="H6" s="1127"/>
      <c r="I6" s="1127"/>
      <c r="J6" s="1127"/>
    </row>
    <row r="7" spans="1:22" ht="11.25" customHeight="1">
      <c r="E7" s="83"/>
      <c r="F7" s="684"/>
      <c r="G7" s="684"/>
      <c r="H7" s="684"/>
      <c r="I7" s="684"/>
      <c r="J7" s="684"/>
      <c r="K7" s="134"/>
      <c r="L7" s="134"/>
      <c r="M7" s="134"/>
      <c r="N7" s="134"/>
      <c r="O7" s="134"/>
      <c r="P7" s="134"/>
      <c r="Q7" s="134"/>
      <c r="R7" s="134"/>
      <c r="S7" s="134"/>
      <c r="T7" s="134"/>
      <c r="U7" s="134"/>
      <c r="V7" s="134"/>
    </row>
    <row r="8" spans="1:22" s="53" customFormat="1" ht="5.25" customHeight="1">
      <c r="A8" s="431"/>
      <c r="B8" s="431"/>
      <c r="C8" s="431"/>
      <c r="E8" s="158"/>
      <c r="F8" s="685"/>
      <c r="G8" s="685"/>
      <c r="H8" s="685"/>
      <c r="I8" s="685"/>
      <c r="J8" s="685"/>
      <c r="K8" s="158"/>
      <c r="L8" s="158"/>
      <c r="M8" s="158"/>
      <c r="N8" s="158"/>
      <c r="O8" s="158"/>
      <c r="P8" s="158"/>
      <c r="Q8" s="158"/>
      <c r="R8" s="158"/>
      <c r="S8" s="158"/>
      <c r="T8" s="158"/>
      <c r="U8" s="158"/>
      <c r="V8" s="158"/>
    </row>
    <row r="9" spans="1:22" ht="10.5" customHeight="1">
      <c r="E9" s="83"/>
      <c r="F9" s="1218" t="s">
        <v>287</v>
      </c>
      <c r="G9" s="1218"/>
      <c r="H9" s="1218"/>
      <c r="I9" s="1218"/>
      <c r="J9" s="1218"/>
      <c r="K9" s="686"/>
      <c r="L9" s="134"/>
      <c r="M9" s="134"/>
      <c r="N9" s="134"/>
      <c r="O9" s="134"/>
      <c r="P9" s="134"/>
      <c r="Q9" s="134"/>
      <c r="R9" s="134"/>
      <c r="S9" s="134"/>
      <c r="T9" s="134"/>
      <c r="U9" s="134"/>
      <c r="V9" s="134"/>
    </row>
    <row r="10" spans="1:22" ht="24" customHeight="1">
      <c r="E10" s="134"/>
      <c r="F10" s="1213" t="s">
        <v>84</v>
      </c>
      <c r="G10" s="1219" t="s">
        <v>910</v>
      </c>
      <c r="H10" s="1213" t="s">
        <v>911</v>
      </c>
      <c r="I10" s="1213"/>
      <c r="J10" s="1213"/>
      <c r="K10" s="687"/>
      <c r="L10" s="134"/>
      <c r="M10" s="134"/>
      <c r="N10" s="134"/>
      <c r="O10" s="134"/>
      <c r="P10" s="134"/>
      <c r="Q10" s="134"/>
      <c r="R10" s="134"/>
      <c r="S10" s="134"/>
      <c r="T10" s="134"/>
      <c r="U10" s="134"/>
      <c r="V10" s="134"/>
    </row>
    <row r="11" spans="1:22" ht="24" customHeight="1">
      <c r="E11" s="134"/>
      <c r="F11" s="1213"/>
      <c r="G11" s="1219"/>
      <c r="H11" s="1220" t="e">
        <f>INDEX(IP_MAIN_LIST_NAME_IP,MATCH(H8,IP_MAIN_LIST_IP_ID,0))&amp;" ("&amp;INDEX(IP_MAIN_START_DATE,MATCH(H8,IP_MAIN_LIST_IP_ID,0))&amp;"-"&amp;INDEX(IP_MAIN_END_DATE,MATCH(H8,IP_MAIN_LIST_IP_ID,0))&amp;")"</f>
        <v>#N/A</v>
      </c>
      <c r="I11" s="1220"/>
      <c r="J11" s="1220"/>
      <c r="K11" s="687"/>
      <c r="L11" s="134"/>
      <c r="M11" s="134"/>
      <c r="N11" s="134"/>
      <c r="O11" s="134"/>
      <c r="P11" s="134"/>
      <c r="Q11" s="134"/>
      <c r="R11" s="134"/>
      <c r="S11" s="134"/>
      <c r="T11" s="134"/>
      <c r="U11" s="134"/>
      <c r="V11" s="134"/>
    </row>
    <row r="12" spans="1:22" ht="10.5" customHeight="1">
      <c r="F12" s="1213"/>
      <c r="G12" s="1219"/>
      <c r="H12" s="207" t="s">
        <v>912</v>
      </c>
      <c r="I12" s="688"/>
      <c r="J12" s="207"/>
      <c r="K12" s="689"/>
    </row>
    <row r="13" spans="1:22" ht="10.5" hidden="1" customHeight="1">
      <c r="F13" s="207">
        <v>1</v>
      </c>
      <c r="G13" s="207">
        <v>2</v>
      </c>
      <c r="H13" s="207">
        <v>3</v>
      </c>
      <c r="I13" s="207">
        <v>4</v>
      </c>
      <c r="J13" s="207">
        <v>5</v>
      </c>
      <c r="K13" s="689"/>
    </row>
    <row r="14" spans="1:22" ht="11.25" customHeight="1">
      <c r="F14" s="347" t="s">
        <v>913</v>
      </c>
      <c r="G14" s="1221" t="s">
        <v>914</v>
      </c>
      <c r="H14" s="1221"/>
      <c r="I14" s="1221"/>
      <c r="J14" s="1221"/>
      <c r="K14" s="689"/>
    </row>
    <row r="15" spans="1:22" ht="11.25" customHeight="1">
      <c r="F15" s="207">
        <v>1</v>
      </c>
      <c r="G15" s="301" t="s">
        <v>915</v>
      </c>
      <c r="H15" s="690">
        <f t="shared" ref="H15:H36" si="0">SUM(I15:J15)</f>
        <v>0</v>
      </c>
      <c r="I15" s="690">
        <f>SUM(I16:I27)</f>
        <v>0</v>
      </c>
      <c r="J15" s="347"/>
      <c r="K15" s="689"/>
    </row>
    <row r="16" spans="1:22" ht="22.5" customHeight="1">
      <c r="F16" s="207" t="s">
        <v>916</v>
      </c>
      <c r="G16" s="624" t="s">
        <v>917</v>
      </c>
      <c r="H16" s="690">
        <f t="shared" si="0"/>
        <v>0</v>
      </c>
      <c r="I16" s="691"/>
      <c r="J16" s="347"/>
      <c r="K16" s="689"/>
    </row>
    <row r="17" spans="6:11" ht="22.5" customHeight="1">
      <c r="F17" s="207" t="s">
        <v>918</v>
      </c>
      <c r="G17" s="624" t="s">
        <v>919</v>
      </c>
      <c r="H17" s="690">
        <f t="shared" si="0"/>
        <v>0</v>
      </c>
      <c r="I17" s="691"/>
      <c r="J17" s="347"/>
      <c r="K17" s="689"/>
    </row>
    <row r="18" spans="6:11" ht="33.75" customHeight="1">
      <c r="F18" s="207" t="s">
        <v>920</v>
      </c>
      <c r="G18" s="624" t="s">
        <v>921</v>
      </c>
      <c r="H18" s="690">
        <f t="shared" si="0"/>
        <v>0</v>
      </c>
      <c r="I18" s="691"/>
      <c r="J18" s="347"/>
      <c r="K18" s="689"/>
    </row>
    <row r="19" spans="6:11" ht="33.75" customHeight="1">
      <c r="F19" s="207" t="s">
        <v>922</v>
      </c>
      <c r="G19" s="624" t="s">
        <v>923</v>
      </c>
      <c r="H19" s="690">
        <f t="shared" si="0"/>
        <v>0</v>
      </c>
      <c r="I19" s="691"/>
      <c r="J19" s="347"/>
      <c r="K19" s="689"/>
    </row>
    <row r="20" spans="6:11" ht="45" customHeight="1">
      <c r="F20" s="207" t="s">
        <v>924</v>
      </c>
      <c r="G20" s="624" t="s">
        <v>925</v>
      </c>
      <c r="H20" s="690">
        <f t="shared" si="0"/>
        <v>0</v>
      </c>
      <c r="I20" s="691"/>
      <c r="J20" s="347"/>
      <c r="K20" s="689"/>
    </row>
    <row r="21" spans="6:11" ht="33.75" customHeight="1">
      <c r="F21" s="207" t="s">
        <v>926</v>
      </c>
      <c r="G21" s="624" t="s">
        <v>927</v>
      </c>
      <c r="H21" s="690">
        <f t="shared" si="0"/>
        <v>0</v>
      </c>
      <c r="I21" s="691"/>
      <c r="J21" s="347"/>
      <c r="K21" s="689"/>
    </row>
    <row r="22" spans="6:11" ht="33.75" customHeight="1">
      <c r="F22" s="207" t="s">
        <v>928</v>
      </c>
      <c r="G22" s="624" t="s">
        <v>929</v>
      </c>
      <c r="H22" s="690">
        <f t="shared" si="0"/>
        <v>0</v>
      </c>
      <c r="I22" s="691"/>
      <c r="J22" s="347"/>
      <c r="K22" s="689"/>
    </row>
    <row r="23" spans="6:11" ht="22.5" customHeight="1">
      <c r="F23" s="207" t="s">
        <v>930</v>
      </c>
      <c r="G23" s="624" t="s">
        <v>931</v>
      </c>
      <c r="H23" s="690">
        <f t="shared" si="0"/>
        <v>0</v>
      </c>
      <c r="I23" s="691"/>
      <c r="J23" s="347"/>
      <c r="K23" s="689"/>
    </row>
    <row r="24" spans="6:11" ht="22.5" customHeight="1">
      <c r="F24" s="207" t="s">
        <v>932</v>
      </c>
      <c r="G24" s="624" t="s">
        <v>933</v>
      </c>
      <c r="H24" s="690">
        <f t="shared" si="0"/>
        <v>0</v>
      </c>
      <c r="I24" s="691"/>
      <c r="J24" s="347"/>
      <c r="K24" s="689"/>
    </row>
    <row r="25" spans="6:11" ht="33.75" customHeight="1">
      <c r="F25" s="207" t="s">
        <v>934</v>
      </c>
      <c r="G25" s="624" t="s">
        <v>935</v>
      </c>
      <c r="H25" s="690">
        <f t="shared" si="0"/>
        <v>0</v>
      </c>
      <c r="I25" s="691"/>
      <c r="J25" s="347"/>
      <c r="K25" s="689"/>
    </row>
    <row r="26" spans="6:11" ht="33.75" customHeight="1">
      <c r="F26" s="207" t="s">
        <v>936</v>
      </c>
      <c r="G26" s="624" t="s">
        <v>937</v>
      </c>
      <c r="H26" s="690">
        <f t="shared" si="0"/>
        <v>0</v>
      </c>
      <c r="I26" s="691"/>
      <c r="J26" s="347"/>
      <c r="K26" s="689"/>
    </row>
    <row r="27" spans="6:11" ht="11.25" customHeight="1">
      <c r="F27" s="207" t="s">
        <v>938</v>
      </c>
      <c r="G27" s="624" t="s">
        <v>939</v>
      </c>
      <c r="H27" s="690">
        <f t="shared" si="0"/>
        <v>0</v>
      </c>
      <c r="I27" s="691"/>
      <c r="J27" s="347"/>
      <c r="K27" s="689"/>
    </row>
    <row r="28" spans="6:11" ht="11.25" customHeight="1">
      <c r="F28" s="207">
        <v>2</v>
      </c>
      <c r="G28" s="301" t="s">
        <v>940</v>
      </c>
      <c r="H28" s="690">
        <f t="shared" si="0"/>
        <v>0</v>
      </c>
      <c r="I28" s="690">
        <f>SUM(I29:I31)</f>
        <v>0</v>
      </c>
      <c r="J28" s="347"/>
      <c r="K28" s="689"/>
    </row>
    <row r="29" spans="6:11" ht="11.25" customHeight="1">
      <c r="F29" s="207" t="s">
        <v>602</v>
      </c>
      <c r="G29" s="624" t="s">
        <v>941</v>
      </c>
      <c r="H29" s="690">
        <f t="shared" si="0"/>
        <v>0</v>
      </c>
      <c r="I29" s="691"/>
      <c r="J29" s="347"/>
      <c r="K29" s="689"/>
    </row>
    <row r="30" spans="6:11" ht="11.25" customHeight="1">
      <c r="F30" s="207" t="s">
        <v>294</v>
      </c>
      <c r="G30" s="624" t="s">
        <v>942</v>
      </c>
      <c r="H30" s="690">
        <f t="shared" si="0"/>
        <v>0</v>
      </c>
      <c r="I30" s="691"/>
      <c r="J30" s="347"/>
      <c r="K30" s="689"/>
    </row>
    <row r="31" spans="6:11" ht="11.25" customHeight="1">
      <c r="F31" s="207" t="s">
        <v>297</v>
      </c>
      <c r="G31" s="624" t="s">
        <v>943</v>
      </c>
      <c r="H31" s="690">
        <f t="shared" si="0"/>
        <v>0</v>
      </c>
      <c r="I31" s="691"/>
      <c r="J31" s="347"/>
      <c r="K31" s="689"/>
    </row>
    <row r="32" spans="6:11" ht="11.25" customHeight="1">
      <c r="F32" s="207">
        <v>3</v>
      </c>
      <c r="G32" s="301" t="s">
        <v>944</v>
      </c>
      <c r="H32" s="690">
        <f t="shared" si="0"/>
        <v>0</v>
      </c>
      <c r="I32" s="690">
        <f>SUM(I33:I34)</f>
        <v>0</v>
      </c>
      <c r="J32" s="347"/>
      <c r="K32" s="689"/>
    </row>
    <row r="33" spans="6:11" ht="33.75" customHeight="1">
      <c r="F33" s="207" t="s">
        <v>313</v>
      </c>
      <c r="G33" s="624" t="s">
        <v>945</v>
      </c>
      <c r="H33" s="690">
        <f t="shared" si="0"/>
        <v>0</v>
      </c>
      <c r="I33" s="691"/>
      <c r="J33" s="347"/>
      <c r="K33" s="689"/>
    </row>
    <row r="34" spans="6:11" ht="11.25" customHeight="1">
      <c r="F34" s="207" t="s">
        <v>321</v>
      </c>
      <c r="G34" s="624" t="s">
        <v>946</v>
      </c>
      <c r="H34" s="690">
        <f t="shared" si="0"/>
        <v>0</v>
      </c>
      <c r="I34" s="691"/>
      <c r="J34" s="347"/>
      <c r="K34" s="689"/>
    </row>
    <row r="35" spans="6:11" ht="11.25" customHeight="1">
      <c r="F35" s="207">
        <v>4</v>
      </c>
      <c r="G35" s="301" t="s">
        <v>947</v>
      </c>
      <c r="H35" s="690">
        <f t="shared" si="0"/>
        <v>0</v>
      </c>
      <c r="I35" s="691"/>
      <c r="J35" s="347"/>
      <c r="K35" s="689"/>
    </row>
    <row r="36" spans="6:11" ht="11.25" customHeight="1">
      <c r="F36" s="207"/>
      <c r="G36" s="627" t="s">
        <v>948</v>
      </c>
      <c r="H36" s="690">
        <f t="shared" si="0"/>
        <v>0</v>
      </c>
      <c r="I36" s="690">
        <f>SUM(I15,I28,I32,I35)</f>
        <v>0</v>
      </c>
      <c r="J36" s="347"/>
      <c r="K36" s="689"/>
    </row>
    <row r="37" spans="6:11" ht="27.75" customHeight="1">
      <c r="F37" s="347" t="s">
        <v>949</v>
      </c>
      <c r="G37" s="1222" t="s">
        <v>950</v>
      </c>
      <c r="H37" s="1222"/>
      <c r="I37" s="1222"/>
      <c r="J37" s="1222"/>
      <c r="K37" s="689"/>
    </row>
    <row r="38" spans="6:11" ht="22.5" customHeight="1">
      <c r="F38" s="207" t="s">
        <v>105</v>
      </c>
      <c r="G38" s="301" t="s">
        <v>951</v>
      </c>
      <c r="H38" s="690">
        <f t="shared" ref="H38:H58" si="1">SUM(I38:J38)</f>
        <v>0</v>
      </c>
      <c r="I38" s="690">
        <f>SUM(I39,I44,I47)</f>
        <v>0</v>
      </c>
      <c r="J38" s="347"/>
      <c r="K38" s="689"/>
    </row>
    <row r="39" spans="6:11" ht="11.25" customHeight="1">
      <c r="F39" s="207" t="s">
        <v>916</v>
      </c>
      <c r="G39" s="624" t="s">
        <v>915</v>
      </c>
      <c r="H39" s="690">
        <f t="shared" si="1"/>
        <v>0</v>
      </c>
      <c r="I39" s="690">
        <f>SUM(I40:I43)</f>
        <v>0</v>
      </c>
      <c r="J39" s="347"/>
      <c r="K39" s="689"/>
    </row>
    <row r="40" spans="6:11" ht="22.5" customHeight="1">
      <c r="F40" s="207" t="s">
        <v>952</v>
      </c>
      <c r="G40" s="692" t="s">
        <v>953</v>
      </c>
      <c r="H40" s="690">
        <f t="shared" si="1"/>
        <v>0</v>
      </c>
      <c r="I40" s="691"/>
      <c r="J40" s="347"/>
      <c r="K40" s="689"/>
    </row>
    <row r="41" spans="6:11" ht="11.25" customHeight="1">
      <c r="F41" s="207" t="s">
        <v>954</v>
      </c>
      <c r="G41" s="692" t="s">
        <v>955</v>
      </c>
      <c r="H41" s="690">
        <f t="shared" si="1"/>
        <v>0</v>
      </c>
      <c r="I41" s="691"/>
      <c r="J41" s="347"/>
      <c r="K41" s="689"/>
    </row>
    <row r="42" spans="6:11" ht="11.25" customHeight="1">
      <c r="F42" s="207" t="s">
        <v>956</v>
      </c>
      <c r="G42" s="692" t="s">
        <v>957</v>
      </c>
      <c r="H42" s="690">
        <f t="shared" si="1"/>
        <v>0</v>
      </c>
      <c r="I42" s="691"/>
      <c r="J42" s="347"/>
      <c r="K42" s="689"/>
    </row>
    <row r="43" spans="6:11" ht="33.75" customHeight="1">
      <c r="F43" s="207" t="s">
        <v>958</v>
      </c>
      <c r="G43" s="692" t="s">
        <v>959</v>
      </c>
      <c r="H43" s="690">
        <f t="shared" si="1"/>
        <v>0</v>
      </c>
      <c r="I43" s="691"/>
      <c r="J43" s="347"/>
      <c r="K43" s="689"/>
    </row>
    <row r="44" spans="6:11" ht="11.25" customHeight="1">
      <c r="F44" s="207" t="s">
        <v>918</v>
      </c>
      <c r="G44" s="624" t="s">
        <v>944</v>
      </c>
      <c r="H44" s="690">
        <f t="shared" si="1"/>
        <v>0</v>
      </c>
      <c r="I44" s="690">
        <f>SUM(I45:I46)</f>
        <v>0</v>
      </c>
      <c r="J44" s="347"/>
      <c r="K44" s="689"/>
    </row>
    <row r="45" spans="6:11" ht="45" customHeight="1">
      <c r="F45" s="207" t="s">
        <v>960</v>
      </c>
      <c r="G45" s="692" t="s">
        <v>945</v>
      </c>
      <c r="H45" s="690">
        <f t="shared" si="1"/>
        <v>0</v>
      </c>
      <c r="I45" s="691"/>
      <c r="J45" s="347"/>
      <c r="K45" s="689"/>
    </row>
    <row r="46" spans="6:11" ht="11.25" customHeight="1">
      <c r="F46" s="207" t="s">
        <v>961</v>
      </c>
      <c r="G46" s="692" t="s">
        <v>946</v>
      </c>
      <c r="H46" s="690">
        <f t="shared" si="1"/>
        <v>0</v>
      </c>
      <c r="I46" s="691"/>
      <c r="J46" s="347"/>
      <c r="K46" s="689"/>
    </row>
    <row r="47" spans="6:11" ht="11.25" customHeight="1">
      <c r="F47" s="207" t="s">
        <v>920</v>
      </c>
      <c r="G47" s="624" t="s">
        <v>962</v>
      </c>
      <c r="H47" s="690">
        <f t="shared" si="1"/>
        <v>0</v>
      </c>
      <c r="I47" s="691"/>
      <c r="J47" s="347"/>
      <c r="K47" s="689"/>
    </row>
    <row r="48" spans="6:11" ht="22.5" customHeight="1">
      <c r="F48" s="207" t="s">
        <v>106</v>
      </c>
      <c r="G48" s="301" t="s">
        <v>963</v>
      </c>
      <c r="H48" s="690">
        <f t="shared" si="1"/>
        <v>0</v>
      </c>
      <c r="I48" s="690">
        <f>SUM(I49,I54,I57)</f>
        <v>0</v>
      </c>
      <c r="J48" s="347"/>
      <c r="K48" s="689"/>
    </row>
    <row r="49" spans="6:11" ht="11.25" customHeight="1">
      <c r="F49" s="207" t="s">
        <v>602</v>
      </c>
      <c r="G49" s="624" t="s">
        <v>915</v>
      </c>
      <c r="H49" s="690">
        <f t="shared" si="1"/>
        <v>0</v>
      </c>
      <c r="I49" s="690">
        <f>SUM(I50:I53)</f>
        <v>0</v>
      </c>
      <c r="J49" s="347"/>
      <c r="K49" s="689"/>
    </row>
    <row r="50" spans="6:11" ht="22.5" customHeight="1">
      <c r="F50" s="207" t="s">
        <v>605</v>
      </c>
      <c r="G50" s="692" t="s">
        <v>953</v>
      </c>
      <c r="H50" s="690">
        <f t="shared" si="1"/>
        <v>0</v>
      </c>
      <c r="I50" s="691"/>
      <c r="J50" s="347"/>
      <c r="K50" s="689"/>
    </row>
    <row r="51" spans="6:11" ht="11.25" customHeight="1">
      <c r="F51" s="207" t="s">
        <v>608</v>
      </c>
      <c r="G51" s="692" t="s">
        <v>955</v>
      </c>
      <c r="H51" s="690">
        <f t="shared" si="1"/>
        <v>0</v>
      </c>
      <c r="I51" s="691"/>
      <c r="J51" s="347"/>
      <c r="K51" s="689"/>
    </row>
    <row r="52" spans="6:11" ht="11.25" customHeight="1">
      <c r="F52" s="207" t="s">
        <v>964</v>
      </c>
      <c r="G52" s="692" t="s">
        <v>957</v>
      </c>
      <c r="H52" s="690">
        <f t="shared" si="1"/>
        <v>0</v>
      </c>
      <c r="I52" s="691"/>
      <c r="J52" s="347"/>
      <c r="K52" s="689"/>
    </row>
    <row r="53" spans="6:11" ht="33.75" customHeight="1">
      <c r="F53" s="207" t="s">
        <v>965</v>
      </c>
      <c r="G53" s="692" t="s">
        <v>959</v>
      </c>
      <c r="H53" s="690">
        <f t="shared" si="1"/>
        <v>0</v>
      </c>
      <c r="I53" s="691"/>
      <c r="J53" s="347"/>
      <c r="K53" s="689"/>
    </row>
    <row r="54" spans="6:11" ht="11.25" customHeight="1">
      <c r="F54" s="207" t="s">
        <v>294</v>
      </c>
      <c r="G54" s="624" t="s">
        <v>944</v>
      </c>
      <c r="H54" s="690">
        <f t="shared" si="1"/>
        <v>0</v>
      </c>
      <c r="I54" s="690">
        <f>SUM(I55:I56)</f>
        <v>0</v>
      </c>
      <c r="J54" s="347"/>
      <c r="K54" s="689"/>
    </row>
    <row r="55" spans="6:11" ht="45" customHeight="1">
      <c r="F55" s="207" t="s">
        <v>612</v>
      </c>
      <c r="G55" s="692" t="s">
        <v>945</v>
      </c>
      <c r="H55" s="690">
        <f t="shared" si="1"/>
        <v>0</v>
      </c>
      <c r="I55" s="691"/>
      <c r="J55" s="347"/>
      <c r="K55" s="689"/>
    </row>
    <row r="56" spans="6:11" ht="11.25" customHeight="1">
      <c r="F56" s="207" t="s">
        <v>614</v>
      </c>
      <c r="G56" s="692" t="s">
        <v>946</v>
      </c>
      <c r="H56" s="690">
        <f t="shared" si="1"/>
        <v>0</v>
      </c>
      <c r="I56" s="691"/>
      <c r="J56" s="347"/>
      <c r="K56" s="689"/>
    </row>
    <row r="57" spans="6:11" ht="11.25" customHeight="1">
      <c r="F57" s="207" t="s">
        <v>297</v>
      </c>
      <c r="G57" s="624" t="s">
        <v>962</v>
      </c>
      <c r="H57" s="690">
        <f t="shared" si="1"/>
        <v>0</v>
      </c>
      <c r="I57" s="691"/>
      <c r="J57" s="347"/>
      <c r="K57" s="689"/>
    </row>
    <row r="58" spans="6:11" ht="11.25" customHeight="1">
      <c r="F58" s="207"/>
      <c r="G58" s="292" t="s">
        <v>948</v>
      </c>
      <c r="H58" s="690">
        <f t="shared" si="1"/>
        <v>0</v>
      </c>
      <c r="I58" s="690">
        <f>SUM(I38,I48)</f>
        <v>0</v>
      </c>
      <c r="J58" s="347"/>
      <c r="K58" s="689"/>
    </row>
  </sheetData>
  <mergeCells count="9">
    <mergeCell ref="G14:J14"/>
    <mergeCell ref="G37:J37"/>
    <mergeCell ref="F5:J5"/>
    <mergeCell ref="F6:J6"/>
    <mergeCell ref="F9:J9"/>
    <mergeCell ref="F10:F12"/>
    <mergeCell ref="G10:G12"/>
    <mergeCell ref="H10:J10"/>
    <mergeCell ref="H11:J11"/>
  </mergeCells>
  <dataValidations count="1">
    <dataValidation type="decimal" allowBlank="1" showErrorMessage="1" errorTitle="Ошибка" error="Допускается ввод только неотрицательных чисел!" sqref="I16:I27 I29:I31 I33:I35 I40:I43 I45:I47 I50:I53 I55:I57">
      <formula1>0</formula1>
      <formula2>9.99999999999999E+23</formula2>
    </dataValidation>
  </dataValidations>
  <pageMargins left="0.7" right="0.7" top="0.625" bottom="0.62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GB24"/>
  <sheetViews>
    <sheetView showGridLines="0" topLeftCell="E4" zoomScale="90" zoomScaleNormal="90" workbookViewId="0"/>
  </sheetViews>
  <sheetFormatPr defaultColWidth="9.140625" defaultRowHeight="11.25"/>
  <cols>
    <col min="1" max="1" width="4.7109375" style="693" hidden="1" customWidth="1"/>
    <col min="2" max="2" width="4.7109375" style="694" hidden="1" customWidth="1"/>
    <col min="3" max="4" width="4.7109375" style="693" hidden="1" customWidth="1"/>
    <col min="5" max="5" width="3.5703125" style="693" customWidth="1"/>
    <col min="6" max="6" width="6.7109375" style="693" customWidth="1"/>
    <col min="7" max="7" width="18.7109375" style="693" customWidth="1"/>
    <col min="8" max="8" width="27.28515625" style="693" customWidth="1"/>
    <col min="9" max="9" width="18.7109375" style="693" customWidth="1"/>
    <col min="10" max="14" width="0.85546875" style="693" hidden="1" customWidth="1"/>
    <col min="15" max="28" width="21.7109375" style="693" hidden="1" customWidth="1"/>
    <col min="29" max="71" width="0.85546875" style="693" hidden="1" customWidth="1"/>
    <col min="72" max="79" width="21.7109375" style="693" hidden="1" customWidth="1"/>
    <col min="80" max="81" width="29.140625" style="693" hidden="1" customWidth="1"/>
    <col min="82" max="89" width="21.7109375" style="693" hidden="1" customWidth="1"/>
    <col min="90" max="102" width="0.7109375" style="693" hidden="1" customWidth="1"/>
    <col min="103" max="114" width="21.7109375" style="693" customWidth="1"/>
    <col min="115" max="128" width="0.7109375" style="693" customWidth="1"/>
    <col min="129" max="178" width="0.7109375" style="693" hidden="1" customWidth="1"/>
    <col min="179" max="179" width="0.140625" style="693" customWidth="1"/>
    <col min="180" max="184" width="9.140625" style="693"/>
  </cols>
  <sheetData>
    <row r="1" spans="2:180" s="695" customFormat="1" ht="12" hidden="1" customHeight="1">
      <c r="B1" s="696"/>
    </row>
    <row r="2" spans="2:180" s="695" customFormat="1" ht="12" hidden="1" customHeight="1">
      <c r="B2" s="696"/>
    </row>
    <row r="3" spans="2:180" s="695" customFormat="1" ht="12" hidden="1" customHeight="1">
      <c r="B3" s="696"/>
    </row>
    <row r="4" spans="2:180" ht="10.5" customHeight="1">
      <c r="H4" s="697"/>
      <c r="I4" s="697"/>
      <c r="J4" s="697"/>
      <c r="K4" s="697"/>
      <c r="L4" s="697"/>
    </row>
    <row r="5" spans="2:180" s="539" customFormat="1" ht="25.5" customHeight="1">
      <c r="B5" s="698"/>
      <c r="E5" s="699"/>
      <c r="F5" s="122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c r="AR5" s="1223"/>
      <c r="AS5" s="1223"/>
      <c r="AT5" s="1223"/>
      <c r="AU5" s="1223"/>
      <c r="AV5" s="1223"/>
      <c r="AW5" s="1223"/>
      <c r="AX5" s="1223"/>
      <c r="AY5" s="1223"/>
      <c r="AZ5" s="1223"/>
      <c r="BA5" s="1223"/>
      <c r="BB5" s="1223"/>
      <c r="BC5" s="1223"/>
      <c r="BD5" s="1223"/>
      <c r="BE5" s="1223"/>
      <c r="BF5" s="1223"/>
      <c r="BG5" s="1223"/>
      <c r="BH5" s="1223"/>
      <c r="BI5" s="1223"/>
      <c r="BJ5" s="1223"/>
      <c r="BK5" s="1223"/>
      <c r="BL5" s="1223"/>
      <c r="BM5" s="1223"/>
      <c r="BN5" s="1223"/>
      <c r="BO5" s="1223"/>
      <c r="BP5" s="1223"/>
      <c r="BQ5" s="1223"/>
      <c r="BR5" s="1223"/>
      <c r="BS5" s="1223"/>
    </row>
    <row r="6" spans="2:180" s="117" customFormat="1" ht="18" customHeight="1">
      <c r="B6" s="595"/>
      <c r="E6" s="310"/>
      <c r="F6" s="1224" t="str">
        <f>IF(org=0,"Не определено",org)</f>
        <v>Филиал ПАО "ОГК-2" - Серовская ГРЭС, г. Серов</v>
      </c>
      <c r="G6" s="1224"/>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c r="AE6" s="1224"/>
      <c r="AF6" s="1224"/>
      <c r="AG6" s="1224"/>
      <c r="AH6" s="1224"/>
      <c r="AI6" s="1224"/>
      <c r="AJ6" s="1224"/>
      <c r="AK6" s="1224"/>
      <c r="AL6" s="1224"/>
      <c r="AM6" s="1224"/>
      <c r="AN6" s="1224"/>
      <c r="AO6" s="1224"/>
      <c r="AP6" s="1224"/>
      <c r="AQ6" s="1224"/>
      <c r="AR6" s="1224"/>
      <c r="AS6" s="1224"/>
      <c r="AT6" s="1224"/>
      <c r="AU6" s="1224"/>
      <c r="AV6" s="1224"/>
      <c r="AW6" s="1224"/>
      <c r="AX6" s="1224"/>
      <c r="AY6" s="1224"/>
      <c r="AZ6" s="1224"/>
      <c r="BA6" s="1224"/>
      <c r="BB6" s="1224"/>
      <c r="BC6" s="1224"/>
      <c r="BD6" s="1224"/>
      <c r="BE6" s="1224"/>
      <c r="BF6" s="1224"/>
      <c r="BG6" s="1224"/>
      <c r="BH6" s="1224"/>
      <c r="BI6" s="1224"/>
      <c r="BJ6" s="1224"/>
      <c r="BK6" s="1224"/>
      <c r="BL6" s="1224"/>
      <c r="BM6" s="1224"/>
      <c r="BN6" s="1224"/>
      <c r="BO6" s="1224"/>
      <c r="BP6" s="1224"/>
      <c r="BQ6" s="1224"/>
      <c r="BR6" s="1224"/>
      <c r="BS6" s="1224"/>
    </row>
    <row r="7" spans="2:180" s="700" customFormat="1" ht="10.5" customHeight="1">
      <c r="B7" s="701"/>
      <c r="G7" s="702"/>
      <c r="H7" s="697"/>
      <c r="I7" s="697"/>
      <c r="J7" s="697"/>
      <c r="K7" s="697"/>
      <c r="L7" s="697"/>
    </row>
    <row r="8" spans="2:180" s="700" customFormat="1" ht="11.25" hidden="1" customHeight="1">
      <c r="B8" s="701"/>
      <c r="F8" s="117"/>
      <c r="G8" s="47"/>
      <c r="H8" s="134"/>
      <c r="I8" s="134"/>
      <c r="J8" s="134"/>
      <c r="K8" s="134"/>
      <c r="L8" s="134"/>
      <c r="M8" s="117"/>
      <c r="N8" s="117"/>
      <c r="O8" s="1225" t="s">
        <v>966</v>
      </c>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1225"/>
      <c r="AQ8" s="1225"/>
      <c r="AR8" s="1225"/>
      <c r="AS8" s="1225"/>
      <c r="AT8" s="1225"/>
      <c r="AU8" s="1225"/>
      <c r="AV8" s="1225"/>
      <c r="AW8" s="1225"/>
      <c r="AX8" s="1225"/>
      <c r="AY8" s="1225"/>
      <c r="AZ8" s="1225"/>
      <c r="BA8" s="1225"/>
      <c r="BB8" s="1225"/>
      <c r="BC8" s="1225"/>
      <c r="BD8" s="1225"/>
      <c r="BE8" s="1225"/>
      <c r="BF8" s="1225"/>
      <c r="BG8" s="1225"/>
      <c r="BH8" s="1225"/>
      <c r="BI8" s="1225"/>
      <c r="BJ8" s="1225"/>
      <c r="BK8" s="1225"/>
      <c r="BL8" s="1225"/>
      <c r="BM8" s="1225"/>
      <c r="BN8" s="1225"/>
      <c r="BO8" s="1225"/>
      <c r="BP8" s="1225"/>
      <c r="BQ8" s="1225"/>
      <c r="BR8" s="1225"/>
      <c r="BS8" s="1225"/>
      <c r="BT8" s="1226"/>
      <c r="BU8" s="1226"/>
      <c r="BV8" s="1226"/>
      <c r="BW8" s="1226"/>
      <c r="BX8" s="1226"/>
      <c r="BY8" s="1226"/>
      <c r="BZ8" s="1226"/>
      <c r="CA8" s="1226"/>
      <c r="CB8" s="1226"/>
      <c r="CC8" s="1226"/>
      <c r="CD8" s="1226"/>
      <c r="CE8" s="1226"/>
      <c r="CF8" s="1226"/>
      <c r="CG8" s="1226"/>
      <c r="CH8" s="1226"/>
      <c r="CI8" s="1226"/>
      <c r="CJ8" s="1226"/>
      <c r="CK8" s="1226"/>
      <c r="CL8" s="1226"/>
      <c r="CM8" s="1226"/>
      <c r="CN8" s="1226"/>
      <c r="CO8" s="1226"/>
      <c r="CP8" s="1226"/>
      <c r="CQ8" s="1226"/>
      <c r="CR8" s="1226"/>
      <c r="CS8" s="1226"/>
      <c r="CT8" s="1226"/>
      <c r="CU8" s="1226"/>
      <c r="CV8" s="1226"/>
      <c r="CW8" s="1226"/>
      <c r="CX8" s="1226"/>
      <c r="CY8" s="1227"/>
      <c r="CZ8" s="1227"/>
      <c r="DA8" s="1227"/>
      <c r="DB8" s="1227"/>
      <c r="DC8" s="1227"/>
      <c r="DD8" s="1227"/>
      <c r="DE8" s="1227"/>
      <c r="DF8" s="1227"/>
      <c r="DG8" s="1227"/>
      <c r="DH8" s="1227"/>
      <c r="DI8" s="1227"/>
      <c r="DJ8" s="1227"/>
      <c r="DK8" s="1227"/>
      <c r="DL8" s="1227"/>
      <c r="DM8" s="1227"/>
      <c r="DN8" s="1227"/>
      <c r="DO8" s="1227"/>
      <c r="DP8" s="1227"/>
      <c r="DQ8" s="1227"/>
      <c r="DR8" s="1227"/>
      <c r="DS8" s="1227"/>
      <c r="DT8" s="1227"/>
      <c r="DU8" s="1227"/>
      <c r="DV8" s="1227"/>
      <c r="DW8" s="1227"/>
      <c r="DX8" s="1227"/>
      <c r="DY8" s="1228" t="s">
        <v>967</v>
      </c>
      <c r="DZ8" s="1228"/>
      <c r="EA8" s="1228"/>
      <c r="EB8" s="1228"/>
      <c r="EC8" s="1228"/>
      <c r="ED8" s="1228"/>
      <c r="EE8" s="1228"/>
      <c r="EF8" s="1228"/>
      <c r="EG8" s="1228"/>
      <c r="EH8" s="1228"/>
      <c r="EI8" s="1228"/>
      <c r="EJ8" s="1228"/>
      <c r="EK8" s="1228"/>
      <c r="EL8" s="1228"/>
      <c r="EM8" s="1228"/>
      <c r="EN8" s="1228"/>
      <c r="EO8" s="1228"/>
      <c r="EP8" s="1228"/>
      <c r="EQ8" s="1228"/>
      <c r="ER8" s="1228"/>
      <c r="ES8" s="1228"/>
      <c r="ET8" s="1228"/>
      <c r="EU8" s="1228"/>
      <c r="EV8" s="1228"/>
      <c r="EW8" s="1228"/>
      <c r="EX8" s="1228"/>
      <c r="EY8" s="1228"/>
      <c r="EZ8" s="1228"/>
      <c r="FA8" s="1228"/>
      <c r="FB8" s="1228"/>
      <c r="FC8" s="1228"/>
      <c r="FD8" s="1228"/>
      <c r="FE8" s="1228"/>
      <c r="FF8" s="1228"/>
      <c r="FG8" s="1228"/>
      <c r="FH8" s="1228"/>
      <c r="FI8" s="1228"/>
      <c r="FJ8" s="1228"/>
      <c r="FK8" s="1228"/>
      <c r="FL8" s="1228"/>
      <c r="FM8" s="1228"/>
      <c r="FN8" s="1228"/>
      <c r="FO8" s="1228"/>
      <c r="FP8" s="1228"/>
      <c r="FQ8" s="1228"/>
      <c r="FR8" s="1228"/>
      <c r="FS8" s="1228"/>
      <c r="FT8" s="1228"/>
      <c r="FU8" s="1228"/>
      <c r="FV8" s="1228"/>
      <c r="FW8" s="1229"/>
      <c r="FX8" s="117"/>
    </row>
    <row r="9" spans="2:180" s="700" customFormat="1" ht="11.25" hidden="1" customHeight="1">
      <c r="B9" s="701"/>
      <c r="F9" s="117"/>
      <c r="G9" s="47"/>
      <c r="H9" s="134"/>
      <c r="I9" s="134"/>
      <c r="J9" s="134"/>
      <c r="K9" s="134"/>
      <c r="L9" s="134"/>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229"/>
      <c r="FX9" s="117"/>
    </row>
    <row r="10" spans="2:180" s="700" customFormat="1" ht="11.25" customHeight="1">
      <c r="B10" s="701"/>
      <c r="F10" s="1099" t="s">
        <v>287</v>
      </c>
      <c r="G10" s="1099"/>
      <c r="H10" s="1099"/>
      <c r="I10" s="1099"/>
      <c r="J10" s="1099"/>
      <c r="K10" s="1099"/>
      <c r="L10" s="1099"/>
      <c r="M10" s="1099"/>
      <c r="N10" s="1099"/>
      <c r="O10" s="1099"/>
      <c r="P10" s="1099"/>
      <c r="Q10" s="1099"/>
      <c r="R10" s="1099"/>
      <c r="S10" s="1099"/>
      <c r="T10" s="1099"/>
      <c r="U10" s="1099"/>
      <c r="V10" s="1099"/>
      <c r="W10" s="1099"/>
      <c r="X10" s="1099"/>
      <c r="Y10" s="1099"/>
      <c r="Z10" s="1099"/>
      <c r="AA10" s="1099"/>
      <c r="AB10" s="1099"/>
      <c r="AC10" s="1099"/>
      <c r="AD10" s="1099"/>
      <c r="AE10" s="1099"/>
      <c r="AF10" s="1099"/>
      <c r="AG10" s="1099"/>
      <c r="AH10" s="1099"/>
      <c r="AI10" s="1099"/>
      <c r="AJ10" s="1099"/>
      <c r="AK10" s="1099"/>
      <c r="AL10" s="1099"/>
      <c r="AM10" s="1099"/>
      <c r="AN10" s="1099"/>
      <c r="AO10" s="1099"/>
      <c r="AP10" s="1099"/>
      <c r="AQ10" s="1099"/>
      <c r="AR10" s="1099"/>
      <c r="AS10" s="1099"/>
      <c r="AT10" s="1099"/>
      <c r="AU10" s="1099"/>
      <c r="AV10" s="1099"/>
      <c r="AW10" s="1099"/>
      <c r="AX10" s="1099"/>
      <c r="AY10" s="1099"/>
      <c r="AZ10" s="1099"/>
      <c r="BA10" s="1099"/>
      <c r="BB10" s="1099"/>
      <c r="BC10" s="1099"/>
      <c r="BD10" s="1099"/>
      <c r="BE10" s="1099"/>
      <c r="BF10" s="1099"/>
      <c r="BG10" s="1099"/>
      <c r="BH10" s="1099"/>
      <c r="BI10" s="1099"/>
      <c r="BJ10" s="1099"/>
      <c r="BK10" s="1099"/>
      <c r="BL10" s="1099"/>
      <c r="BM10" s="1099"/>
      <c r="BN10" s="1099"/>
      <c r="BO10" s="1099"/>
      <c r="BP10" s="1099"/>
      <c r="BQ10" s="1099"/>
      <c r="BR10" s="1099"/>
      <c r="BS10" s="1099"/>
      <c r="BT10" s="1099"/>
      <c r="BU10" s="1099"/>
      <c r="BV10" s="1099"/>
      <c r="BW10" s="1099"/>
      <c r="BX10" s="1099"/>
      <c r="BY10" s="1099"/>
      <c r="BZ10" s="1099"/>
      <c r="CA10" s="1099"/>
      <c r="CB10" s="1099"/>
      <c r="CC10" s="1099"/>
      <c r="CD10" s="1099"/>
      <c r="CE10" s="1099"/>
      <c r="CF10" s="1099"/>
      <c r="CG10" s="1099"/>
      <c r="CH10" s="1099"/>
      <c r="CI10" s="1099"/>
      <c r="CJ10" s="1099"/>
      <c r="CK10" s="1099"/>
      <c r="CL10" s="1099"/>
      <c r="CM10" s="1099"/>
      <c r="CN10" s="1099"/>
      <c r="CO10" s="1099"/>
      <c r="CP10" s="1099"/>
      <c r="CQ10" s="1099"/>
      <c r="CR10" s="1099"/>
      <c r="CS10" s="1099"/>
      <c r="CT10" s="1099"/>
      <c r="CU10" s="1099"/>
      <c r="CV10" s="1099"/>
      <c r="CW10" s="1099"/>
      <c r="CX10" s="1099"/>
      <c r="CY10" s="1099"/>
      <c r="CZ10" s="1099"/>
      <c r="DA10" s="1099"/>
      <c r="DB10" s="1099"/>
      <c r="DC10" s="1099"/>
      <c r="DD10" s="1099"/>
      <c r="DE10" s="1099"/>
      <c r="DF10" s="1099"/>
      <c r="DG10" s="1099"/>
      <c r="DH10" s="1099"/>
      <c r="DI10" s="1099"/>
      <c r="DJ10" s="1099"/>
      <c r="DK10" s="1099"/>
      <c r="DL10" s="1099"/>
      <c r="DM10" s="1099"/>
      <c r="DN10" s="1099"/>
      <c r="DO10" s="1099"/>
      <c r="DP10" s="1099"/>
      <c r="DQ10" s="1099"/>
      <c r="DR10" s="1099"/>
      <c r="DS10" s="1099"/>
      <c r="DT10" s="1099"/>
      <c r="DU10" s="1099"/>
      <c r="DV10" s="1099"/>
      <c r="DW10" s="1099"/>
      <c r="DX10" s="1099"/>
      <c r="DY10" s="1099"/>
      <c r="DZ10" s="1099"/>
      <c r="EA10" s="1099"/>
      <c r="EB10" s="1099"/>
      <c r="EC10" s="1099"/>
      <c r="ED10" s="1099"/>
      <c r="EE10" s="1099"/>
      <c r="EF10" s="1099"/>
      <c r="EG10" s="1099"/>
      <c r="EH10" s="1099"/>
      <c r="EI10" s="1099"/>
      <c r="EJ10" s="1099"/>
      <c r="EK10" s="1099"/>
      <c r="EL10" s="1099"/>
      <c r="EM10" s="1099"/>
      <c r="EN10" s="1099"/>
      <c r="EO10" s="1099"/>
      <c r="EP10" s="1099"/>
      <c r="EQ10" s="1099"/>
      <c r="ER10" s="1099"/>
      <c r="ES10" s="1099"/>
      <c r="ET10" s="1099"/>
      <c r="EU10" s="1099"/>
      <c r="EV10" s="1099"/>
      <c r="EW10" s="1099"/>
      <c r="EX10" s="1099"/>
      <c r="EY10" s="1099"/>
      <c r="EZ10" s="1099"/>
      <c r="FA10" s="1099"/>
      <c r="FB10" s="1099"/>
      <c r="FC10" s="1099"/>
      <c r="FD10" s="1099"/>
      <c r="FE10" s="1099"/>
      <c r="FF10" s="1099"/>
      <c r="FG10" s="1099"/>
      <c r="FH10" s="1099"/>
      <c r="FI10" s="1099"/>
      <c r="FJ10" s="1099"/>
      <c r="FK10" s="1099"/>
      <c r="FL10" s="1099"/>
      <c r="FM10" s="1099"/>
      <c r="FN10" s="1099"/>
      <c r="FO10" s="1099"/>
      <c r="FP10" s="1099"/>
      <c r="FQ10" s="1099"/>
      <c r="FR10" s="1099"/>
      <c r="FS10" s="1099"/>
      <c r="FT10" s="1099"/>
      <c r="FU10" s="1099"/>
      <c r="FV10" s="1099"/>
      <c r="FW10" s="1229"/>
      <c r="FX10" s="117"/>
    </row>
    <row r="11" spans="2:180" ht="12" customHeight="1">
      <c r="E11" s="703"/>
      <c r="F11" s="1182" t="s">
        <v>84</v>
      </c>
      <c r="G11" s="1182" t="s">
        <v>968</v>
      </c>
      <c r="H11" s="1182" t="s">
        <v>969</v>
      </c>
      <c r="I11" s="1182" t="s">
        <v>970</v>
      </c>
      <c r="J11" s="1230"/>
      <c r="K11" s="1230"/>
      <c r="L11" s="1230"/>
      <c r="M11" s="1230"/>
      <c r="N11" s="1230"/>
      <c r="O11" s="1167" t="s">
        <v>971</v>
      </c>
      <c r="P11" s="1167"/>
      <c r="Q11" s="1167"/>
      <c r="R11" s="1167"/>
      <c r="S11" s="1167"/>
      <c r="T11" s="1167"/>
      <c r="U11" s="1167"/>
      <c r="V11" s="1167"/>
      <c r="W11" s="1167"/>
      <c r="X11" s="1167"/>
      <c r="Y11" s="1167"/>
      <c r="Z11" s="1167"/>
      <c r="AA11" s="1167"/>
      <c r="AB11" s="1167"/>
      <c r="AC11" s="1231"/>
      <c r="AD11" s="1231"/>
      <c r="AE11" s="1231"/>
      <c r="AF11" s="1231"/>
      <c r="AG11" s="1231"/>
      <c r="AH11" s="1231"/>
      <c r="AI11" s="1231"/>
      <c r="AJ11" s="1231"/>
      <c r="AK11" s="1231"/>
      <c r="AL11" s="1231"/>
      <c r="AM11" s="1231"/>
      <c r="AN11" s="1231"/>
      <c r="AO11" s="1231"/>
      <c r="AP11" s="1231"/>
      <c r="AQ11" s="1231"/>
      <c r="AR11" s="1231"/>
      <c r="AS11" s="1231"/>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c r="BQ11" s="1231"/>
      <c r="BR11" s="1231"/>
      <c r="BS11" s="1232"/>
      <c r="BT11" s="1167" t="s">
        <v>971</v>
      </c>
      <c r="BU11" s="1167"/>
      <c r="BV11" s="1167"/>
      <c r="BW11" s="1167"/>
      <c r="BX11" s="1167"/>
      <c r="BY11" s="1167"/>
      <c r="BZ11" s="1167"/>
      <c r="CA11" s="1167"/>
      <c r="CB11" s="1167"/>
      <c r="CC11" s="1167"/>
      <c r="CD11" s="1167"/>
      <c r="CE11" s="1167"/>
      <c r="CF11" s="1167"/>
      <c r="CG11" s="1167"/>
      <c r="CH11" s="1167"/>
      <c r="CI11" s="1167"/>
      <c r="CJ11" s="1167"/>
      <c r="CK11" s="1167"/>
      <c r="CL11" s="1233"/>
      <c r="CM11" s="1231"/>
      <c r="CN11" s="1231"/>
      <c r="CO11" s="1231"/>
      <c r="CP11" s="1231"/>
      <c r="CQ11" s="1231"/>
      <c r="CR11" s="1231"/>
      <c r="CS11" s="1231"/>
      <c r="CT11" s="1231"/>
      <c r="CU11" s="1231"/>
      <c r="CV11" s="1231"/>
      <c r="CW11" s="1231"/>
      <c r="CX11" s="1232"/>
      <c r="CY11" s="1167" t="s">
        <v>971</v>
      </c>
      <c r="CZ11" s="1167"/>
      <c r="DA11" s="1167"/>
      <c r="DB11" s="1167"/>
      <c r="DC11" s="1167"/>
      <c r="DD11" s="1167"/>
      <c r="DE11" s="1167"/>
      <c r="DF11" s="1167"/>
      <c r="DG11" s="1167"/>
      <c r="DH11" s="1167"/>
      <c r="DI11" s="1167"/>
      <c r="DJ11" s="1167"/>
      <c r="DK11" s="1233"/>
      <c r="DL11" s="1231"/>
      <c r="DM11" s="1231"/>
      <c r="DN11" s="1231"/>
      <c r="DO11" s="1231"/>
      <c r="DP11" s="1231"/>
      <c r="DQ11" s="1231"/>
      <c r="DR11" s="1231"/>
      <c r="DS11" s="1231"/>
      <c r="DT11" s="1231"/>
      <c r="DU11" s="1231"/>
      <c r="DV11" s="1231"/>
      <c r="DW11" s="1231"/>
      <c r="DX11" s="1231"/>
      <c r="DY11" s="1231"/>
      <c r="DZ11" s="1231"/>
      <c r="EA11" s="1231"/>
      <c r="EB11" s="1231"/>
      <c r="EC11" s="1231"/>
      <c r="ED11" s="1231"/>
      <c r="EE11" s="1231"/>
      <c r="EF11" s="1231"/>
      <c r="EG11" s="1231"/>
      <c r="EH11" s="1231"/>
      <c r="EI11" s="1231"/>
      <c r="EJ11" s="1231"/>
      <c r="EK11" s="1231"/>
      <c r="EL11" s="1231"/>
      <c r="EM11" s="1231"/>
      <c r="EN11" s="1231"/>
      <c r="EO11" s="1231"/>
      <c r="EP11" s="1231"/>
      <c r="EQ11" s="1231"/>
      <c r="ER11" s="1231"/>
      <c r="ES11" s="1231"/>
      <c r="ET11" s="1231"/>
      <c r="EU11" s="1231"/>
      <c r="EV11" s="1231"/>
      <c r="EW11" s="1231"/>
      <c r="EX11" s="1231"/>
      <c r="EY11" s="1231"/>
      <c r="EZ11" s="1231"/>
      <c r="FA11" s="1231"/>
      <c r="FB11" s="1231"/>
      <c r="FC11" s="1231"/>
      <c r="FD11" s="1231"/>
      <c r="FE11" s="1231"/>
      <c r="FF11" s="1231"/>
      <c r="FG11" s="1231"/>
      <c r="FH11" s="1231"/>
      <c r="FI11" s="1231"/>
      <c r="FJ11" s="1231"/>
      <c r="FK11" s="1231"/>
      <c r="FL11" s="1231"/>
      <c r="FM11" s="1231"/>
      <c r="FN11" s="1231"/>
      <c r="FO11" s="1231"/>
      <c r="FP11" s="1231"/>
      <c r="FQ11" s="1231"/>
      <c r="FR11" s="1231"/>
      <c r="FS11" s="1231"/>
      <c r="FT11" s="1231"/>
      <c r="FU11" s="1231"/>
      <c r="FV11" s="1231"/>
      <c r="FW11" s="1229"/>
      <c r="FX11" s="56"/>
    </row>
    <row r="12" spans="2:180" ht="12" customHeight="1">
      <c r="D12" s="697"/>
      <c r="E12" s="703"/>
      <c r="F12" s="1182"/>
      <c r="G12" s="1182"/>
      <c r="H12" s="1182"/>
      <c r="I12" s="1182"/>
      <c r="J12" s="1230"/>
      <c r="K12" s="1230"/>
      <c r="L12" s="1230"/>
      <c r="M12" s="1230"/>
      <c r="N12" s="1230"/>
      <c r="O12" s="1167" t="s">
        <v>972</v>
      </c>
      <c r="P12" s="1167"/>
      <c r="Q12" s="1167"/>
      <c r="R12" s="1167"/>
      <c r="S12" s="1167" t="s">
        <v>973</v>
      </c>
      <c r="T12" s="1167"/>
      <c r="U12" s="1167"/>
      <c r="V12" s="1167"/>
      <c r="W12" s="1167"/>
      <c r="X12" s="1167"/>
      <c r="Y12" s="1167"/>
      <c r="Z12" s="1167"/>
      <c r="AA12" s="1167"/>
      <c r="AB12" s="1167"/>
      <c r="AC12" s="1231"/>
      <c r="AD12" s="1231"/>
      <c r="AE12" s="1231"/>
      <c r="AF12" s="1231"/>
      <c r="AG12" s="1231"/>
      <c r="AH12" s="1231"/>
      <c r="AI12" s="1231"/>
      <c r="AJ12" s="1231"/>
      <c r="AK12" s="1231"/>
      <c r="AL12" s="1231"/>
      <c r="AM12" s="1231"/>
      <c r="AN12" s="1231"/>
      <c r="AO12" s="1231"/>
      <c r="AP12" s="1231"/>
      <c r="AQ12" s="1231"/>
      <c r="AR12" s="1231"/>
      <c r="AS12" s="1231"/>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c r="BQ12" s="1231"/>
      <c r="BR12" s="1231"/>
      <c r="BS12" s="1232"/>
      <c r="BT12" s="1167" t="s">
        <v>974</v>
      </c>
      <c r="BU12" s="1167"/>
      <c r="BV12" s="1167"/>
      <c r="BW12" s="1167"/>
      <c r="BX12" s="1167" t="s">
        <v>975</v>
      </c>
      <c r="BY12" s="1167"/>
      <c r="BZ12" s="1167"/>
      <c r="CA12" s="1167"/>
      <c r="CB12" s="1167" t="s">
        <v>976</v>
      </c>
      <c r="CC12" s="1167"/>
      <c r="CD12" s="1167" t="s">
        <v>977</v>
      </c>
      <c r="CE12" s="1167"/>
      <c r="CF12" s="1167"/>
      <c r="CG12" s="1167"/>
      <c r="CH12" s="1167"/>
      <c r="CI12" s="1167"/>
      <c r="CJ12" s="1167"/>
      <c r="CK12" s="1167"/>
      <c r="CL12" s="1233"/>
      <c r="CM12" s="1231"/>
      <c r="CN12" s="1231"/>
      <c r="CO12" s="1231"/>
      <c r="CP12" s="1231"/>
      <c r="CQ12" s="1231"/>
      <c r="CR12" s="1231"/>
      <c r="CS12" s="1231"/>
      <c r="CT12" s="1231"/>
      <c r="CU12" s="1231"/>
      <c r="CV12" s="1231"/>
      <c r="CW12" s="1231"/>
      <c r="CX12" s="1232"/>
      <c r="CY12" s="1167" t="s">
        <v>978</v>
      </c>
      <c r="CZ12" s="1167"/>
      <c r="DA12" s="1167"/>
      <c r="DB12" s="1167"/>
      <c r="DC12" s="1167"/>
      <c r="DD12" s="1167"/>
      <c r="DE12" s="1167" t="s">
        <v>979</v>
      </c>
      <c r="DF12" s="1167"/>
      <c r="DG12" s="1167" t="s">
        <v>977</v>
      </c>
      <c r="DH12" s="1167"/>
      <c r="DI12" s="1167"/>
      <c r="DJ12" s="1167"/>
      <c r="DK12" s="1233"/>
      <c r="DL12" s="1231"/>
      <c r="DM12" s="1231"/>
      <c r="DN12" s="1231"/>
      <c r="DO12" s="1231"/>
      <c r="DP12" s="1231"/>
      <c r="DQ12" s="1231"/>
      <c r="DR12" s="1231"/>
      <c r="DS12" s="1231"/>
      <c r="DT12" s="1231"/>
      <c r="DU12" s="1231"/>
      <c r="DV12" s="1231"/>
      <c r="DW12" s="1231"/>
      <c r="DX12" s="1231"/>
      <c r="DY12" s="1231"/>
      <c r="DZ12" s="1231"/>
      <c r="EA12" s="1231"/>
      <c r="EB12" s="1231"/>
      <c r="EC12" s="1231"/>
      <c r="ED12" s="1231"/>
      <c r="EE12" s="1231"/>
      <c r="EF12" s="1231"/>
      <c r="EG12" s="1231"/>
      <c r="EH12" s="1231"/>
      <c r="EI12" s="1231"/>
      <c r="EJ12" s="1231"/>
      <c r="EK12" s="1231"/>
      <c r="EL12" s="1231"/>
      <c r="EM12" s="1231"/>
      <c r="EN12" s="1231"/>
      <c r="EO12" s="1231"/>
      <c r="EP12" s="1231"/>
      <c r="EQ12" s="1231"/>
      <c r="ER12" s="1231"/>
      <c r="ES12" s="1231"/>
      <c r="ET12" s="1231"/>
      <c r="EU12" s="1231"/>
      <c r="EV12" s="1231"/>
      <c r="EW12" s="1231"/>
      <c r="EX12" s="1231"/>
      <c r="EY12" s="1231"/>
      <c r="EZ12" s="1231"/>
      <c r="FA12" s="1231"/>
      <c r="FB12" s="1231"/>
      <c r="FC12" s="1231"/>
      <c r="FD12" s="1231"/>
      <c r="FE12" s="1231"/>
      <c r="FF12" s="1231"/>
      <c r="FG12" s="1231"/>
      <c r="FH12" s="1231"/>
      <c r="FI12" s="1231"/>
      <c r="FJ12" s="1231"/>
      <c r="FK12" s="1231"/>
      <c r="FL12" s="1231"/>
      <c r="FM12" s="1231"/>
      <c r="FN12" s="1231"/>
      <c r="FO12" s="1231"/>
      <c r="FP12" s="1231"/>
      <c r="FQ12" s="1231"/>
      <c r="FR12" s="1231"/>
      <c r="FS12" s="1231"/>
      <c r="FT12" s="1231"/>
      <c r="FU12" s="1231"/>
      <c r="FV12" s="1231"/>
      <c r="FW12" s="1229"/>
      <c r="FX12" s="56"/>
    </row>
    <row r="13" spans="2:180" ht="36" customHeight="1">
      <c r="D13" s="697"/>
      <c r="E13" s="703"/>
      <c r="F13" s="1182"/>
      <c r="G13" s="1182"/>
      <c r="H13" s="1182"/>
      <c r="I13" s="1182"/>
      <c r="J13" s="1230"/>
      <c r="K13" s="1230"/>
      <c r="L13" s="1230"/>
      <c r="M13" s="1230"/>
      <c r="N13" s="1230"/>
      <c r="O13" s="1167" t="s">
        <v>980</v>
      </c>
      <c r="P13" s="1167"/>
      <c r="Q13" s="1167"/>
      <c r="R13" s="1167"/>
      <c r="S13" s="1167" t="s">
        <v>981</v>
      </c>
      <c r="T13" s="1167"/>
      <c r="U13" s="1087" t="s">
        <v>982</v>
      </c>
      <c r="V13" s="1087"/>
      <c r="W13" s="1087"/>
      <c r="X13" s="1087"/>
      <c r="Y13" s="1087" t="s">
        <v>983</v>
      </c>
      <c r="Z13" s="1087"/>
      <c r="AA13" s="1087"/>
      <c r="AB13" s="1087"/>
      <c r="AC13" s="1231"/>
      <c r="AD13" s="1231"/>
      <c r="AE13" s="1231"/>
      <c r="AF13" s="1231"/>
      <c r="AG13" s="1231"/>
      <c r="AH13" s="1231"/>
      <c r="AI13" s="1231"/>
      <c r="AJ13" s="1231"/>
      <c r="AK13" s="1231"/>
      <c r="AL13" s="1231"/>
      <c r="AM13" s="1231"/>
      <c r="AN13" s="1231"/>
      <c r="AO13" s="1231"/>
      <c r="AP13" s="1231"/>
      <c r="AQ13" s="1231"/>
      <c r="AR13" s="1231"/>
      <c r="AS13" s="1231"/>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c r="BQ13" s="1231"/>
      <c r="BR13" s="1231"/>
      <c r="BS13" s="1232"/>
      <c r="BT13" s="1167" t="s">
        <v>984</v>
      </c>
      <c r="BU13" s="1167"/>
      <c r="BV13" s="1167" t="s">
        <v>985</v>
      </c>
      <c r="BW13" s="1167"/>
      <c r="BX13" s="1167" t="s">
        <v>986</v>
      </c>
      <c r="BY13" s="1167"/>
      <c r="BZ13" s="1167" t="s">
        <v>987</v>
      </c>
      <c r="CA13" s="1167"/>
      <c r="CB13" s="1167" t="s">
        <v>988</v>
      </c>
      <c r="CC13" s="1167"/>
      <c r="CD13" s="1167" t="s">
        <v>989</v>
      </c>
      <c r="CE13" s="1167"/>
      <c r="CF13" s="1167" t="s">
        <v>990</v>
      </c>
      <c r="CG13" s="1167"/>
      <c r="CH13" s="1167" t="s">
        <v>991</v>
      </c>
      <c r="CI13" s="1167"/>
      <c r="CJ13" s="1167"/>
      <c r="CK13" s="1167"/>
      <c r="CL13" s="1233"/>
      <c r="CM13" s="1231"/>
      <c r="CN13" s="1231"/>
      <c r="CO13" s="1231"/>
      <c r="CP13" s="1231"/>
      <c r="CQ13" s="1231"/>
      <c r="CR13" s="1231"/>
      <c r="CS13" s="1231"/>
      <c r="CT13" s="1231"/>
      <c r="CU13" s="1231"/>
      <c r="CV13" s="1231"/>
      <c r="CW13" s="1231"/>
      <c r="CX13" s="1232"/>
      <c r="CY13" s="1167" t="s">
        <v>992</v>
      </c>
      <c r="CZ13" s="1167"/>
      <c r="DA13" s="1167" t="s">
        <v>993</v>
      </c>
      <c r="DB13" s="1167"/>
      <c r="DC13" s="1167" t="s">
        <v>994</v>
      </c>
      <c r="DD13" s="1167"/>
      <c r="DE13" s="1167" t="s">
        <v>995</v>
      </c>
      <c r="DF13" s="1167"/>
      <c r="DG13" s="1167" t="s">
        <v>996</v>
      </c>
      <c r="DH13" s="1167"/>
      <c r="DI13" s="1167"/>
      <c r="DJ13" s="1167"/>
      <c r="DK13" s="1233"/>
      <c r="DL13" s="1231"/>
      <c r="DM13" s="1231"/>
      <c r="DN13" s="1231"/>
      <c r="DO13" s="1231"/>
      <c r="DP13" s="1231"/>
      <c r="DQ13" s="1231"/>
      <c r="DR13" s="1231"/>
      <c r="DS13" s="1231"/>
      <c r="DT13" s="1231"/>
      <c r="DU13" s="1231"/>
      <c r="DV13" s="1231"/>
      <c r="DW13" s="1231"/>
      <c r="DX13" s="1231"/>
      <c r="DY13" s="1231"/>
      <c r="DZ13" s="1231"/>
      <c r="EA13" s="1231"/>
      <c r="EB13" s="1231"/>
      <c r="EC13" s="1231"/>
      <c r="ED13" s="1231"/>
      <c r="EE13" s="1231"/>
      <c r="EF13" s="1231"/>
      <c r="EG13" s="1231"/>
      <c r="EH13" s="1231"/>
      <c r="EI13" s="1231"/>
      <c r="EJ13" s="1231"/>
      <c r="EK13" s="1231"/>
      <c r="EL13" s="1231"/>
      <c r="EM13" s="1231"/>
      <c r="EN13" s="1231"/>
      <c r="EO13" s="1231"/>
      <c r="EP13" s="1231"/>
      <c r="EQ13" s="1231"/>
      <c r="ER13" s="1231"/>
      <c r="ES13" s="1231"/>
      <c r="ET13" s="1231"/>
      <c r="EU13" s="1231"/>
      <c r="EV13" s="1231"/>
      <c r="EW13" s="1231"/>
      <c r="EX13" s="1231"/>
      <c r="EY13" s="1231"/>
      <c r="EZ13" s="1231"/>
      <c r="FA13" s="1231"/>
      <c r="FB13" s="1231"/>
      <c r="FC13" s="1231"/>
      <c r="FD13" s="1231"/>
      <c r="FE13" s="1231"/>
      <c r="FF13" s="1231"/>
      <c r="FG13" s="1231"/>
      <c r="FH13" s="1231"/>
      <c r="FI13" s="1231"/>
      <c r="FJ13" s="1231"/>
      <c r="FK13" s="1231"/>
      <c r="FL13" s="1231"/>
      <c r="FM13" s="1231"/>
      <c r="FN13" s="1231"/>
      <c r="FO13" s="1231"/>
      <c r="FP13" s="1231"/>
      <c r="FQ13" s="1231"/>
      <c r="FR13" s="1231"/>
      <c r="FS13" s="1231"/>
      <c r="FT13" s="1231"/>
      <c r="FU13" s="1231"/>
      <c r="FV13" s="1231"/>
      <c r="FW13" s="1229"/>
      <c r="FX13" s="56"/>
    </row>
    <row r="14" spans="2:180" ht="36" customHeight="1">
      <c r="D14" s="697"/>
      <c r="E14" s="703"/>
      <c r="F14" s="1182"/>
      <c r="G14" s="1182"/>
      <c r="H14" s="1182"/>
      <c r="I14" s="1182"/>
      <c r="J14" s="1230"/>
      <c r="K14" s="1230"/>
      <c r="L14" s="1230"/>
      <c r="M14" s="1230"/>
      <c r="N14" s="1230"/>
      <c r="O14" s="1167" t="s">
        <v>997</v>
      </c>
      <c r="P14" s="1167"/>
      <c r="Q14" s="1167" t="s">
        <v>998</v>
      </c>
      <c r="R14" s="1167"/>
      <c r="S14" s="1167"/>
      <c r="T14" s="1167"/>
      <c r="U14" s="1167" t="s">
        <v>730</v>
      </c>
      <c r="V14" s="1167"/>
      <c r="W14" s="1167" t="s">
        <v>733</v>
      </c>
      <c r="X14" s="1167"/>
      <c r="Y14" s="1167" t="s">
        <v>730</v>
      </c>
      <c r="Z14" s="1167"/>
      <c r="AA14" s="1167" t="s">
        <v>740</v>
      </c>
      <c r="AB14" s="1167"/>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c r="BE14" s="1231"/>
      <c r="BF14" s="1231"/>
      <c r="BG14" s="1231"/>
      <c r="BH14" s="1231"/>
      <c r="BI14" s="1231"/>
      <c r="BJ14" s="1231"/>
      <c r="BK14" s="1231"/>
      <c r="BL14" s="1231"/>
      <c r="BM14" s="1231"/>
      <c r="BN14" s="1231"/>
      <c r="BO14" s="1231"/>
      <c r="BP14" s="1231"/>
      <c r="BQ14" s="1231"/>
      <c r="BR14" s="1231"/>
      <c r="BS14" s="1232"/>
      <c r="BT14" s="1167"/>
      <c r="BU14" s="1167"/>
      <c r="BV14" s="1167"/>
      <c r="BW14" s="1167"/>
      <c r="BX14" s="1167"/>
      <c r="BY14" s="1167"/>
      <c r="BZ14" s="1167"/>
      <c r="CA14" s="1167"/>
      <c r="CB14" s="1167"/>
      <c r="CC14" s="1167"/>
      <c r="CD14" s="1167"/>
      <c r="CE14" s="1167"/>
      <c r="CF14" s="1167"/>
      <c r="CG14" s="1167"/>
      <c r="CH14" s="1216" t="s">
        <v>999</v>
      </c>
      <c r="CI14" s="1216"/>
      <c r="CJ14" s="1216" t="s">
        <v>1000</v>
      </c>
      <c r="CK14" s="1216"/>
      <c r="CL14" s="1233"/>
      <c r="CM14" s="1231"/>
      <c r="CN14" s="1231"/>
      <c r="CO14" s="1231"/>
      <c r="CP14" s="1231"/>
      <c r="CQ14" s="1231"/>
      <c r="CR14" s="1231"/>
      <c r="CS14" s="1231"/>
      <c r="CT14" s="1231"/>
      <c r="CU14" s="1231"/>
      <c r="CV14" s="1231"/>
      <c r="CW14" s="1231"/>
      <c r="CX14" s="1232"/>
      <c r="CY14" s="1167"/>
      <c r="CZ14" s="1167"/>
      <c r="DA14" s="1167"/>
      <c r="DB14" s="1167"/>
      <c r="DC14" s="1167"/>
      <c r="DD14" s="1167"/>
      <c r="DE14" s="1167"/>
      <c r="DF14" s="1167"/>
      <c r="DG14" s="1167" t="s">
        <v>1001</v>
      </c>
      <c r="DH14" s="1167"/>
      <c r="DI14" s="1167" t="s">
        <v>1002</v>
      </c>
      <c r="DJ14" s="1167"/>
      <c r="DK14" s="1233"/>
      <c r="DL14" s="1231"/>
      <c r="DM14" s="1231"/>
      <c r="DN14" s="1231"/>
      <c r="DO14" s="1231"/>
      <c r="DP14" s="1231"/>
      <c r="DQ14" s="1231"/>
      <c r="DR14" s="1231"/>
      <c r="DS14" s="1231"/>
      <c r="DT14" s="1231"/>
      <c r="DU14" s="1231"/>
      <c r="DV14" s="1231"/>
      <c r="DW14" s="1231"/>
      <c r="DX14" s="1231"/>
      <c r="DY14" s="1231"/>
      <c r="DZ14" s="1231"/>
      <c r="EA14" s="1231"/>
      <c r="EB14" s="1231"/>
      <c r="EC14" s="1231"/>
      <c r="ED14" s="1231"/>
      <c r="EE14" s="1231"/>
      <c r="EF14" s="1231"/>
      <c r="EG14" s="1231"/>
      <c r="EH14" s="1231"/>
      <c r="EI14" s="1231"/>
      <c r="EJ14" s="1231"/>
      <c r="EK14" s="1231"/>
      <c r="EL14" s="1231"/>
      <c r="EM14" s="1231"/>
      <c r="EN14" s="1231"/>
      <c r="EO14" s="1231"/>
      <c r="EP14" s="1231"/>
      <c r="EQ14" s="1231"/>
      <c r="ER14" s="1231"/>
      <c r="ES14" s="1231"/>
      <c r="ET14" s="1231"/>
      <c r="EU14" s="1231"/>
      <c r="EV14" s="1231"/>
      <c r="EW14" s="1231"/>
      <c r="EX14" s="1231"/>
      <c r="EY14" s="1231"/>
      <c r="EZ14" s="1231"/>
      <c r="FA14" s="1231"/>
      <c r="FB14" s="1231"/>
      <c r="FC14" s="1231"/>
      <c r="FD14" s="1231"/>
      <c r="FE14" s="1231"/>
      <c r="FF14" s="1231"/>
      <c r="FG14" s="1231"/>
      <c r="FH14" s="1231"/>
      <c r="FI14" s="1231"/>
      <c r="FJ14" s="1231"/>
      <c r="FK14" s="1231"/>
      <c r="FL14" s="1231"/>
      <c r="FM14" s="1231"/>
      <c r="FN14" s="1231"/>
      <c r="FO14" s="1231"/>
      <c r="FP14" s="1231"/>
      <c r="FQ14" s="1231"/>
      <c r="FR14" s="1231"/>
      <c r="FS14" s="1231"/>
      <c r="FT14" s="1231"/>
      <c r="FU14" s="1231"/>
      <c r="FV14" s="1231"/>
      <c r="FW14" s="1229"/>
      <c r="FX14" s="56"/>
    </row>
    <row r="15" spans="2:180" ht="36" customHeight="1">
      <c r="D15" s="697"/>
      <c r="E15" s="703"/>
      <c r="F15" s="1182"/>
      <c r="G15" s="1182"/>
      <c r="H15" s="1182"/>
      <c r="I15" s="1182"/>
      <c r="J15" s="1230"/>
      <c r="K15" s="1230"/>
      <c r="L15" s="1230"/>
      <c r="M15" s="1230"/>
      <c r="N15" s="1230"/>
      <c r="O15" s="1167"/>
      <c r="P15" s="1167"/>
      <c r="Q15" s="1167"/>
      <c r="R15" s="1167"/>
      <c r="S15" s="1167"/>
      <c r="T15" s="1167"/>
      <c r="U15" s="1167"/>
      <c r="V15" s="1167"/>
      <c r="W15" s="1167"/>
      <c r="X15" s="1167"/>
      <c r="Y15" s="1167"/>
      <c r="Z15" s="1167"/>
      <c r="AA15" s="1167"/>
      <c r="AB15" s="1167"/>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c r="BE15" s="1231"/>
      <c r="BF15" s="1231"/>
      <c r="BG15" s="1231"/>
      <c r="BH15" s="1231"/>
      <c r="BI15" s="1231"/>
      <c r="BJ15" s="1231"/>
      <c r="BK15" s="1231"/>
      <c r="BL15" s="1231"/>
      <c r="BM15" s="1231"/>
      <c r="BN15" s="1231"/>
      <c r="BO15" s="1231"/>
      <c r="BP15" s="1231"/>
      <c r="BQ15" s="1231"/>
      <c r="BR15" s="1231"/>
      <c r="BS15" s="1232"/>
      <c r="BT15" s="1167"/>
      <c r="BU15" s="1167"/>
      <c r="BV15" s="1167"/>
      <c r="BW15" s="1167"/>
      <c r="BX15" s="1167"/>
      <c r="BY15" s="1167"/>
      <c r="BZ15" s="1167"/>
      <c r="CA15" s="1167"/>
      <c r="CB15" s="1167"/>
      <c r="CC15" s="1167"/>
      <c r="CD15" s="1167"/>
      <c r="CE15" s="1167"/>
      <c r="CF15" s="1167"/>
      <c r="CG15" s="1167"/>
      <c r="CH15" s="1216"/>
      <c r="CI15" s="1216"/>
      <c r="CJ15" s="1216"/>
      <c r="CK15" s="1216"/>
      <c r="CL15" s="1233"/>
      <c r="CM15" s="1231"/>
      <c r="CN15" s="1231"/>
      <c r="CO15" s="1231"/>
      <c r="CP15" s="1231"/>
      <c r="CQ15" s="1231"/>
      <c r="CR15" s="1231"/>
      <c r="CS15" s="1231"/>
      <c r="CT15" s="1231"/>
      <c r="CU15" s="1231"/>
      <c r="CV15" s="1231"/>
      <c r="CW15" s="1231"/>
      <c r="CX15" s="1232"/>
      <c r="CY15" s="1167"/>
      <c r="CZ15" s="1167"/>
      <c r="DA15" s="1167"/>
      <c r="DB15" s="1167"/>
      <c r="DC15" s="1167"/>
      <c r="DD15" s="1167"/>
      <c r="DE15" s="1167"/>
      <c r="DF15" s="1167"/>
      <c r="DG15" s="1167"/>
      <c r="DH15" s="1167"/>
      <c r="DI15" s="1167"/>
      <c r="DJ15" s="1167"/>
      <c r="DK15" s="1233"/>
      <c r="DL15" s="1231"/>
      <c r="DM15" s="1231"/>
      <c r="DN15" s="1231"/>
      <c r="DO15" s="1231"/>
      <c r="DP15" s="1231"/>
      <c r="DQ15" s="1231"/>
      <c r="DR15" s="1231"/>
      <c r="DS15" s="1231"/>
      <c r="DT15" s="1231"/>
      <c r="DU15" s="1231"/>
      <c r="DV15" s="1231"/>
      <c r="DW15" s="1231"/>
      <c r="DX15" s="1231"/>
      <c r="DY15" s="1231"/>
      <c r="DZ15" s="1231"/>
      <c r="EA15" s="1231"/>
      <c r="EB15" s="1231"/>
      <c r="EC15" s="1231"/>
      <c r="ED15" s="1231"/>
      <c r="EE15" s="1231"/>
      <c r="EF15" s="1231"/>
      <c r="EG15" s="1231"/>
      <c r="EH15" s="1231"/>
      <c r="EI15" s="1231"/>
      <c r="EJ15" s="1231"/>
      <c r="EK15" s="1231"/>
      <c r="EL15" s="1231"/>
      <c r="EM15" s="1231"/>
      <c r="EN15" s="1231"/>
      <c r="EO15" s="1231"/>
      <c r="EP15" s="1231"/>
      <c r="EQ15" s="1231"/>
      <c r="ER15" s="1231"/>
      <c r="ES15" s="1231"/>
      <c r="ET15" s="1231"/>
      <c r="EU15" s="1231"/>
      <c r="EV15" s="1231"/>
      <c r="EW15" s="1231"/>
      <c r="EX15" s="1231"/>
      <c r="EY15" s="1231"/>
      <c r="EZ15" s="1231"/>
      <c r="FA15" s="1231"/>
      <c r="FB15" s="1231"/>
      <c r="FC15" s="1231"/>
      <c r="FD15" s="1231"/>
      <c r="FE15" s="1231"/>
      <c r="FF15" s="1231"/>
      <c r="FG15" s="1231"/>
      <c r="FH15" s="1231"/>
      <c r="FI15" s="1231"/>
      <c r="FJ15" s="1231"/>
      <c r="FK15" s="1231"/>
      <c r="FL15" s="1231"/>
      <c r="FM15" s="1231"/>
      <c r="FN15" s="1231"/>
      <c r="FO15" s="1231"/>
      <c r="FP15" s="1231"/>
      <c r="FQ15" s="1231"/>
      <c r="FR15" s="1231"/>
      <c r="FS15" s="1231"/>
      <c r="FT15" s="1231"/>
      <c r="FU15" s="1231"/>
      <c r="FV15" s="1231"/>
      <c r="FW15" s="1229"/>
      <c r="FX15" s="56"/>
    </row>
    <row r="16" spans="2:180" ht="12" customHeight="1">
      <c r="D16" s="697"/>
      <c r="E16" s="703"/>
      <c r="F16" s="1182"/>
      <c r="G16" s="1182"/>
      <c r="H16" s="1182"/>
      <c r="I16" s="1182"/>
      <c r="J16" s="1230"/>
      <c r="K16" s="1230"/>
      <c r="L16" s="1230"/>
      <c r="M16" s="1230"/>
      <c r="N16" s="1230"/>
      <c r="O16" s="1167" t="s">
        <v>720</v>
      </c>
      <c r="P16" s="1167"/>
      <c r="Q16" s="1167" t="s">
        <v>722</v>
      </c>
      <c r="R16" s="1167"/>
      <c r="S16" s="1167" t="s">
        <v>726</v>
      </c>
      <c r="T16" s="1167"/>
      <c r="U16" s="1167" t="s">
        <v>731</v>
      </c>
      <c r="V16" s="1167"/>
      <c r="W16" s="1167" t="s">
        <v>734</v>
      </c>
      <c r="X16" s="1167"/>
      <c r="Y16" s="1167" t="s">
        <v>738</v>
      </c>
      <c r="Z16" s="1167"/>
      <c r="AA16" s="1167" t="s">
        <v>741</v>
      </c>
      <c r="AB16" s="1167"/>
      <c r="AC16" s="1231"/>
      <c r="AD16" s="1231"/>
      <c r="AE16" s="1231"/>
      <c r="AF16" s="1231"/>
      <c r="AG16" s="1231"/>
      <c r="AH16" s="1231"/>
      <c r="AI16" s="1231"/>
      <c r="AJ16" s="1231"/>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c r="BQ16" s="1231"/>
      <c r="BR16" s="1231"/>
      <c r="BS16" s="1232"/>
      <c r="BT16" s="1167" t="s">
        <v>538</v>
      </c>
      <c r="BU16" s="1167"/>
      <c r="BV16" s="1167" t="s">
        <v>538</v>
      </c>
      <c r="BW16" s="1167"/>
      <c r="BX16" s="1167" t="s">
        <v>538</v>
      </c>
      <c r="BY16" s="1167"/>
      <c r="BZ16" s="1167" t="s">
        <v>538</v>
      </c>
      <c r="CA16" s="1167"/>
      <c r="CB16" s="1167" t="s">
        <v>1003</v>
      </c>
      <c r="CC16" s="1167"/>
      <c r="CD16" s="1167" t="s">
        <v>538</v>
      </c>
      <c r="CE16" s="1167"/>
      <c r="CF16" s="1167" t="s">
        <v>1004</v>
      </c>
      <c r="CG16" s="1167"/>
      <c r="CH16" s="1167" t="s">
        <v>1005</v>
      </c>
      <c r="CI16" s="1167"/>
      <c r="CJ16" s="1167" t="s">
        <v>1005</v>
      </c>
      <c r="CK16" s="1167"/>
      <c r="CL16" s="1233"/>
      <c r="CM16" s="1231"/>
      <c r="CN16" s="1231"/>
      <c r="CO16" s="1231"/>
      <c r="CP16" s="1231"/>
      <c r="CQ16" s="1231"/>
      <c r="CR16" s="1231"/>
      <c r="CS16" s="1231"/>
      <c r="CT16" s="1231"/>
      <c r="CU16" s="1231"/>
      <c r="CV16" s="1231"/>
      <c r="CW16" s="1231"/>
      <c r="CX16" s="1232"/>
      <c r="CY16" s="1234" t="s">
        <v>538</v>
      </c>
      <c r="CZ16" s="1234"/>
      <c r="DA16" s="1234" t="s">
        <v>538</v>
      </c>
      <c r="DB16" s="1234"/>
      <c r="DC16" s="1234" t="s">
        <v>538</v>
      </c>
      <c r="DD16" s="1234"/>
      <c r="DE16" s="1167" t="s">
        <v>1003</v>
      </c>
      <c r="DF16" s="1167"/>
      <c r="DG16" s="1167" t="s">
        <v>1006</v>
      </c>
      <c r="DH16" s="1167"/>
      <c r="DI16" s="1167" t="s">
        <v>1006</v>
      </c>
      <c r="DJ16" s="1167"/>
      <c r="DK16" s="1233"/>
      <c r="DL16" s="1231"/>
      <c r="DM16" s="1231"/>
      <c r="DN16" s="1231"/>
      <c r="DO16" s="1231"/>
      <c r="DP16" s="1231"/>
      <c r="DQ16" s="1231"/>
      <c r="DR16" s="1231"/>
      <c r="DS16" s="1231"/>
      <c r="DT16" s="1231"/>
      <c r="DU16" s="1231"/>
      <c r="DV16" s="1231"/>
      <c r="DW16" s="1231"/>
      <c r="DX16" s="1231"/>
      <c r="DY16" s="1231"/>
      <c r="DZ16" s="1231"/>
      <c r="EA16" s="1231"/>
      <c r="EB16" s="1231"/>
      <c r="EC16" s="1231"/>
      <c r="ED16" s="1231"/>
      <c r="EE16" s="1231"/>
      <c r="EF16" s="1231"/>
      <c r="EG16" s="1231"/>
      <c r="EH16" s="1231"/>
      <c r="EI16" s="1231"/>
      <c r="EJ16" s="1231"/>
      <c r="EK16" s="1231"/>
      <c r="EL16" s="1231"/>
      <c r="EM16" s="1231"/>
      <c r="EN16" s="1231"/>
      <c r="EO16" s="1231"/>
      <c r="EP16" s="1231"/>
      <c r="EQ16" s="1231"/>
      <c r="ER16" s="1231"/>
      <c r="ES16" s="1231"/>
      <c r="ET16" s="1231"/>
      <c r="EU16" s="1231"/>
      <c r="EV16" s="1231"/>
      <c r="EW16" s="1231"/>
      <c r="EX16" s="1231"/>
      <c r="EY16" s="1231"/>
      <c r="EZ16" s="1231"/>
      <c r="FA16" s="1231"/>
      <c r="FB16" s="1231"/>
      <c r="FC16" s="1231"/>
      <c r="FD16" s="1231"/>
      <c r="FE16" s="1231"/>
      <c r="FF16" s="1231"/>
      <c r="FG16" s="1231"/>
      <c r="FH16" s="1231"/>
      <c r="FI16" s="1231"/>
      <c r="FJ16" s="1231"/>
      <c r="FK16" s="1231"/>
      <c r="FL16" s="1231"/>
      <c r="FM16" s="1231"/>
      <c r="FN16" s="1231"/>
      <c r="FO16" s="1231"/>
      <c r="FP16" s="1231"/>
      <c r="FQ16" s="1231"/>
      <c r="FR16" s="1231"/>
      <c r="FS16" s="1231"/>
      <c r="FT16" s="1231"/>
      <c r="FU16" s="1231"/>
      <c r="FV16" s="1231"/>
      <c r="FW16" s="1229"/>
      <c r="FX16" s="56"/>
    </row>
    <row r="17" spans="1:184" ht="15" customHeight="1">
      <c r="E17" s="703"/>
      <c r="F17" s="1182"/>
      <c r="G17" s="1182"/>
      <c r="H17" s="1182"/>
      <c r="I17" s="1182"/>
      <c r="J17" s="1230"/>
      <c r="K17" s="1230"/>
      <c r="L17" s="1230"/>
      <c r="M17" s="1230"/>
      <c r="N17" s="1230"/>
      <c r="O17" s="368" t="s">
        <v>1007</v>
      </c>
      <c r="P17" s="368" t="s">
        <v>1008</v>
      </c>
      <c r="Q17" s="368" t="s">
        <v>1007</v>
      </c>
      <c r="R17" s="368" t="s">
        <v>1008</v>
      </c>
      <c r="S17" s="368" t="s">
        <v>1007</v>
      </c>
      <c r="T17" s="368" t="s">
        <v>1008</v>
      </c>
      <c r="U17" s="368" t="s">
        <v>1007</v>
      </c>
      <c r="V17" s="368" t="s">
        <v>1008</v>
      </c>
      <c r="W17" s="368" t="s">
        <v>1007</v>
      </c>
      <c r="X17" s="368" t="s">
        <v>1008</v>
      </c>
      <c r="Y17" s="368" t="s">
        <v>1007</v>
      </c>
      <c r="Z17" s="368" t="s">
        <v>1008</v>
      </c>
      <c r="AA17" s="368" t="s">
        <v>1007</v>
      </c>
      <c r="AB17" s="368" t="s">
        <v>1008</v>
      </c>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c r="BQ17" s="1231"/>
      <c r="BR17" s="1231"/>
      <c r="BS17" s="1232"/>
      <c r="BT17" s="368" t="s">
        <v>1007</v>
      </c>
      <c r="BU17" s="368" t="s">
        <v>1008</v>
      </c>
      <c r="BV17" s="368" t="s">
        <v>1007</v>
      </c>
      <c r="BW17" s="368" t="s">
        <v>1008</v>
      </c>
      <c r="BX17" s="368" t="s">
        <v>1007</v>
      </c>
      <c r="BY17" s="368" t="s">
        <v>1008</v>
      </c>
      <c r="BZ17" s="368" t="s">
        <v>1007</v>
      </c>
      <c r="CA17" s="368" t="s">
        <v>1008</v>
      </c>
      <c r="CB17" s="368" t="s">
        <v>1007</v>
      </c>
      <c r="CC17" s="368" t="s">
        <v>1008</v>
      </c>
      <c r="CD17" s="368" t="s">
        <v>1007</v>
      </c>
      <c r="CE17" s="368" t="s">
        <v>1008</v>
      </c>
      <c r="CF17" s="368" t="s">
        <v>1007</v>
      </c>
      <c r="CG17" s="368" t="s">
        <v>1008</v>
      </c>
      <c r="CH17" s="368" t="s">
        <v>1007</v>
      </c>
      <c r="CI17" s="368" t="s">
        <v>1008</v>
      </c>
      <c r="CJ17" s="368" t="s">
        <v>1007</v>
      </c>
      <c r="CK17" s="368" t="s">
        <v>1008</v>
      </c>
      <c r="CL17" s="1233"/>
      <c r="CM17" s="1231"/>
      <c r="CN17" s="1231"/>
      <c r="CO17" s="1231"/>
      <c r="CP17" s="1231"/>
      <c r="CQ17" s="1231"/>
      <c r="CR17" s="1231"/>
      <c r="CS17" s="1231"/>
      <c r="CT17" s="1231"/>
      <c r="CU17" s="1231"/>
      <c r="CV17" s="1231"/>
      <c r="CW17" s="1231"/>
      <c r="CX17" s="1232"/>
      <c r="CY17" s="368" t="s">
        <v>1007</v>
      </c>
      <c r="CZ17" s="368" t="s">
        <v>1008</v>
      </c>
      <c r="DA17" s="368" t="s">
        <v>1007</v>
      </c>
      <c r="DB17" s="368" t="s">
        <v>1008</v>
      </c>
      <c r="DC17" s="368" t="s">
        <v>1007</v>
      </c>
      <c r="DD17" s="368" t="s">
        <v>1008</v>
      </c>
      <c r="DE17" s="368" t="s">
        <v>1007</v>
      </c>
      <c r="DF17" s="368" t="s">
        <v>1008</v>
      </c>
      <c r="DG17" s="368" t="s">
        <v>1007</v>
      </c>
      <c r="DH17" s="368" t="s">
        <v>1008</v>
      </c>
      <c r="DI17" s="368" t="s">
        <v>1007</v>
      </c>
      <c r="DJ17" s="368" t="s">
        <v>1008</v>
      </c>
      <c r="DK17" s="1233"/>
      <c r="DL17" s="1231"/>
      <c r="DM17" s="1231"/>
      <c r="DN17" s="1231"/>
      <c r="DO17" s="1231"/>
      <c r="DP17" s="1231"/>
      <c r="DQ17" s="1231"/>
      <c r="DR17" s="1231"/>
      <c r="DS17" s="1231"/>
      <c r="DT17" s="1231"/>
      <c r="DU17" s="1231"/>
      <c r="DV17" s="1231"/>
      <c r="DW17" s="1231"/>
      <c r="DX17" s="1231"/>
      <c r="DY17" s="1231"/>
      <c r="DZ17" s="1231"/>
      <c r="EA17" s="1231"/>
      <c r="EB17" s="1231"/>
      <c r="EC17" s="1231"/>
      <c r="ED17" s="1231"/>
      <c r="EE17" s="1231"/>
      <c r="EF17" s="1231"/>
      <c r="EG17" s="1231"/>
      <c r="EH17" s="1231"/>
      <c r="EI17" s="1231"/>
      <c r="EJ17" s="1231"/>
      <c r="EK17" s="1231"/>
      <c r="EL17" s="1231"/>
      <c r="EM17" s="1231"/>
      <c r="EN17" s="1231"/>
      <c r="EO17" s="1231"/>
      <c r="EP17" s="1231"/>
      <c r="EQ17" s="1231"/>
      <c r="ER17" s="1231"/>
      <c r="ES17" s="1231"/>
      <c r="ET17" s="1231"/>
      <c r="EU17" s="1231"/>
      <c r="EV17" s="1231"/>
      <c r="EW17" s="1231"/>
      <c r="EX17" s="1231"/>
      <c r="EY17" s="1231"/>
      <c r="EZ17" s="1231"/>
      <c r="FA17" s="1231"/>
      <c r="FB17" s="1231"/>
      <c r="FC17" s="1231"/>
      <c r="FD17" s="1231"/>
      <c r="FE17" s="1231"/>
      <c r="FF17" s="1231"/>
      <c r="FG17" s="1231"/>
      <c r="FH17" s="1231"/>
      <c r="FI17" s="1231"/>
      <c r="FJ17" s="1231"/>
      <c r="FK17" s="1231"/>
      <c r="FL17" s="1231"/>
      <c r="FM17" s="1231"/>
      <c r="FN17" s="1231"/>
      <c r="FO17" s="1231"/>
      <c r="FP17" s="1231"/>
      <c r="FQ17" s="1231"/>
      <c r="FR17" s="1231"/>
      <c r="FS17" s="1231"/>
      <c r="FT17" s="1231"/>
      <c r="FU17" s="1231"/>
      <c r="FV17" s="1231"/>
      <c r="FW17" s="1229"/>
      <c r="FX17" s="56"/>
    </row>
    <row r="18" spans="1:184" s="695" customFormat="1" ht="12" hidden="1" customHeight="1">
      <c r="B18" s="696"/>
      <c r="E18" s="704"/>
      <c r="F18" s="705"/>
      <c r="G18" s="705"/>
      <c r="H18" s="705"/>
      <c r="I18" s="705"/>
      <c r="J18" s="706"/>
      <c r="K18" s="706"/>
      <c r="L18" s="706"/>
      <c r="M18" s="706"/>
      <c r="N18" s="706"/>
      <c r="O18" s="705"/>
      <c r="P18" s="705"/>
      <c r="Q18" s="705"/>
      <c r="R18" s="705"/>
      <c r="S18" s="705"/>
      <c r="T18" s="705"/>
      <c r="U18" s="707"/>
      <c r="V18" s="707"/>
      <c r="W18" s="707"/>
      <c r="X18" s="707"/>
      <c r="Y18" s="707"/>
      <c r="Z18" s="707"/>
      <c r="AA18" s="707"/>
      <c r="AB18" s="705"/>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8"/>
      <c r="BU18" s="708"/>
      <c r="BV18" s="708"/>
      <c r="BW18" s="708"/>
      <c r="BX18" s="708"/>
      <c r="BY18" s="708"/>
      <c r="BZ18" s="708"/>
      <c r="CA18" s="708"/>
      <c r="CB18" s="708"/>
      <c r="CC18" s="708"/>
      <c r="CD18" s="708"/>
      <c r="CE18" s="708"/>
      <c r="CF18" s="708"/>
      <c r="CG18" s="708"/>
      <c r="CH18" s="708"/>
      <c r="CI18" s="708"/>
      <c r="CJ18" s="708"/>
      <c r="CK18" s="708"/>
      <c r="CL18" s="706"/>
      <c r="CM18" s="706"/>
      <c r="CN18" s="706"/>
      <c r="CO18" s="706"/>
      <c r="CP18" s="706"/>
      <c r="CQ18" s="706"/>
      <c r="CR18" s="706"/>
      <c r="CS18" s="706"/>
      <c r="CT18" s="706"/>
      <c r="CU18" s="706"/>
      <c r="CV18" s="706"/>
      <c r="CW18" s="706"/>
      <c r="CX18" s="706"/>
      <c r="CY18" s="708"/>
      <c r="CZ18" s="708"/>
      <c r="DA18" s="708"/>
      <c r="DB18" s="708"/>
      <c r="DC18" s="708"/>
      <c r="DD18" s="708"/>
      <c r="DE18" s="708"/>
      <c r="DF18" s="708"/>
      <c r="DG18" s="708"/>
      <c r="DH18" s="708"/>
      <c r="DI18" s="708"/>
      <c r="DJ18" s="708"/>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5"/>
      <c r="FX18" s="709"/>
    </row>
    <row r="19" spans="1:184" s="695" customFormat="1" ht="11.25" hidden="1" customHeight="1">
      <c r="B19" s="696"/>
      <c r="E19" s="704"/>
      <c r="F19" s="705"/>
      <c r="G19" s="705"/>
      <c r="H19" s="705"/>
      <c r="I19" s="705"/>
      <c r="J19" s="705"/>
      <c r="K19" s="705"/>
      <c r="L19" s="705"/>
      <c r="M19" s="705"/>
      <c r="N19" s="705"/>
      <c r="O19" s="705"/>
      <c r="P19" s="705"/>
      <c r="Q19" s="705"/>
      <c r="R19" s="705"/>
      <c r="S19" s="705"/>
      <c r="T19" s="705"/>
      <c r="U19" s="707"/>
      <c r="V19" s="707"/>
      <c r="W19" s="707"/>
      <c r="X19" s="707"/>
      <c r="Y19" s="707"/>
      <c r="Z19" s="707"/>
      <c r="AA19" s="707"/>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5"/>
      <c r="CH19" s="705"/>
      <c r="CI19" s="705"/>
      <c r="CJ19" s="705"/>
      <c r="CK19" s="705"/>
      <c r="CL19" s="705"/>
      <c r="CM19" s="705"/>
      <c r="CN19" s="705"/>
      <c r="CO19" s="705"/>
      <c r="CP19" s="705"/>
      <c r="CQ19" s="705"/>
      <c r="CR19" s="705"/>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5"/>
      <c r="DV19" s="705"/>
      <c r="DW19" s="705"/>
      <c r="DX19" s="705"/>
      <c r="DY19" s="705"/>
      <c r="DZ19" s="705"/>
      <c r="EA19" s="705"/>
      <c r="EB19" s="705"/>
      <c r="EC19" s="705"/>
      <c r="ED19" s="705"/>
      <c r="EE19" s="705"/>
      <c r="EF19" s="705"/>
      <c r="EG19" s="705"/>
      <c r="EH19" s="705"/>
      <c r="EI19" s="705"/>
      <c r="EJ19" s="705"/>
      <c r="EK19" s="705"/>
      <c r="EL19" s="705"/>
      <c r="EM19" s="705"/>
      <c r="EN19" s="705"/>
      <c r="EO19" s="705"/>
      <c r="EP19" s="705"/>
      <c r="EQ19" s="705"/>
      <c r="ER19" s="705"/>
      <c r="ES19" s="705"/>
      <c r="ET19" s="705"/>
      <c r="EU19" s="705"/>
      <c r="EV19" s="705"/>
      <c r="EW19" s="705"/>
      <c r="EX19" s="705"/>
      <c r="EY19" s="705"/>
      <c r="EZ19" s="705"/>
      <c r="FA19" s="705"/>
      <c r="FB19" s="705"/>
      <c r="FC19" s="705"/>
      <c r="FD19" s="705"/>
      <c r="FE19" s="705"/>
      <c r="FF19" s="705"/>
      <c r="FG19" s="705"/>
      <c r="FH19" s="705"/>
      <c r="FI19" s="705"/>
      <c r="FJ19" s="705"/>
      <c r="FK19" s="705"/>
      <c r="FL19" s="705"/>
      <c r="FM19" s="705"/>
      <c r="FN19" s="705"/>
      <c r="FO19" s="705"/>
      <c r="FP19" s="705"/>
      <c r="FQ19" s="705"/>
      <c r="FR19" s="705"/>
      <c r="FS19" s="705"/>
      <c r="FT19" s="705"/>
      <c r="FU19" s="705"/>
      <c r="FV19" s="705"/>
      <c r="FW19" s="705"/>
      <c r="FX19" s="709"/>
    </row>
    <row r="20" spans="1:184" s="695" customFormat="1" ht="11.25" hidden="1" customHeight="1">
      <c r="B20" s="696"/>
      <c r="E20" s="704"/>
      <c r="F20" s="710" t="s">
        <v>365</v>
      </c>
      <c r="G20" s="247"/>
      <c r="H20" s="711"/>
      <c r="I20" s="711"/>
      <c r="J20" s="711"/>
      <c r="K20" s="711"/>
      <c r="L20" s="711"/>
      <c r="M20" s="711"/>
      <c r="N20" s="711"/>
      <c r="O20" s="247"/>
      <c r="P20" s="247"/>
      <c r="Q20" s="247"/>
      <c r="R20" s="247"/>
      <c r="S20" s="247"/>
      <c r="T20" s="247"/>
      <c r="U20" s="712"/>
      <c r="V20" s="712"/>
      <c r="W20" s="712"/>
      <c r="X20" s="712"/>
      <c r="Y20" s="712"/>
      <c r="Z20" s="712"/>
      <c r="AA20" s="712"/>
      <c r="AB20" s="247"/>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c r="BX20" s="711"/>
      <c r="BY20" s="711"/>
      <c r="BZ20" s="711"/>
      <c r="CA20" s="711"/>
      <c r="CB20" s="711"/>
      <c r="CC20" s="711"/>
      <c r="CD20" s="711"/>
      <c r="CE20" s="711"/>
      <c r="CF20" s="711"/>
      <c r="CG20" s="711"/>
      <c r="CH20" s="711"/>
      <c r="CI20" s="711"/>
      <c r="CJ20" s="711"/>
      <c r="CK20" s="711"/>
      <c r="CL20" s="713"/>
      <c r="CM20" s="713"/>
      <c r="CN20" s="713"/>
      <c r="CO20" s="713"/>
      <c r="CP20" s="713"/>
      <c r="CQ20" s="713"/>
      <c r="CR20" s="713"/>
      <c r="CS20" s="713"/>
      <c r="CT20" s="713"/>
      <c r="CU20" s="713"/>
      <c r="CV20" s="713"/>
      <c r="CW20" s="713"/>
      <c r="CX20" s="713"/>
      <c r="CY20" s="713"/>
      <c r="CZ20" s="713"/>
      <c r="DA20" s="713"/>
      <c r="DB20" s="713"/>
      <c r="DC20" s="713"/>
      <c r="DD20" s="713"/>
      <c r="DE20" s="713"/>
      <c r="DF20" s="713"/>
      <c r="DG20" s="713"/>
      <c r="DH20" s="713"/>
      <c r="DI20" s="713"/>
      <c r="DJ20" s="713"/>
      <c r="DK20" s="713"/>
      <c r="DL20" s="713"/>
      <c r="DM20" s="713"/>
      <c r="DN20" s="713"/>
      <c r="DO20" s="713"/>
      <c r="DP20" s="713"/>
      <c r="DQ20" s="713"/>
      <c r="DR20" s="713"/>
      <c r="DS20" s="713"/>
      <c r="DT20" s="713"/>
      <c r="DU20" s="713"/>
      <c r="DV20" s="713"/>
      <c r="DW20" s="713"/>
      <c r="DX20" s="713"/>
      <c r="DY20" s="713"/>
      <c r="DZ20" s="713"/>
      <c r="EA20" s="713"/>
      <c r="EB20" s="713"/>
      <c r="EC20" s="713"/>
      <c r="ED20" s="713"/>
      <c r="EE20" s="713"/>
      <c r="EF20" s="713"/>
      <c r="EG20" s="713"/>
      <c r="EH20" s="713"/>
      <c r="EI20" s="713"/>
      <c r="EJ20" s="713"/>
      <c r="EK20" s="713"/>
      <c r="EL20" s="713"/>
      <c r="EM20" s="713"/>
      <c r="EN20" s="713"/>
      <c r="EO20" s="713"/>
      <c r="EP20" s="713"/>
      <c r="EQ20" s="713"/>
      <c r="ER20" s="713"/>
      <c r="ES20" s="713"/>
      <c r="ET20" s="713"/>
      <c r="EU20" s="713"/>
      <c r="EV20" s="713"/>
      <c r="EW20" s="713"/>
      <c r="EX20" s="713"/>
      <c r="EY20" s="713"/>
      <c r="EZ20" s="713"/>
      <c r="FA20" s="713"/>
      <c r="FB20" s="713"/>
      <c r="FC20" s="713"/>
      <c r="FD20" s="713"/>
      <c r="FE20" s="713"/>
      <c r="FF20" s="713"/>
      <c r="FG20" s="713"/>
      <c r="FH20" s="713"/>
      <c r="FI20" s="713"/>
      <c r="FJ20" s="713"/>
      <c r="FK20" s="713"/>
      <c r="FL20" s="713"/>
      <c r="FM20" s="713"/>
      <c r="FN20" s="713"/>
      <c r="FO20" s="713"/>
      <c r="FP20" s="713"/>
      <c r="FQ20" s="713"/>
      <c r="FR20" s="713"/>
      <c r="FS20" s="713"/>
      <c r="FT20" s="713"/>
      <c r="FU20" s="713"/>
      <c r="FV20" s="713"/>
      <c r="FW20" s="713"/>
      <c r="FX20" s="709"/>
    </row>
    <row r="21" spans="1:184" s="695" customFormat="1" ht="12" customHeight="1">
      <c r="A21" s="697"/>
      <c r="B21" s="697"/>
      <c r="C21" s="697"/>
      <c r="D21" s="697"/>
      <c r="E21" s="697"/>
      <c r="F21" s="704"/>
      <c r="G21" s="704"/>
      <c r="H21" s="704"/>
      <c r="I21" s="704"/>
      <c r="J21" s="704"/>
      <c r="K21" s="704"/>
      <c r="L21" s="704"/>
      <c r="M21" s="704"/>
      <c r="N21" s="704"/>
      <c r="O21" s="704"/>
      <c r="P21" s="704"/>
      <c r="Q21" s="704"/>
      <c r="R21" s="704"/>
      <c r="S21" s="714"/>
      <c r="T21" s="71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4"/>
      <c r="AY21" s="704"/>
      <c r="AZ21" s="704"/>
      <c r="BA21" s="704"/>
      <c r="BB21" s="704"/>
      <c r="BC21" s="704"/>
      <c r="BD21" s="704"/>
      <c r="BE21" s="704"/>
      <c r="BF21" s="704"/>
      <c r="BG21" s="704"/>
      <c r="BH21" s="704"/>
      <c r="BI21" s="704"/>
      <c r="BJ21" s="704"/>
      <c r="BK21" s="704"/>
      <c r="BL21" s="704"/>
      <c r="BM21" s="704"/>
      <c r="BN21" s="704"/>
      <c r="BO21" s="704"/>
      <c r="BP21" s="704"/>
      <c r="BQ21" s="704"/>
      <c r="BR21" s="704"/>
      <c r="BS21" s="704"/>
      <c r="BT21" s="704"/>
      <c r="BU21" s="704"/>
      <c r="BV21" s="704"/>
      <c r="BW21" s="704"/>
      <c r="BX21" s="704"/>
      <c r="BY21" s="704"/>
      <c r="BZ21" s="704"/>
      <c r="CA21" s="704"/>
      <c r="CB21" s="704"/>
      <c r="CC21" s="704"/>
      <c r="CD21" s="704"/>
      <c r="CE21" s="704"/>
      <c r="CF21" s="704"/>
      <c r="CG21" s="704"/>
      <c r="CH21" s="704"/>
      <c r="CI21" s="704"/>
      <c r="CJ21" s="704"/>
      <c r="CK21" s="704"/>
      <c r="CL21" s="704"/>
      <c r="CM21" s="704"/>
      <c r="CN21" s="704"/>
      <c r="CO21" s="704"/>
      <c r="CP21" s="704"/>
      <c r="CQ21" s="704"/>
      <c r="CR21" s="704"/>
      <c r="CS21" s="704"/>
      <c r="CT21" s="704"/>
      <c r="CU21" s="704"/>
      <c r="CV21" s="704"/>
      <c r="CW21" s="704"/>
      <c r="CX21" s="704"/>
      <c r="CY21" s="704"/>
      <c r="CZ21" s="704"/>
      <c r="DA21" s="704"/>
      <c r="DB21" s="704"/>
      <c r="DC21" s="704"/>
      <c r="DD21" s="704"/>
      <c r="DE21" s="704"/>
      <c r="DF21" s="704"/>
      <c r="DG21" s="704"/>
      <c r="DH21" s="704"/>
      <c r="DI21" s="704"/>
      <c r="DJ21" s="704"/>
      <c r="DK21" s="704"/>
      <c r="DL21" s="704"/>
      <c r="DM21" s="704"/>
      <c r="DN21" s="704"/>
      <c r="DO21" s="704"/>
      <c r="DP21" s="704"/>
      <c r="DQ21" s="704"/>
      <c r="DR21" s="704"/>
      <c r="DS21" s="704"/>
      <c r="DT21" s="704"/>
      <c r="DU21" s="704"/>
      <c r="DV21" s="704"/>
      <c r="DW21" s="704"/>
      <c r="DX21" s="704"/>
      <c r="DY21" s="704"/>
      <c r="DZ21" s="704"/>
      <c r="EA21" s="704"/>
      <c r="EB21" s="704"/>
      <c r="EC21" s="704"/>
      <c r="ED21" s="704"/>
      <c r="EE21" s="704"/>
      <c r="EF21" s="704"/>
      <c r="EG21" s="704"/>
      <c r="EH21" s="704"/>
      <c r="EI21" s="704"/>
      <c r="EJ21" s="704"/>
      <c r="EK21" s="704"/>
      <c r="EL21" s="704"/>
      <c r="EM21" s="704"/>
      <c r="EN21" s="704"/>
      <c r="EO21" s="704"/>
      <c r="EP21" s="704"/>
      <c r="EQ21" s="704"/>
      <c r="ER21" s="704"/>
      <c r="ES21" s="704"/>
      <c r="ET21" s="704"/>
      <c r="EU21" s="704"/>
      <c r="EV21" s="704"/>
      <c r="EW21" s="704"/>
      <c r="EX21" s="704"/>
      <c r="EY21" s="704"/>
      <c r="EZ21" s="704"/>
      <c r="FA21" s="704"/>
      <c r="FB21" s="704"/>
      <c r="FC21" s="704"/>
      <c r="FD21" s="704"/>
      <c r="FE21" s="704"/>
      <c r="FF21" s="704"/>
      <c r="FG21" s="704"/>
      <c r="FH21" s="704"/>
      <c r="FI21" s="704"/>
      <c r="FJ21" s="704"/>
      <c r="FK21" s="704"/>
      <c r="FL21" s="704"/>
      <c r="FM21" s="704"/>
      <c r="FN21" s="704"/>
      <c r="FO21" s="704"/>
      <c r="FP21" s="704"/>
      <c r="FQ21" s="704"/>
      <c r="FR21" s="704"/>
      <c r="FS21" s="704"/>
      <c r="FT21" s="704"/>
      <c r="FU21" s="704"/>
      <c r="FV21" s="704"/>
      <c r="FW21" s="704"/>
      <c r="FX21" s="697"/>
      <c r="FY21" s="697"/>
      <c r="FZ21" s="697"/>
      <c r="GA21" s="697"/>
      <c r="GB21" s="697"/>
    </row>
    <row r="22" spans="1:184" s="695" customFormat="1" ht="12" customHeight="1">
      <c r="A22" s="697"/>
      <c r="B22" s="697"/>
      <c r="C22" s="697"/>
      <c r="D22" s="697"/>
      <c r="E22" s="697"/>
      <c r="FX22" s="697"/>
      <c r="FY22" s="697"/>
      <c r="FZ22" s="697"/>
      <c r="GA22" s="697"/>
      <c r="GB22" s="697"/>
    </row>
    <row r="23" spans="1:184" s="693" customFormat="1" ht="12" customHeight="1">
      <c r="A23" s="697"/>
      <c r="B23" s="697"/>
      <c r="C23" s="697"/>
      <c r="D23" s="697"/>
      <c r="E23" s="697"/>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715"/>
      <c r="BU23" s="715"/>
      <c r="BV23" s="715"/>
      <c r="BW23" s="715"/>
      <c r="BX23" s="715"/>
      <c r="BY23" s="715"/>
      <c r="BZ23" s="715"/>
      <c r="CA23" s="715"/>
      <c r="CB23" s="715"/>
      <c r="CC23" s="715"/>
      <c r="CD23" s="715"/>
      <c r="CE23" s="715"/>
      <c r="CF23" s="715"/>
      <c r="CG23" s="715"/>
      <c r="CH23" s="715"/>
      <c r="CI23" s="715"/>
      <c r="CJ23" s="715"/>
      <c r="CK23" s="715"/>
      <c r="CL23" s="715"/>
      <c r="CM23" s="715"/>
      <c r="CN23" s="715"/>
      <c r="CO23" s="715"/>
      <c r="CP23" s="715"/>
      <c r="CQ23" s="715"/>
      <c r="CR23" s="715"/>
      <c r="CS23" s="715"/>
      <c r="CT23" s="715"/>
      <c r="CU23" s="715"/>
      <c r="CV23" s="715"/>
      <c r="CW23" s="715"/>
      <c r="CX23" s="715"/>
      <c r="CY23" s="715"/>
      <c r="CZ23" s="715"/>
      <c r="DA23" s="715"/>
      <c r="DB23" s="715"/>
      <c r="DC23" s="715"/>
      <c r="DD23" s="715"/>
      <c r="DE23" s="715"/>
      <c r="DF23" s="715"/>
      <c r="DG23" s="715"/>
      <c r="DH23" s="715"/>
      <c r="DI23" s="715"/>
      <c r="DJ23" s="715"/>
      <c r="DK23" s="715"/>
      <c r="DL23" s="715"/>
      <c r="DM23" s="715"/>
      <c r="DN23" s="715"/>
      <c r="DO23" s="715"/>
      <c r="DP23" s="715"/>
      <c r="DQ23" s="715"/>
      <c r="DR23" s="715"/>
      <c r="DS23" s="715"/>
      <c r="DT23" s="715"/>
      <c r="DU23" s="715"/>
      <c r="DV23" s="715"/>
      <c r="DW23" s="715"/>
      <c r="DX23" s="715"/>
      <c r="FX23" s="697"/>
      <c r="FY23" s="697"/>
      <c r="FZ23" s="697"/>
      <c r="GA23" s="697"/>
      <c r="GB23" s="697"/>
    </row>
    <row r="24" spans="1:184" ht="12" customHeight="1">
      <c r="S24" s="697"/>
      <c r="T24" s="697"/>
      <c r="U24" s="697"/>
      <c r="V24" s="697"/>
      <c r="W24" s="697"/>
      <c r="X24" s="697"/>
      <c r="Y24" s="697"/>
      <c r="Z24" s="697"/>
      <c r="AA24" s="697"/>
      <c r="AB24" s="697"/>
      <c r="FX24" s="697"/>
      <c r="FY24" s="697"/>
      <c r="FZ24" s="697"/>
      <c r="GA24" s="697"/>
      <c r="GB24" s="697"/>
    </row>
  </sheetData>
  <mergeCells count="198">
    <mergeCell ref="O16:P16"/>
    <mergeCell ref="Q16:R16"/>
    <mergeCell ref="S16:T16"/>
    <mergeCell ref="U16:V16"/>
    <mergeCell ref="W16:X16"/>
    <mergeCell ref="Y16:Z16"/>
    <mergeCell ref="AA16:AB16"/>
    <mergeCell ref="BT16:BU16"/>
    <mergeCell ref="BV16:BW16"/>
    <mergeCell ref="O14:P15"/>
    <mergeCell ref="Q14:R15"/>
    <mergeCell ref="U14:V15"/>
    <mergeCell ref="W14:X15"/>
    <mergeCell ref="Y14:Z15"/>
    <mergeCell ref="AA14:AB15"/>
    <mergeCell ref="CH14:CI15"/>
    <mergeCell ref="CJ14:CK15"/>
    <mergeCell ref="DG14:DH15"/>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FF11:FF17"/>
    <mergeCell ref="FG11:FG17"/>
    <mergeCell ref="FH11:FH17"/>
    <mergeCell ref="FI11:FI17"/>
    <mergeCell ref="FJ11:FJ17"/>
    <mergeCell ref="FK11:FK17"/>
    <mergeCell ref="FL11:FL17"/>
    <mergeCell ref="FM11:FM17"/>
    <mergeCell ref="FN11:FN17"/>
    <mergeCell ref="EW11:EW17"/>
    <mergeCell ref="EX11:EX17"/>
    <mergeCell ref="EY11:EY17"/>
    <mergeCell ref="EZ11:EZ17"/>
    <mergeCell ref="FA11:FA17"/>
    <mergeCell ref="FB11:FB17"/>
    <mergeCell ref="FC11:FC17"/>
    <mergeCell ref="FD11:FD17"/>
    <mergeCell ref="FE11:FE17"/>
    <mergeCell ref="EN11:EN17"/>
    <mergeCell ref="EO11:EO17"/>
    <mergeCell ref="EP11:EP17"/>
    <mergeCell ref="EQ11:EQ17"/>
    <mergeCell ref="ER11:ER17"/>
    <mergeCell ref="ES11:ES17"/>
    <mergeCell ref="ET11:ET17"/>
    <mergeCell ref="EU11:EU17"/>
    <mergeCell ref="EV11:EV17"/>
    <mergeCell ref="EE11:EE17"/>
    <mergeCell ref="EF11:EF17"/>
    <mergeCell ref="EG11:EG17"/>
    <mergeCell ref="EH11:EH17"/>
    <mergeCell ref="EI11:EI17"/>
    <mergeCell ref="EJ11:EJ17"/>
    <mergeCell ref="EK11:EK17"/>
    <mergeCell ref="EL11:EL17"/>
    <mergeCell ref="EM11:EM17"/>
    <mergeCell ref="DV11:DV17"/>
    <mergeCell ref="DW11:DW17"/>
    <mergeCell ref="DX11:DX17"/>
    <mergeCell ref="DY11:DY17"/>
    <mergeCell ref="DZ11:DZ17"/>
    <mergeCell ref="EA11:EA17"/>
    <mergeCell ref="EB11:EB17"/>
    <mergeCell ref="EC11:EC17"/>
    <mergeCell ref="ED11:ED17"/>
    <mergeCell ref="DM11:DM17"/>
    <mergeCell ref="DN11:DN17"/>
    <mergeCell ref="DO11:DO17"/>
    <mergeCell ref="DP11:DP17"/>
    <mergeCell ref="DQ11:DQ17"/>
    <mergeCell ref="DR11:DR17"/>
    <mergeCell ref="DS11:DS17"/>
    <mergeCell ref="DT11:DT17"/>
    <mergeCell ref="DU11:DU17"/>
    <mergeCell ref="CS11:CS17"/>
    <mergeCell ref="CT11:CT17"/>
    <mergeCell ref="CU11:CU17"/>
    <mergeCell ref="CV11:CV17"/>
    <mergeCell ref="CW11:CW17"/>
    <mergeCell ref="CX11:CX17"/>
    <mergeCell ref="CY11:DJ11"/>
    <mergeCell ref="DK11:DK17"/>
    <mergeCell ref="DL11:DL17"/>
    <mergeCell ref="CY13:CZ15"/>
    <mergeCell ref="DA13:DB15"/>
    <mergeCell ref="DC13:DD15"/>
    <mergeCell ref="DE13:DF15"/>
    <mergeCell ref="DG13:DJ13"/>
    <mergeCell ref="DI14:DJ15"/>
    <mergeCell ref="CY16:CZ16"/>
    <mergeCell ref="DA16:DB16"/>
    <mergeCell ref="DC16:DD16"/>
    <mergeCell ref="DE16:DF16"/>
    <mergeCell ref="DG16:DH16"/>
    <mergeCell ref="DI16:DJ16"/>
    <mergeCell ref="BS11:BS17"/>
    <mergeCell ref="BT11:CK11"/>
    <mergeCell ref="CL11:CL17"/>
    <mergeCell ref="CM11:CM17"/>
    <mergeCell ref="CN11:CN17"/>
    <mergeCell ref="CO11:CO17"/>
    <mergeCell ref="CP11:CP17"/>
    <mergeCell ref="CQ11:CQ17"/>
    <mergeCell ref="CR11:CR17"/>
    <mergeCell ref="BZ13:CA15"/>
    <mergeCell ref="CB13:CC15"/>
    <mergeCell ref="CD13:CE15"/>
    <mergeCell ref="CF13:CG15"/>
    <mergeCell ref="CH13:CK13"/>
    <mergeCell ref="BX16:BY16"/>
    <mergeCell ref="BZ16:CA16"/>
    <mergeCell ref="CB16:CC16"/>
    <mergeCell ref="CD16:CE16"/>
    <mergeCell ref="CF16:CG16"/>
    <mergeCell ref="CH16:CI16"/>
    <mergeCell ref="CJ16:CK16"/>
    <mergeCell ref="BJ11:BJ17"/>
    <mergeCell ref="BK11:BK17"/>
    <mergeCell ref="BL11:BL17"/>
    <mergeCell ref="BM11:BM17"/>
    <mergeCell ref="BN11:BN17"/>
    <mergeCell ref="BO11:BO17"/>
    <mergeCell ref="BP11:BP17"/>
    <mergeCell ref="BQ11:BQ17"/>
    <mergeCell ref="BR11:BR17"/>
    <mergeCell ref="BA11:BA17"/>
    <mergeCell ref="BB11:BB17"/>
    <mergeCell ref="BC11:BC17"/>
    <mergeCell ref="BD11:BD17"/>
    <mergeCell ref="BE11:BE17"/>
    <mergeCell ref="BF11:BF17"/>
    <mergeCell ref="BG11:BG17"/>
    <mergeCell ref="BH11:BH17"/>
    <mergeCell ref="BI11:BI17"/>
    <mergeCell ref="AR11:AR17"/>
    <mergeCell ref="AS11:AS17"/>
    <mergeCell ref="AT11:AT17"/>
    <mergeCell ref="AU11:AU17"/>
    <mergeCell ref="AV11:AV17"/>
    <mergeCell ref="AW11:AW17"/>
    <mergeCell ref="AX11:AX17"/>
    <mergeCell ref="AY11:AY17"/>
    <mergeCell ref="AZ11:AZ17"/>
    <mergeCell ref="AI11:AI17"/>
    <mergeCell ref="AJ11:AJ17"/>
    <mergeCell ref="AK11:AK17"/>
    <mergeCell ref="AL11:AL17"/>
    <mergeCell ref="AM11:AM17"/>
    <mergeCell ref="AN11:AN17"/>
    <mergeCell ref="AO11:AO17"/>
    <mergeCell ref="AP11:AP17"/>
    <mergeCell ref="AQ11:AQ17"/>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s>
  <dataValidations count="1">
    <dataValidation allowBlank="1" showInputMessage="1" showErrorMessage="1" sqref="AA14:AB15 U16:AB16">
      <formula1>0</formula1>
      <formula2>0</formula2>
    </dataValidation>
  </dataValidations>
  <pageMargins left="0.7" right="0.7" top="0.625" bottom="0.62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3"/>
  </sheetPr>
  <dimension ref="A1:R22"/>
  <sheetViews>
    <sheetView showGridLines="0" topLeftCell="C4" zoomScale="90" zoomScaleNormal="90" workbookViewId="0"/>
  </sheetViews>
  <sheetFormatPr defaultColWidth="10.5703125" defaultRowHeight="15"/>
  <cols>
    <col min="1" max="1" width="9.140625" style="52" hidden="1" customWidth="1"/>
    <col min="2" max="2" width="9.140625" style="46" hidden="1" customWidth="1"/>
    <col min="3" max="3" width="4.7109375" style="140" customWidth="1"/>
    <col min="4" max="4" width="6.28515625" style="46" customWidth="1"/>
    <col min="5" max="5" width="36.7109375" style="46" customWidth="1"/>
    <col min="6" max="6" width="9.5703125" style="46" customWidth="1"/>
    <col min="7" max="7" width="42.42578125" style="46" hidden="1" customWidth="1"/>
    <col min="8" max="8" width="40.7109375" style="46" customWidth="1"/>
    <col min="9" max="9" width="93.42578125" style="49" customWidth="1"/>
    <col min="10" max="17" width="10.5703125" style="46"/>
    <col min="18" max="18" width="10.5703125" style="108"/>
  </cols>
  <sheetData>
    <row r="1" spans="1:18" s="49" customFormat="1" ht="15" hidden="1" customHeight="1">
      <c r="C1" s="107"/>
      <c r="H1" s="49">
        <v>4</v>
      </c>
      <c r="R1" s="157"/>
    </row>
    <row r="2" spans="1:18" ht="22.5" hidden="1" customHeight="1">
      <c r="D2" s="190"/>
      <c r="E2" s="308"/>
      <c r="F2" s="148" t="str">
        <f>IF(TEMPLATE_SPHERE="HEAT","Гкал/час","тыс. куб. м/сутки")</f>
        <v>тыс. куб. м/сутки</v>
      </c>
      <c r="G2" s="633"/>
      <c r="H2" s="633"/>
      <c r="I2" s="395"/>
    </row>
    <row r="3" spans="1:18" s="49" customFormat="1" ht="15" hidden="1" customHeight="1">
      <c r="C3" s="107"/>
      <c r="R3" s="157"/>
    </row>
    <row r="5" spans="1:18" ht="37.5" customHeight="1">
      <c r="D5" s="110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106"/>
      <c r="F5" s="1106"/>
      <c r="G5" s="1106"/>
      <c r="H5" s="1106"/>
    </row>
    <row r="6" spans="1:18" ht="15" customHeight="1">
      <c r="D6" s="1127" t="str">
        <f>IF(org=0,"Не определено",org)</f>
        <v>Филиал ПАО "ОГК-2" - Серовская ГРЭС, г. Серов</v>
      </c>
      <c r="E6" s="1127"/>
      <c r="F6" s="1127"/>
      <c r="G6" s="1127"/>
      <c r="H6" s="1127"/>
    </row>
    <row r="7" spans="1:18" s="46" customFormat="1" ht="15" customHeight="1">
      <c r="A7" s="52"/>
      <c r="C7" s="140"/>
      <c r="D7" s="254"/>
      <c r="E7" s="254"/>
      <c r="F7" s="254"/>
      <c r="G7" s="254"/>
      <c r="H7" s="272"/>
      <c r="I7" s="49"/>
      <c r="R7" s="108"/>
    </row>
    <row r="8" spans="1:18" ht="0.75" customHeight="1">
      <c r="H8" s="49" t="s">
        <v>113</v>
      </c>
    </row>
    <row r="9" spans="1:18" ht="15" customHeight="1">
      <c r="D9" s="545"/>
      <c r="E9" s="1197" t="s">
        <v>101</v>
      </c>
      <c r="F9" s="1197"/>
      <c r="G9" s="716" t="str">
        <f>IF(G8="","",INDEX(DIFFERENTIATION_UNMERGE_VD,MATCH(G8,DIFFERENTIATION_ID_DIFF,0)))</f>
        <v/>
      </c>
      <c r="H9" s="716">
        <f>IF(H8="","",INDEX(DIFFERENTIATION_UNMERGE_VD,MATCH(H8,DIFFERENTIATION_ID_DIFF,0)))</f>
        <v>0</v>
      </c>
      <c r="I9" s="1087" t="s">
        <v>288</v>
      </c>
    </row>
    <row r="10" spans="1:18" s="46" customFormat="1" ht="15" customHeight="1">
      <c r="A10" s="52"/>
      <c r="C10" s="140"/>
      <c r="D10" s="545"/>
      <c r="E10" s="1197" t="s">
        <v>544</v>
      </c>
      <c r="F10" s="1197"/>
      <c r="G10" s="716" t="str">
        <f>IF(G8="","",INDEX(DIFFERENTIATION_UNMERGE_AREA,MATCH(G8,DIFFERENTIATION_ID_DIFF,0)))</f>
        <v/>
      </c>
      <c r="H10" s="716" t="str">
        <f>IF(H8="","",INDEX(DIFFERENTIATION_UNMERGE_AREA,MATCH(H8,DIFFERENTIATION_ID_DIFF,0)))</f>
        <v/>
      </c>
      <c r="I10" s="1087"/>
      <c r="R10" s="108"/>
    </row>
    <row r="11" spans="1:18" s="46" customFormat="1" ht="15" customHeight="1">
      <c r="A11" s="52"/>
      <c r="C11" s="140"/>
      <c r="D11" s="545"/>
      <c r="E11" s="1197" t="s">
        <v>545</v>
      </c>
      <c r="F11" s="1197"/>
      <c r="G11" s="716" t="str">
        <f>IF(G8="","",INDEX(DIFFERENTIATION_UNMERGE_SYSTEM,MATCH(G8,DIFFERENTIATION_ID_DIFF,0)))</f>
        <v/>
      </c>
      <c r="H11" s="716" t="str">
        <f>IF(H8="","",INDEX(DIFFERENTIATION_UNMERGE_SYSTEM,MATCH(H8,DIFFERENTIATION_ID_DIFF,0)))</f>
        <v>без дифференциации</v>
      </c>
      <c r="I11" s="1087"/>
      <c r="R11" s="108"/>
    </row>
    <row r="12" spans="1:18" s="46" customFormat="1" ht="15" customHeight="1">
      <c r="A12" s="52"/>
      <c r="C12" s="140"/>
      <c r="D12" s="1198" t="s">
        <v>287</v>
      </c>
      <c r="E12" s="1198"/>
      <c r="F12" s="1198"/>
      <c r="G12" s="548"/>
      <c r="H12" s="548"/>
      <c r="I12" s="1087"/>
      <c r="R12" s="108"/>
    </row>
    <row r="13" spans="1:18" ht="33.75" customHeight="1">
      <c r="D13" s="148" t="s">
        <v>84</v>
      </c>
      <c r="E13" s="136" t="s">
        <v>289</v>
      </c>
      <c r="F13" s="148" t="s">
        <v>546</v>
      </c>
      <c r="G13" s="245" t="s">
        <v>290</v>
      </c>
      <c r="H13" s="245" t="s">
        <v>290</v>
      </c>
      <c r="I13" s="1087"/>
    </row>
    <row r="14" spans="1:18" ht="15" hidden="1" customHeight="1">
      <c r="D14" s="182" t="s">
        <v>105</v>
      </c>
      <c r="E14" s="182" t="s">
        <v>106</v>
      </c>
      <c r="F14" s="182" t="s">
        <v>86</v>
      </c>
      <c r="G14" s="140" t="str">
        <f>G1&amp;".1"</f>
        <v>.1</v>
      </c>
      <c r="H14" s="140" t="str">
        <f>H1&amp;".1"</f>
        <v>4.1</v>
      </c>
      <c r="I14" s="395"/>
    </row>
    <row r="15" spans="1:18" ht="15" customHeight="1">
      <c r="A15" s="46"/>
      <c r="C15" s="120"/>
      <c r="D15" s="148">
        <v>1</v>
      </c>
      <c r="E15" s="549" t="str">
        <f>TP_P_A</f>
        <v xml:space="preserve">Количество поданных заявлений </v>
      </c>
      <c r="F15" s="148" t="s">
        <v>1009</v>
      </c>
      <c r="G15" s="717"/>
      <c r="H15" s="717"/>
      <c r="I15" s="71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6"/>
      <c r="C16" s="120"/>
      <c r="D16" s="148">
        <v>2</v>
      </c>
      <c r="E16" s="549" t="str">
        <f>TP_P_B</f>
        <v xml:space="preserve">Количество исполненных заявлений </v>
      </c>
      <c r="F16" s="148" t="s">
        <v>1009</v>
      </c>
      <c r="G16" s="717"/>
      <c r="H16" s="717"/>
      <c r="I16" s="71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6"/>
      <c r="C17" s="120"/>
      <c r="D17" s="148">
        <v>3</v>
      </c>
      <c r="E17" s="549" t="str">
        <f>TP_P_V</f>
        <v>Количество заявлений о заключении договоров о подключении (технологическом присоединении)</v>
      </c>
      <c r="F17" s="148" t="s">
        <v>1009</v>
      </c>
      <c r="G17" s="717"/>
      <c r="H17" s="717"/>
      <c r="I17" s="71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6"/>
      <c r="C18" s="120"/>
      <c r="D18" s="148">
        <v>4</v>
      </c>
      <c r="E18" s="549" t="str">
        <f>TP_P_V_1</f>
        <v>Причины отказа в заключении договора о подключении (технологическом присоединении) к централизованной системе водоотведения</v>
      </c>
      <c r="F18" s="148" t="s">
        <v>293</v>
      </c>
      <c r="G18" s="635"/>
      <c r="H18" s="635"/>
      <c r="I18" s="71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spans="1:18" ht="57" customHeight="1">
      <c r="A19" s="46"/>
      <c r="C19" s="120"/>
      <c r="D19" s="148">
        <v>5</v>
      </c>
      <c r="E19" s="54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48" t="str">
        <f>IF(TEMPLATE_SPHERE="HEAT","Гкал/час","тыс. куб. м/сутки")</f>
        <v>тыс. куб. м/сутки</v>
      </c>
      <c r="G19" s="720">
        <f>SUM(G20:G22)</f>
        <v>0</v>
      </c>
      <c r="H19" s="720">
        <f>SUM(H20:H22)</f>
        <v>0</v>
      </c>
      <c r="I19" s="71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6" t="s">
        <v>1010</v>
      </c>
      <c r="E20" s="254"/>
      <c r="I20" s="721"/>
    </row>
    <row r="21" spans="1:18" ht="27.75" customHeight="1">
      <c r="C21" s="120"/>
      <c r="D21" s="190" t="s">
        <v>302</v>
      </c>
      <c r="E21" s="87"/>
      <c r="F21" s="148" t="str">
        <f>IF(TEMPLATE_SPHERE="HEAT","Гкал/час","тыс. куб. м/сутки")</f>
        <v>тыс. куб. м/сутки</v>
      </c>
      <c r="G21" s="633"/>
      <c r="H21" s="633"/>
      <c r="I21" s="111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6"/>
      <c r="C22" s="46"/>
      <c r="D22" s="669"/>
      <c r="E22" s="163" t="s">
        <v>1011</v>
      </c>
      <c r="F22" s="562"/>
      <c r="G22" s="562"/>
      <c r="H22" s="562"/>
      <c r="I22" s="1111"/>
      <c r="R22" s="46"/>
    </row>
  </sheetData>
  <mergeCells count="8">
    <mergeCell ref="I21:I22"/>
    <mergeCell ref="D5:H5"/>
    <mergeCell ref="D6:H6"/>
    <mergeCell ref="E9:F9"/>
    <mergeCell ref="I9:I13"/>
    <mergeCell ref="E10:F10"/>
    <mergeCell ref="E11:F11"/>
    <mergeCell ref="D12:F12"/>
  </mergeCells>
  <dataValidations count="4">
    <dataValidation type="textLength" operator="lessThanOrEqual" allowBlank="1" showInputMessage="1" showErrorMessage="1" errorTitle="Ошибка" error="Допускается ввод не более 900 символов!" sqref="E2 G18:H18 E21">
      <formula1>900</formula1>
      <formula2>0</formula2>
    </dataValidation>
    <dataValidation type="decimal" allowBlank="1" showErrorMessage="1" errorTitle="Ошибка" error="Допускается ввод только неотрицательных чисел!" sqref="G2:H2 G21:H21">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 E15">
      <formula1>0</formula1>
      <formula2>0</formula2>
    </dataValidation>
  </dataValidations>
  <pageMargins left="0.7" right="0.7" top="0.625" bottom="0.62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pageSetUpPr fitToPage="1"/>
  </sheetPr>
  <dimension ref="A1:P29"/>
  <sheetViews>
    <sheetView showGridLines="0" topLeftCell="C4" zoomScale="90" zoomScaleNormal="90" workbookViewId="0"/>
  </sheetViews>
  <sheetFormatPr defaultColWidth="10.5703125" defaultRowHeight="14.25"/>
  <cols>
    <col min="1" max="1" width="9.140625" style="56" hidden="1" customWidth="1"/>
    <col min="2" max="2" width="9.140625" style="49" hidden="1" customWidth="1"/>
    <col min="3" max="3" width="3.7109375" style="389" customWidth="1"/>
    <col min="4" max="4" width="6.28515625" style="46" customWidth="1"/>
    <col min="5" max="6" width="64.140625" style="46" customWidth="1"/>
    <col min="7" max="7" width="141.140625" style="46" customWidth="1"/>
    <col min="8" max="8" width="10.5703125" style="46"/>
    <col min="9" max="10" width="10.5703125" style="121"/>
    <col min="11" max="16" width="10.5703125" style="46"/>
  </cols>
  <sheetData>
    <row r="1" spans="1:16" ht="14.25" hidden="1" customHeight="1">
      <c r="M1" s="722"/>
      <c r="N1" s="722"/>
      <c r="P1" s="722"/>
    </row>
    <row r="2" spans="1:16" ht="14.25" hidden="1" customHeight="1"/>
    <row r="3" spans="1:16" ht="14.25" hidden="1" customHeight="1"/>
    <row r="4" spans="1:16" ht="3" customHeight="1">
      <c r="C4" s="437"/>
      <c r="D4" s="83"/>
      <c r="E4" s="83"/>
      <c r="F4" s="723"/>
      <c r="G4" s="723"/>
    </row>
    <row r="5" spans="1:16" ht="27.75" customHeight="1">
      <c r="C5" s="437"/>
      <c r="D5" s="1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06"/>
      <c r="F5" s="1106"/>
      <c r="G5" s="1106"/>
    </row>
    <row r="6" spans="1:16" s="46" customFormat="1" ht="18" customHeight="1">
      <c r="A6" s="56"/>
      <c r="B6" s="49"/>
      <c r="C6" s="437"/>
      <c r="D6" s="1127" t="str">
        <f>IF(org=0,"Не определено",org)</f>
        <v>Филиал ПАО "ОГК-2" - Серовская ГРЭС, г. Серов</v>
      </c>
      <c r="E6" s="1127"/>
      <c r="F6" s="1127"/>
      <c r="G6" s="1127"/>
      <c r="I6" s="121"/>
      <c r="J6" s="121"/>
    </row>
    <row r="7" spans="1:16" ht="14.25" customHeight="1">
      <c r="C7" s="437"/>
      <c r="D7" s="83"/>
      <c r="E7" s="77"/>
      <c r="F7" s="272"/>
      <c r="G7" s="724"/>
    </row>
    <row r="8" spans="1:16" s="46" customFormat="1" ht="0.75" customHeight="1">
      <c r="A8" s="56"/>
      <c r="B8" s="49"/>
      <c r="C8" s="437"/>
      <c r="D8" s="83"/>
      <c r="E8" s="77"/>
      <c r="F8" s="272"/>
      <c r="G8" s="724"/>
      <c r="I8" s="121"/>
      <c r="J8" s="121"/>
    </row>
    <row r="9" spans="1:16" ht="14.25" customHeight="1">
      <c r="C9" s="437"/>
      <c r="D9" s="1167" t="s">
        <v>287</v>
      </c>
      <c r="E9" s="1167"/>
      <c r="F9" s="1167"/>
      <c r="G9" s="1235" t="s">
        <v>288</v>
      </c>
    </row>
    <row r="10" spans="1:16" ht="14.25" customHeight="1">
      <c r="C10" s="437"/>
      <c r="D10" s="368" t="s">
        <v>84</v>
      </c>
      <c r="E10" s="203" t="s">
        <v>289</v>
      </c>
      <c r="F10" s="203" t="s">
        <v>379</v>
      </c>
      <c r="G10" s="1235"/>
    </row>
    <row r="11" spans="1:16" ht="12" hidden="1" customHeight="1">
      <c r="C11" s="437"/>
      <c r="D11" s="342"/>
      <c r="E11" s="342"/>
      <c r="F11" s="342"/>
      <c r="G11" s="342"/>
    </row>
    <row r="12" spans="1:16" ht="62.25" customHeight="1">
      <c r="A12" s="134"/>
      <c r="C12" s="437"/>
      <c r="D12" s="274">
        <v>1</v>
      </c>
      <c r="E12" s="72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3" t="s">
        <v>293</v>
      </c>
      <c r="G12" s="395"/>
    </row>
    <row r="13" spans="1:16" ht="22.5" customHeight="1">
      <c r="A13" s="134"/>
      <c r="C13" s="437"/>
      <c r="D13" s="274" t="s">
        <v>916</v>
      </c>
      <c r="E13" s="72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293</v>
      </c>
      <c r="G13" s="395"/>
    </row>
    <row r="14" spans="1:16" ht="14.25" customHeight="1">
      <c r="A14" s="134"/>
      <c r="C14" s="437"/>
      <c r="D14" s="274" t="s">
        <v>952</v>
      </c>
      <c r="E14" s="728"/>
      <c r="F14" s="381"/>
      <c r="G14" s="1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34"/>
      <c r="C15" s="437"/>
      <c r="D15" s="669"/>
      <c r="E15" s="199" t="s">
        <v>1012</v>
      </c>
      <c r="F15" s="729"/>
      <c r="G15" s="1111"/>
    </row>
    <row r="16" spans="1:16" ht="14.25" customHeight="1">
      <c r="A16" s="134"/>
      <c r="C16" s="437"/>
      <c r="D16" s="274" t="s">
        <v>918</v>
      </c>
      <c r="E16" s="72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3" t="s">
        <v>293</v>
      </c>
      <c r="G16" s="444"/>
    </row>
    <row r="17" spans="1:16" ht="14.25" customHeight="1">
      <c r="A17" s="134"/>
      <c r="C17" s="437"/>
      <c r="D17" s="274" t="s">
        <v>960</v>
      </c>
      <c r="E17" s="728"/>
      <c r="F17" s="664"/>
      <c r="G17" s="1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46" customFormat="1" ht="21" customHeight="1">
      <c r="A18" s="134"/>
      <c r="B18" s="49"/>
      <c r="C18" s="437"/>
      <c r="D18" s="669"/>
      <c r="E18" s="199" t="s">
        <v>1013</v>
      </c>
      <c r="F18" s="730"/>
      <c r="G18" s="1111"/>
      <c r="I18" s="121"/>
      <c r="J18" s="121"/>
    </row>
    <row r="19" spans="1:16" s="46" customFormat="1" ht="256.5" hidden="1" customHeight="1">
      <c r="A19" s="134"/>
      <c r="B19" s="49"/>
      <c r="C19" s="437"/>
      <c r="D19" s="274" t="s">
        <v>920</v>
      </c>
      <c r="E19" s="727" t="s">
        <v>1014</v>
      </c>
      <c r="F19" s="664"/>
      <c r="G19" s="731" t="s">
        <v>1015</v>
      </c>
      <c r="I19" s="121"/>
      <c r="J19" s="121"/>
    </row>
    <row r="20" spans="1:16" s="46" customFormat="1" ht="14.25" customHeight="1">
      <c r="A20" s="134"/>
      <c r="B20" s="49"/>
      <c r="C20" s="437"/>
      <c r="D20" s="275">
        <v>2</v>
      </c>
      <c r="E20" s="727" t="s">
        <v>1016</v>
      </c>
      <c r="F20" s="203" t="s">
        <v>293</v>
      </c>
      <c r="G20" s="444"/>
      <c r="I20" s="121"/>
      <c r="J20" s="121"/>
    </row>
    <row r="21" spans="1:16" s="46" customFormat="1" ht="18.75" hidden="1" customHeight="1">
      <c r="A21" s="134"/>
      <c r="B21" s="49"/>
      <c r="C21" s="437"/>
      <c r="D21" s="732" t="s">
        <v>846</v>
      </c>
      <c r="E21" s="733"/>
      <c r="F21" s="734"/>
      <c r="G21" s="735"/>
      <c r="H21" s="603"/>
      <c r="I21" s="121"/>
      <c r="J21" s="121"/>
    </row>
    <row r="22" spans="1:16" ht="15" customHeight="1">
      <c r="A22" s="134"/>
      <c r="C22" s="437"/>
      <c r="D22" s="669"/>
      <c r="E22" s="163" t="s">
        <v>1017</v>
      </c>
      <c r="F22" s="730"/>
      <c r="G22" s="588"/>
    </row>
    <row r="23" spans="1:16" s="46" customFormat="1" ht="22.5" hidden="1" customHeight="1">
      <c r="A23" s="134"/>
      <c r="B23" s="49"/>
      <c r="C23" s="437"/>
      <c r="D23" s="274" t="s">
        <v>106</v>
      </c>
      <c r="E23" s="726" t="s">
        <v>1018</v>
      </c>
      <c r="F23" s="203" t="s">
        <v>293</v>
      </c>
      <c r="G23" s="395"/>
      <c r="I23" s="121"/>
      <c r="J23" s="121"/>
    </row>
    <row r="24" spans="1:16" s="46" customFormat="1" ht="14.25" hidden="1" customHeight="1">
      <c r="A24" s="134"/>
      <c r="B24" s="49"/>
      <c r="C24" s="437"/>
      <c r="D24" s="274" t="s">
        <v>602</v>
      </c>
      <c r="E24" s="727" t="s">
        <v>1019</v>
      </c>
      <c r="F24" s="203" t="s">
        <v>293</v>
      </c>
      <c r="G24" s="444"/>
      <c r="I24" s="121"/>
      <c r="J24" s="121"/>
    </row>
    <row r="25" spans="1:16" s="46" customFormat="1" ht="14.25" hidden="1" customHeight="1">
      <c r="A25" s="134"/>
      <c r="B25" s="49"/>
      <c r="C25" s="437"/>
      <c r="D25" s="274" t="s">
        <v>605</v>
      </c>
      <c r="E25" s="728"/>
      <c r="F25" s="664"/>
      <c r="G25" s="1152" t="s">
        <v>1020</v>
      </c>
      <c r="I25" s="121"/>
      <c r="J25" s="121"/>
    </row>
    <row r="26" spans="1:16" s="46" customFormat="1" ht="22.5" hidden="1" customHeight="1">
      <c r="A26" s="134"/>
      <c r="B26" s="49"/>
      <c r="C26" s="437"/>
      <c r="D26" s="669"/>
      <c r="E26" s="199" t="s">
        <v>1021</v>
      </c>
      <c r="F26" s="730"/>
      <c r="G26" s="1152"/>
      <c r="I26" s="121"/>
      <c r="J26" s="121"/>
    </row>
    <row r="27" spans="1:16" ht="3" customHeight="1"/>
    <row r="28" spans="1:16" ht="14.25" customHeight="1">
      <c r="D28" s="387"/>
      <c r="E28" s="636"/>
      <c r="F28" s="318"/>
      <c r="G28" s="318"/>
      <c r="H28" s="318"/>
      <c r="I28" s="318"/>
      <c r="J28" s="318"/>
      <c r="K28" s="318"/>
      <c r="L28" s="318"/>
      <c r="M28" s="318"/>
      <c r="N28" s="318"/>
      <c r="O28" s="318"/>
      <c r="P28" s="318"/>
    </row>
    <row r="29" spans="1:16" ht="14.25" customHeight="1">
      <c r="D29" s="387"/>
      <c r="E29" s="100"/>
    </row>
  </sheetData>
  <mergeCells count="7">
    <mergeCell ref="G17:G18"/>
    <mergeCell ref="G25:G26"/>
    <mergeCell ref="D5:G5"/>
    <mergeCell ref="D6:G6"/>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E14 G14 E17 G17 G21 E25 G25">
      <formula1>900</formula1>
      <formula2>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formula2>0</formula2>
    </dataValidation>
  </dataValidations>
  <printOptions horizontalCentered="1" verticalCentered="1"/>
  <pageMargins left="0" right="0" top="0" bottom="0" header="0" footer="0.79027777777777797"/>
  <pageSetup paperSize="9" fitToHeight="0"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L42"/>
  <sheetViews>
    <sheetView showGridLines="0" topLeftCell="C13" zoomScale="90" zoomScaleNormal="90" workbookViewId="0"/>
  </sheetViews>
  <sheetFormatPr defaultColWidth="10.5703125" defaultRowHeight="14.25"/>
  <cols>
    <col min="1" max="1" width="9.140625" style="57" hidden="1" customWidth="1"/>
    <col min="2" max="2" width="9.140625" style="49" hidden="1" customWidth="1"/>
    <col min="3" max="3" width="3.7109375" style="389" customWidth="1"/>
    <col min="4" max="4" width="6.28515625" style="46" customWidth="1"/>
    <col min="5" max="5" width="63.42578125" style="46" customWidth="1"/>
    <col min="6" max="6" width="1.7109375" style="46" hidden="1" customWidth="1"/>
    <col min="7" max="8" width="35.7109375" style="46" customWidth="1"/>
    <col min="9" max="9" width="91.5703125" style="46" customWidth="1"/>
    <col min="10" max="10" width="68.85546875" style="46" customWidth="1"/>
    <col min="11" max="12" width="10.5703125" style="121"/>
  </cols>
  <sheetData>
    <row r="1" spans="1:12" ht="14.25" hidden="1" customHeight="1"/>
    <row r="2" spans="1:12" s="46" customFormat="1" ht="18.75" hidden="1" customHeight="1">
      <c r="A2" s="60"/>
      <c r="B2" s="49"/>
      <c r="C2" s="736" t="s">
        <v>502</v>
      </c>
      <c r="D2" s="274"/>
      <c r="E2" s="86"/>
      <c r="F2" s="203"/>
      <c r="G2" s="203" t="s">
        <v>293</v>
      </c>
      <c r="H2" s="381"/>
      <c r="K2" s="121"/>
      <c r="L2" s="121"/>
    </row>
    <row r="3" spans="1:12" s="46" customFormat="1" ht="14.25" hidden="1" customHeight="1">
      <c r="A3" s="57"/>
      <c r="B3" s="49"/>
      <c r="C3" s="389"/>
      <c r="K3" s="121"/>
      <c r="L3" s="121"/>
    </row>
    <row r="4" spans="1:12" s="46" customFormat="1" ht="18.75" hidden="1" customHeight="1">
      <c r="A4" s="60"/>
      <c r="B4" s="49"/>
      <c r="C4" s="736" t="s">
        <v>502</v>
      </c>
      <c r="D4" s="274"/>
      <c r="E4" s="677" t="s">
        <v>1022</v>
      </c>
      <c r="F4" s="203"/>
      <c r="G4" s="737"/>
      <c r="H4" s="203" t="s">
        <v>293</v>
      </c>
      <c r="K4" s="121"/>
      <c r="L4" s="121"/>
    </row>
    <row r="5" spans="1:12" s="46" customFormat="1" ht="14.25" hidden="1" customHeight="1">
      <c r="A5" s="57"/>
      <c r="B5" s="49"/>
      <c r="C5" s="389"/>
      <c r="K5" s="121"/>
      <c r="L5" s="121"/>
    </row>
    <row r="6" spans="1:12" s="46" customFormat="1" ht="18.75" hidden="1" customHeight="1">
      <c r="A6" s="60"/>
      <c r="B6" s="49"/>
      <c r="C6" s="736" t="s">
        <v>502</v>
      </c>
      <c r="D6" s="274"/>
      <c r="E6" s="738" t="s">
        <v>1023</v>
      </c>
      <c r="F6" s="203"/>
      <c r="G6" s="737"/>
      <c r="H6" s="203" t="s">
        <v>293</v>
      </c>
      <c r="K6" s="121"/>
      <c r="L6" s="121"/>
    </row>
    <row r="7" spans="1:12" s="46" customFormat="1" ht="14.25" hidden="1" customHeight="1">
      <c r="A7" s="57"/>
      <c r="B7" s="49"/>
      <c r="C7" s="389"/>
      <c r="K7" s="121"/>
      <c r="L7" s="121"/>
    </row>
    <row r="8" spans="1:12" s="46" customFormat="1" ht="18.75" hidden="1" customHeight="1">
      <c r="A8" s="60"/>
      <c r="B8" s="49"/>
      <c r="C8" s="736" t="s">
        <v>502</v>
      </c>
      <c r="D8" s="274"/>
      <c r="E8" s="738" t="s">
        <v>1024</v>
      </c>
      <c r="F8" s="203"/>
      <c r="G8" s="737"/>
      <c r="H8" s="203" t="s">
        <v>293</v>
      </c>
      <c r="K8" s="121"/>
      <c r="L8" s="121"/>
    </row>
    <row r="9" spans="1:12" s="46" customFormat="1" ht="14.25" hidden="1" customHeight="1">
      <c r="A9" s="57"/>
      <c r="B9" s="49"/>
      <c r="C9" s="389"/>
      <c r="K9" s="121"/>
      <c r="L9" s="121"/>
    </row>
    <row r="10" spans="1:12" s="46" customFormat="1" ht="18.75" hidden="1" customHeight="1">
      <c r="A10" s="60"/>
      <c r="B10" s="49"/>
      <c r="C10" s="736" t="s">
        <v>502</v>
      </c>
      <c r="D10" s="274"/>
      <c r="E10" s="738" t="s">
        <v>1025</v>
      </c>
      <c r="F10" s="203"/>
      <c r="G10" s="309"/>
      <c r="H10" s="203" t="s">
        <v>293</v>
      </c>
      <c r="K10" s="121"/>
      <c r="L10" s="121" t="s">
        <v>1026</v>
      </c>
    </row>
    <row r="11" spans="1:12" ht="14.25" hidden="1" customHeight="1"/>
    <row r="12" spans="1:12" ht="14.25" hidden="1" customHeight="1"/>
    <row r="13" spans="1:12" ht="14.25" customHeight="1">
      <c r="C13" s="437"/>
      <c r="D13" s="83"/>
      <c r="E13" s="83"/>
      <c r="F13" s="83"/>
      <c r="G13" s="83"/>
      <c r="H13" s="723"/>
      <c r="I13" s="723"/>
    </row>
    <row r="14" spans="1:12" ht="27.75" customHeight="1">
      <c r="C14" s="437"/>
      <c r="D14" s="1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06"/>
      <c r="F14" s="1106"/>
      <c r="G14" s="1106"/>
      <c r="H14" s="1106"/>
    </row>
    <row r="15" spans="1:12" s="46" customFormat="1" ht="14.25" customHeight="1">
      <c r="A15" s="57"/>
      <c r="B15" s="49"/>
      <c r="C15" s="437"/>
      <c r="D15" s="1127" t="str">
        <f>IF(org=0,"Не определено",org)</f>
        <v>Филиал ПАО "ОГК-2" - Серовская ГРЭС, г. Серов</v>
      </c>
      <c r="E15" s="1127"/>
      <c r="F15" s="1127"/>
      <c r="G15" s="1127"/>
      <c r="H15" s="1127"/>
      <c r="J15" s="290"/>
      <c r="K15" s="121"/>
      <c r="L15" s="121"/>
    </row>
    <row r="16" spans="1:12" ht="14.25" customHeight="1">
      <c r="C16" s="437"/>
      <c r="D16" s="83"/>
      <c r="E16" s="77"/>
      <c r="F16" s="77"/>
      <c r="G16" s="77"/>
      <c r="H16" s="272"/>
      <c r="I16" s="724"/>
    </row>
    <row r="17" spans="1:12" s="46" customFormat="1" ht="14.25" hidden="1" customHeight="1">
      <c r="A17" s="57"/>
      <c r="B17" s="49"/>
      <c r="C17" s="437"/>
      <c r="D17" s="83"/>
      <c r="E17" s="77"/>
      <c r="F17" s="77"/>
      <c r="G17" s="77"/>
      <c r="H17" s="272"/>
      <c r="I17" s="724"/>
      <c r="K17" s="121"/>
      <c r="L17" s="121"/>
    </row>
    <row r="18" spans="1:12" ht="21" customHeight="1">
      <c r="C18" s="437"/>
      <c r="D18" s="1167" t="s">
        <v>287</v>
      </c>
      <c r="E18" s="1167"/>
      <c r="F18" s="1167"/>
      <c r="G18" s="1167"/>
      <c r="H18" s="1167"/>
      <c r="I18" s="1235" t="s">
        <v>288</v>
      </c>
    </row>
    <row r="19" spans="1:12" ht="21" customHeight="1">
      <c r="C19" s="437"/>
      <c r="D19" s="368" t="s">
        <v>84</v>
      </c>
      <c r="E19" s="203" t="s">
        <v>289</v>
      </c>
      <c r="F19" s="203"/>
      <c r="G19" s="203" t="s">
        <v>290</v>
      </c>
      <c r="H19" s="203" t="s">
        <v>379</v>
      </c>
      <c r="I19" s="1235"/>
    </row>
    <row r="20" spans="1:12" ht="12" hidden="1" customHeight="1">
      <c r="C20" s="437"/>
      <c r="D20" s="342"/>
      <c r="E20" s="342"/>
      <c r="F20" s="342"/>
      <c r="G20" s="342"/>
      <c r="H20" s="342"/>
      <c r="I20" s="342"/>
    </row>
    <row r="21" spans="1:12" ht="14.25" customHeight="1">
      <c r="A21" s="60"/>
      <c r="C21" s="437"/>
      <c r="D21" s="274">
        <v>1</v>
      </c>
      <c r="E21" s="1236" t="s">
        <v>1027</v>
      </c>
      <c r="F21" s="1236"/>
      <c r="G21" s="1236"/>
      <c r="H21" s="1236"/>
      <c r="I21" s="718"/>
    </row>
    <row r="22" spans="1:12" ht="20.25" customHeight="1">
      <c r="A22" s="60"/>
      <c r="C22" s="437"/>
      <c r="D22" s="274" t="s">
        <v>916</v>
      </c>
      <c r="E22" s="727" t="s">
        <v>1028</v>
      </c>
      <c r="F22" s="203"/>
      <c r="G22" s="739"/>
      <c r="H22" s="203" t="s">
        <v>293</v>
      </c>
      <c r="I22" s="395" t="s">
        <v>1029</v>
      </c>
    </row>
    <row r="23" spans="1:12" ht="45" customHeight="1">
      <c r="A23" s="60"/>
      <c r="C23" s="437"/>
      <c r="D23" s="274" t="s">
        <v>918</v>
      </c>
      <c r="E23" s="677" t="s">
        <v>1030</v>
      </c>
      <c r="F23" s="203"/>
      <c r="G23" s="737"/>
      <c r="H23" s="381"/>
      <c r="I23" s="363" t="s">
        <v>1031</v>
      </c>
    </row>
    <row r="24" spans="1:12" ht="14.25" customHeight="1">
      <c r="A24" s="60"/>
      <c r="B24" s="49">
        <v>3</v>
      </c>
      <c r="C24" s="437"/>
      <c r="D24" s="274">
        <v>2</v>
      </c>
      <c r="E24" s="74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3"/>
      <c r="G24" s="203" t="s">
        <v>293</v>
      </c>
      <c r="H24" s="381"/>
      <c r="I24" s="263" t="s">
        <v>783</v>
      </c>
    </row>
    <row r="25" spans="1:12" ht="46.5" customHeight="1">
      <c r="A25" s="60"/>
      <c r="C25" s="437"/>
      <c r="D25" s="274">
        <v>3</v>
      </c>
      <c r="E25" s="12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236"/>
      <c r="G25" s="1236"/>
      <c r="H25" s="1236"/>
      <c r="I25" s="718"/>
    </row>
    <row r="26" spans="1:12" ht="14.25" customHeight="1">
      <c r="A26" s="60"/>
      <c r="C26" s="437"/>
      <c r="D26" s="274" t="s">
        <v>313</v>
      </c>
      <c r="E26" s="86"/>
      <c r="F26" s="203"/>
      <c r="G26" s="203" t="s">
        <v>293</v>
      </c>
      <c r="H26" s="381"/>
      <c r="I26" s="1152" t="s">
        <v>1032</v>
      </c>
    </row>
    <row r="27" spans="1:12" ht="15" customHeight="1">
      <c r="A27" s="60" t="s">
        <v>105</v>
      </c>
      <c r="C27" s="437"/>
      <c r="D27" s="669"/>
      <c r="E27" s="163" t="s">
        <v>1017</v>
      </c>
      <c r="F27" s="199"/>
      <c r="G27" s="199"/>
      <c r="H27" s="729"/>
      <c r="I27" s="1152"/>
    </row>
    <row r="28" spans="1:12" ht="38.25" customHeight="1">
      <c r="A28" s="60"/>
      <c r="B28" s="49">
        <v>3</v>
      </c>
      <c r="C28" s="437"/>
      <c r="D28" s="274">
        <v>4</v>
      </c>
      <c r="E28" s="12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236"/>
      <c r="G28" s="1236"/>
      <c r="H28" s="1236"/>
      <c r="I28" s="718"/>
    </row>
    <row r="29" spans="1:12" ht="20.25" customHeight="1">
      <c r="A29" s="60"/>
      <c r="C29" s="437"/>
      <c r="D29" s="274" t="s">
        <v>647</v>
      </c>
      <c r="E29" s="677" t="s">
        <v>1022</v>
      </c>
      <c r="F29" s="203"/>
      <c r="G29" s="737"/>
      <c r="H29" s="203" t="s">
        <v>293</v>
      </c>
      <c r="I29" s="1152" t="s">
        <v>1033</v>
      </c>
    </row>
    <row r="30" spans="1:12" ht="15" customHeight="1">
      <c r="A30" s="60" t="s">
        <v>106</v>
      </c>
      <c r="C30" s="437"/>
      <c r="D30" s="669"/>
      <c r="E30" s="163" t="s">
        <v>1017</v>
      </c>
      <c r="F30" s="199"/>
      <c r="G30" s="199"/>
      <c r="H30" s="729"/>
      <c r="I30" s="1152"/>
    </row>
    <row r="31" spans="1:12" ht="30" customHeight="1">
      <c r="A31" s="60"/>
      <c r="B31" s="49">
        <v>3</v>
      </c>
      <c r="C31" s="437"/>
      <c r="D31" s="274">
        <v>5</v>
      </c>
      <c r="E31" s="12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236"/>
      <c r="G31" s="1236"/>
      <c r="H31" s="1236"/>
      <c r="I31" s="718"/>
    </row>
    <row r="32" spans="1:12" ht="26.25" customHeight="1">
      <c r="A32" s="60"/>
      <c r="C32" s="437"/>
      <c r="D32" s="274" t="s">
        <v>302</v>
      </c>
      <c r="E32" s="12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212"/>
      <c r="G32" s="1212"/>
      <c r="H32" s="1212"/>
      <c r="I32" s="718"/>
    </row>
    <row r="33" spans="1:12" ht="14.25" customHeight="1">
      <c r="A33" s="60"/>
      <c r="C33" s="437"/>
      <c r="D33" s="274" t="s">
        <v>1034</v>
      </c>
      <c r="E33" s="738" t="s">
        <v>1023</v>
      </c>
      <c r="F33" s="203"/>
      <c r="G33" s="737"/>
      <c r="H33" s="203" t="s">
        <v>293</v>
      </c>
      <c r="I33" s="1152" t="s">
        <v>1035</v>
      </c>
    </row>
    <row r="34" spans="1:12" ht="15" customHeight="1">
      <c r="A34" s="60" t="s">
        <v>86</v>
      </c>
      <c r="C34" s="437"/>
      <c r="D34" s="669"/>
      <c r="E34" s="199" t="s">
        <v>1017</v>
      </c>
      <c r="F34" s="521"/>
      <c r="G34" s="521"/>
      <c r="H34" s="729"/>
      <c r="I34" s="1152"/>
    </row>
    <row r="35" spans="1:12" ht="24" customHeight="1">
      <c r="A35" s="60"/>
      <c r="C35" s="437"/>
      <c r="D35" s="274" t="s">
        <v>304</v>
      </c>
      <c r="E35" s="12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212"/>
      <c r="G35" s="1212"/>
      <c r="H35" s="1212"/>
      <c r="I35" s="718"/>
    </row>
    <row r="36" spans="1:12" ht="14.25" customHeight="1">
      <c r="A36" s="60"/>
      <c r="C36" s="437"/>
      <c r="D36" s="274" t="s">
        <v>1036</v>
      </c>
      <c r="E36" s="738" t="s">
        <v>1024</v>
      </c>
      <c r="F36" s="203"/>
      <c r="G36" s="737"/>
      <c r="H36" s="203" t="s">
        <v>293</v>
      </c>
      <c r="I36" s="1152" t="s">
        <v>1037</v>
      </c>
    </row>
    <row r="37" spans="1:12" ht="15" customHeight="1">
      <c r="A37" s="60" t="s">
        <v>87</v>
      </c>
      <c r="C37" s="437"/>
      <c r="D37" s="669"/>
      <c r="E37" s="199" t="s">
        <v>1017</v>
      </c>
      <c r="F37" s="521"/>
      <c r="G37" s="521"/>
      <c r="H37" s="729"/>
      <c r="I37" s="1152"/>
    </row>
    <row r="38" spans="1:12" ht="26.25" customHeight="1">
      <c r="A38" s="60"/>
      <c r="C38" s="437"/>
      <c r="D38" s="274" t="s">
        <v>307</v>
      </c>
      <c r="E38" s="12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212"/>
      <c r="G38" s="1212"/>
      <c r="H38" s="1212"/>
      <c r="I38" s="718"/>
    </row>
    <row r="39" spans="1:12" ht="14.25" customHeight="1">
      <c r="A39" s="60"/>
      <c r="C39" s="437"/>
      <c r="D39" s="274" t="s">
        <v>776</v>
      </c>
      <c r="E39" s="738" t="s">
        <v>1025</v>
      </c>
      <c r="F39" s="203"/>
      <c r="G39" s="309"/>
      <c r="H39" s="203" t="s">
        <v>293</v>
      </c>
      <c r="I39" s="1152" t="s">
        <v>1038</v>
      </c>
      <c r="L39" s="121" t="s">
        <v>1026</v>
      </c>
    </row>
    <row r="40" spans="1:12" ht="15" customHeight="1">
      <c r="A40" s="60" t="s">
        <v>107</v>
      </c>
      <c r="C40" s="437"/>
      <c r="D40" s="669"/>
      <c r="E40" s="199" t="s">
        <v>1017</v>
      </c>
      <c r="F40" s="521"/>
      <c r="G40" s="521"/>
      <c r="H40" s="729"/>
      <c r="I40" s="1152"/>
    </row>
    <row r="41" spans="1:12" s="134" customFormat="1" ht="3" customHeight="1">
      <c r="A41" s="60"/>
      <c r="K41" s="158"/>
      <c r="L41" s="158"/>
    </row>
    <row r="42" spans="1:12" ht="24.75" customHeight="1">
      <c r="D42" s="387" t="s">
        <v>698</v>
      </c>
      <c r="E42" s="11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171"/>
      <c r="G42" s="1171"/>
      <c r="H42" s="1171"/>
      <c r="I42" s="1171"/>
    </row>
  </sheetData>
  <mergeCells count="17">
    <mergeCell ref="I39:I40"/>
    <mergeCell ref="E42:I42"/>
    <mergeCell ref="E32:H32"/>
    <mergeCell ref="I33:I34"/>
    <mergeCell ref="E35:H35"/>
    <mergeCell ref="I36:I37"/>
    <mergeCell ref="E38:H38"/>
    <mergeCell ref="E25:H25"/>
    <mergeCell ref="I26:I27"/>
    <mergeCell ref="E28:H28"/>
    <mergeCell ref="I29:I30"/>
    <mergeCell ref="E31:H31"/>
    <mergeCell ref="D14:H14"/>
    <mergeCell ref="D15:H15"/>
    <mergeCell ref="D18:H18"/>
    <mergeCell ref="I18:I19"/>
    <mergeCell ref="E21:H2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formula1>0</formula1>
      <formula2>0</formula2>
    </dataValidation>
    <dataValidation type="textLength" operator="lessThanOrEqual" allowBlank="1" showInputMessage="1" showErrorMessage="1" errorTitle="Ошибка" error="Допускается ввод не более 900 символов!" sqref="E2 I2 E4 G4 I4 E6 G6 I6 E8 G8 I8 E10 I10 E23 G23 I23:I24 E26 I26 E29 G29 I29 E33 G33 I33 E36 G36 I36 E39 I39">
      <formula1>900</formula1>
      <formula2>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 H23:H24 H26">
      <formula1>900</formula1>
      <formula2>0</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formula2>0</formula2>
    </dataValidation>
  </dataValidations>
  <pageMargins left="0.7" right="0.7" top="0.625" bottom="0.625" header="0.3" footer="0.3"/>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G316"/>
  <sheetViews>
    <sheetView showGridLines="0" topLeftCell="D13" zoomScale="90" zoomScaleNormal="90" workbookViewId="0"/>
  </sheetViews>
  <sheetFormatPr defaultColWidth="10.5703125" defaultRowHeight="14.25"/>
  <cols>
    <col min="1" max="2" width="25.140625" style="23" hidden="1" customWidth="1"/>
    <col min="3" max="3" width="9.140625" style="318" hidden="1" customWidth="1"/>
    <col min="4" max="4" width="3.7109375" style="389" customWidth="1"/>
    <col min="5" max="5" width="6.28515625" style="46" customWidth="1"/>
    <col min="6" max="6" width="46.7109375" style="46" customWidth="1"/>
    <col min="7" max="7" width="35.7109375" style="46" customWidth="1"/>
    <col min="8" max="8" width="3.7109375" style="46" customWidth="1"/>
    <col min="9" max="10" width="11.7109375" style="46" customWidth="1"/>
    <col min="11" max="12" width="35.7109375" style="46" customWidth="1"/>
    <col min="13" max="13" width="84.85546875" style="46" customWidth="1"/>
    <col min="14" max="14" width="10.5703125" style="46"/>
    <col min="15" max="16" width="10.5703125" style="121"/>
    <col min="17" max="33" width="10.5703125" style="46"/>
  </cols>
  <sheetData>
    <row r="1" spans="1:33" s="46" customFormat="1" ht="14.25" hidden="1" customHeight="1">
      <c r="A1" s="23"/>
      <c r="B1" s="23"/>
      <c r="C1" s="318"/>
      <c r="D1" s="389"/>
      <c r="N1" s="53">
        <f>IFERROR(MATCH("метод экономически обоснованных расходов (затрат)",OFFER_METHOD,0),0)</f>
        <v>0</v>
      </c>
      <c r="O1" s="121"/>
      <c r="P1" s="121"/>
      <c r="T1" s="114"/>
      <c r="AG1" s="722"/>
    </row>
    <row r="2" spans="1:33" s="46" customFormat="1" ht="18.75" hidden="1" customHeight="1">
      <c r="A2" s="134" t="s">
        <v>151</v>
      </c>
      <c r="B2" s="134" t="s">
        <v>152</v>
      </c>
      <c r="C2" s="318"/>
      <c r="D2" s="389"/>
      <c r="E2" s="445"/>
      <c r="F2" s="445"/>
      <c r="G2" s="1220" t="str">
        <f>INDEX(PT_DIFFERENTIATION_NTAR,MATCH(B2,PT_DIFFERENTIATION_NTAR_ID,0))</f>
        <v/>
      </c>
      <c r="H2" s="337"/>
      <c r="I2" s="741"/>
      <c r="J2" s="742"/>
      <c r="K2" s="407"/>
      <c r="L2" s="337" t="s">
        <v>293</v>
      </c>
      <c r="M2" s="743"/>
      <c r="N2" s="603"/>
      <c r="O2" s="121"/>
      <c r="P2" s="121"/>
    </row>
    <row r="3" spans="1:33" s="46" customFormat="1" ht="18.75" hidden="1" customHeight="1">
      <c r="A3" s="134"/>
      <c r="B3" s="134"/>
      <c r="C3" s="318" t="s">
        <v>1039</v>
      </c>
      <c r="D3" s="389"/>
      <c r="E3" s="445"/>
      <c r="F3" s="445"/>
      <c r="G3" s="1220"/>
      <c r="H3" s="527"/>
      <c r="I3" s="168" t="s">
        <v>1040</v>
      </c>
      <c r="J3" s="199"/>
      <c r="K3" s="527"/>
      <c r="L3" s="729"/>
      <c r="M3" s="743"/>
      <c r="N3" s="603"/>
      <c r="O3" s="121"/>
      <c r="P3" s="121"/>
    </row>
    <row r="4" spans="1:33" s="46" customFormat="1" ht="14.25" hidden="1" customHeight="1">
      <c r="A4" s="23"/>
      <c r="B4" s="23"/>
      <c r="C4" s="318"/>
      <c r="D4" s="389"/>
      <c r="N4" s="53">
        <f>IFERROR(MATCH("метод экономически обоснованных расходов (затрат)",OFFER_METHOD,0),0)</f>
        <v>0</v>
      </c>
      <c r="O4" s="121"/>
      <c r="P4" s="121"/>
      <c r="T4" s="114"/>
      <c r="AG4" s="722"/>
    </row>
    <row r="5" spans="1:33" s="46" customFormat="1" ht="18.75" hidden="1" customHeight="1">
      <c r="A5" s="134" t="s">
        <v>151</v>
      </c>
      <c r="B5" s="134" t="s">
        <v>152</v>
      </c>
      <c r="C5" s="318"/>
      <c r="D5" s="389"/>
      <c r="E5" s="445"/>
      <c r="F5" s="445"/>
      <c r="G5" s="1220" t="str">
        <f>INDEX(PT_DIFFERENTIATION_NTAR,MATCH(B5,PT_DIFFERENTIATION_NTAR_ID,0))</f>
        <v/>
      </c>
      <c r="H5" s="337"/>
      <c r="I5" s="741"/>
      <c r="J5" s="742"/>
      <c r="K5" s="350"/>
      <c r="L5" s="337" t="s">
        <v>293</v>
      </c>
      <c r="M5" s="743"/>
      <c r="N5" s="603"/>
      <c r="O5" s="121"/>
      <c r="P5" s="121"/>
    </row>
    <row r="6" spans="1:33" s="46" customFormat="1" ht="18.75" hidden="1" customHeight="1">
      <c r="A6" s="134"/>
      <c r="B6" s="134"/>
      <c r="C6" s="318" t="s">
        <v>1041</v>
      </c>
      <c r="D6" s="389"/>
      <c r="E6" s="445"/>
      <c r="F6" s="445"/>
      <c r="G6" s="1220"/>
      <c r="H6" s="527"/>
      <c r="I6" s="168" t="s">
        <v>1040</v>
      </c>
      <c r="J6" s="199"/>
      <c r="K6" s="527"/>
      <c r="L6" s="729"/>
      <c r="M6" s="743"/>
      <c r="N6" s="603"/>
      <c r="O6" s="121"/>
      <c r="P6" s="121"/>
    </row>
    <row r="7" spans="1:33" s="46" customFormat="1" ht="14.25" hidden="1" customHeight="1">
      <c r="A7" s="23"/>
      <c r="B7" s="23"/>
      <c r="C7" s="318"/>
      <c r="D7" s="389"/>
      <c r="N7" s="53">
        <f>IFERROR(MATCH("метод экономически обоснованных расходов (затрат)",OFFER_METHOD,0),0)</f>
        <v>0</v>
      </c>
      <c r="O7" s="121"/>
      <c r="P7" s="121"/>
      <c r="T7" s="114"/>
      <c r="AG7" s="722"/>
    </row>
    <row r="8" spans="1:33" s="46" customFormat="1" ht="56.25" hidden="1" customHeight="1">
      <c r="A8" s="134"/>
      <c r="B8" s="134"/>
      <c r="C8" s="318"/>
      <c r="D8" s="389"/>
      <c r="E8" s="445"/>
      <c r="F8" s="445"/>
      <c r="G8" s="445"/>
      <c r="H8" s="337"/>
      <c r="I8" s="741"/>
      <c r="J8" s="742"/>
      <c r="K8" s="407"/>
      <c r="L8" s="337" t="s">
        <v>293</v>
      </c>
      <c r="M8" s="743"/>
      <c r="N8" s="603"/>
      <c r="O8" s="121"/>
      <c r="P8" s="121"/>
    </row>
    <row r="9" spans="1:33" ht="14.25" hidden="1" customHeight="1">
      <c r="T9" s="114"/>
      <c r="AG9" s="722"/>
    </row>
    <row r="10" spans="1:33" s="46" customFormat="1" ht="56.25" hidden="1" customHeight="1">
      <c r="A10" s="134"/>
      <c r="B10" s="134"/>
      <c r="C10" s="318"/>
      <c r="D10" s="389"/>
      <c r="E10" s="445"/>
      <c r="F10" s="445"/>
      <c r="G10" s="445"/>
      <c r="H10" s="203"/>
      <c r="I10" s="741"/>
      <c r="J10" s="742"/>
      <c r="K10" s="350"/>
      <c r="L10" s="337" t="s">
        <v>293</v>
      </c>
      <c r="M10" s="743"/>
      <c r="N10" s="603"/>
      <c r="O10" s="121"/>
      <c r="P10" s="121"/>
    </row>
    <row r="11" spans="1:33" ht="14.25" hidden="1" customHeight="1"/>
    <row r="12" spans="1:33" ht="14.25" hidden="1" customHeight="1"/>
    <row r="13" spans="1:33" ht="6" customHeight="1">
      <c r="D13" s="437"/>
      <c r="E13" s="83"/>
      <c r="F13" s="83"/>
      <c r="G13" s="83"/>
      <c r="H13" s="83"/>
      <c r="I13" s="83"/>
      <c r="J13" s="83"/>
      <c r="K13" s="83"/>
      <c r="L13" s="723"/>
      <c r="M13" s="723"/>
    </row>
    <row r="14" spans="1:33" ht="14.25" customHeight="1">
      <c r="D14" s="437"/>
      <c r="E14" s="12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237"/>
      <c r="G14" s="1237"/>
      <c r="H14" s="1237"/>
      <c r="I14" s="1237"/>
      <c r="J14" s="1237"/>
      <c r="K14" s="1237"/>
      <c r="L14" s="1237"/>
      <c r="M14" s="201"/>
    </row>
    <row r="15" spans="1:33" ht="6" customHeight="1">
      <c r="D15" s="437"/>
      <c r="E15" s="83"/>
      <c r="F15" s="77"/>
      <c r="G15" s="77"/>
      <c r="H15" s="77"/>
      <c r="I15" s="77"/>
      <c r="J15" s="77"/>
      <c r="K15" s="77"/>
      <c r="L15" s="439"/>
      <c r="M15" s="724"/>
    </row>
    <row r="16" spans="1:33" ht="18.75" customHeight="1">
      <c r="D16" s="437"/>
      <c r="E16" s="83"/>
      <c r="F16" s="744" t="str">
        <f>"Дата подачи заявления об "&amp;IF(TITLE_DATE_PR_CHANGE="","утверждении","изменении")&amp;" тарифов"</f>
        <v>Дата подачи заявления об утверждении тарифов</v>
      </c>
      <c r="G16" s="1164">
        <f>IF(TITLE_DATE_PR_CHANGE="",IF(TITLE_DATE_PR="","",TITLE_DATE_PR),TITLE_DATE_PR_CHANGE)</f>
        <v>45266.462974536997</v>
      </c>
      <c r="H16" s="1164"/>
      <c r="I16" s="1164"/>
      <c r="J16" s="1164"/>
      <c r="K16" s="1164"/>
      <c r="L16" s="1164"/>
      <c r="M16" s="603"/>
    </row>
    <row r="17" spans="1:16" ht="18.75" customHeight="1">
      <c r="D17" s="437"/>
      <c r="E17" s="83"/>
      <c r="F17" s="744" t="str">
        <f>"Номер подачи заявления об "&amp;IF(TITLE_DATE_PR_CHANGE="","утверждении","изменении")&amp;" тарифов"</f>
        <v>Номер подачи заявления об утверждении тарифов</v>
      </c>
      <c r="G17" s="1163" t="str">
        <f>IF(TITLE_NUMBER_PR_CHANGE="",IF(TITLE_NUMBER_PR="","",TITLE_NUMBER_PR),TITLE_NUMBER_PR_CHANGE)</f>
        <v>216-ПК</v>
      </c>
      <c r="H17" s="1163"/>
      <c r="I17" s="1163"/>
      <c r="J17" s="1163"/>
      <c r="K17" s="1163"/>
      <c r="L17" s="1163"/>
      <c r="M17" s="603"/>
    </row>
    <row r="18" spans="1:16" ht="14.25" customHeight="1">
      <c r="D18" s="437"/>
      <c r="E18" s="83"/>
      <c r="F18" s="77"/>
      <c r="G18" s="77"/>
      <c r="H18" s="77"/>
      <c r="I18" s="77"/>
      <c r="J18" s="77"/>
      <c r="K18" s="77"/>
      <c r="L18" s="272"/>
      <c r="M18" s="724"/>
    </row>
    <row r="19" spans="1:16" ht="21" customHeight="1">
      <c r="D19" s="437"/>
      <c r="E19" s="1167" t="s">
        <v>287</v>
      </c>
      <c r="F19" s="1167"/>
      <c r="G19" s="1167"/>
      <c r="H19" s="1167"/>
      <c r="I19" s="1167"/>
      <c r="J19" s="1167"/>
      <c r="K19" s="1167"/>
      <c r="L19" s="1167"/>
      <c r="M19" s="1235" t="s">
        <v>288</v>
      </c>
    </row>
    <row r="20" spans="1:16" ht="21" customHeight="1">
      <c r="D20" s="437"/>
      <c r="E20" s="1167" t="s">
        <v>84</v>
      </c>
      <c r="F20" s="1108" t="s">
        <v>118</v>
      </c>
      <c r="G20" s="1108" t="s">
        <v>119</v>
      </c>
      <c r="H20" s="1167" t="s">
        <v>1042</v>
      </c>
      <c r="I20" s="1167"/>
      <c r="J20" s="1167"/>
      <c r="K20" s="1108" t="s">
        <v>290</v>
      </c>
      <c r="L20" s="1108" t="s">
        <v>379</v>
      </c>
      <c r="M20" s="1235"/>
    </row>
    <row r="21" spans="1:16" ht="21" customHeight="1">
      <c r="D21" s="437"/>
      <c r="E21" s="1167"/>
      <c r="F21" s="1108"/>
      <c r="G21" s="1108"/>
      <c r="H21" s="1108" t="s">
        <v>1043</v>
      </c>
      <c r="I21" s="1108"/>
      <c r="J21" s="203" t="s">
        <v>1044</v>
      </c>
      <c r="K21" s="1108"/>
      <c r="L21" s="1108"/>
      <c r="M21" s="1235"/>
    </row>
    <row r="22" spans="1:16" ht="12" customHeight="1">
      <c r="D22" s="437"/>
      <c r="E22" s="342"/>
      <c r="F22" s="342"/>
      <c r="G22" s="342"/>
      <c r="H22" s="1238"/>
      <c r="I22" s="1238"/>
      <c r="J22" s="342"/>
      <c r="K22" s="342"/>
      <c r="L22" s="342"/>
      <c r="M22" s="342"/>
    </row>
    <row r="23" spans="1:16" ht="18.75" customHeight="1">
      <c r="A23" s="134"/>
      <c r="B23" s="134"/>
      <c r="D23" s="437"/>
      <c r="E23" s="745" t="s">
        <v>105</v>
      </c>
      <c r="F23" s="1239" t="str">
        <f>"Предлагаемый метод регулирования"&amp;IF(TEMPLATE_SPHERE="HEAT"," в сфере "&amp;TEMPLATE_SPHERE_RUS,"")</f>
        <v>Предлагаемый метод регулирования</v>
      </c>
      <c r="G23" s="1239"/>
      <c r="H23" s="1239"/>
      <c r="I23" s="1239"/>
      <c r="J23" s="1239"/>
      <c r="K23" s="1239" t="s">
        <v>293</v>
      </c>
      <c r="L23" s="1239"/>
      <c r="M23" s="263"/>
      <c r="N23" s="603"/>
    </row>
    <row r="24" spans="1:16" ht="60.75" hidden="1" customHeight="1">
      <c r="A24" s="134" t="s">
        <v>151</v>
      </c>
      <c r="B24" s="134" t="s">
        <v>152</v>
      </c>
      <c r="D24" s="1240"/>
      <c r="E24" s="1139"/>
      <c r="F24" s="12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220" t="str">
        <f>INDEX(PT_DIFFERENTIATION_NTAR,MATCH(B24,PT_DIFFERENTIATION_NTAR_ID,0))</f>
        <v/>
      </c>
      <c r="H24" s="337"/>
      <c r="I24" s="741"/>
      <c r="J24" s="742"/>
      <c r="K24" s="407"/>
      <c r="L24" s="337" t="s">
        <v>293</v>
      </c>
      <c r="M24" s="1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03"/>
    </row>
    <row r="25" spans="1:16" s="46" customFormat="1" ht="18.75" hidden="1" customHeight="1">
      <c r="A25" s="134"/>
      <c r="B25" s="134"/>
      <c r="C25" s="318" t="s">
        <v>1039</v>
      </c>
      <c r="D25" s="1240"/>
      <c r="E25" s="1139"/>
      <c r="F25" s="1241"/>
      <c r="G25" s="1220"/>
      <c r="H25" s="527"/>
      <c r="I25" s="168" t="s">
        <v>1040</v>
      </c>
      <c r="J25" s="199"/>
      <c r="K25" s="527"/>
      <c r="L25" s="729"/>
      <c r="M25" s="1242"/>
      <c r="N25" s="603"/>
      <c r="O25" s="121"/>
      <c r="P25" s="121"/>
    </row>
    <row r="26" spans="1:16" ht="0.75" hidden="1" customHeight="1">
      <c r="A26" s="134"/>
      <c r="B26" s="134"/>
      <c r="C26" s="318" t="s">
        <v>1045</v>
      </c>
      <c r="D26" s="1240"/>
      <c r="E26" s="1139"/>
      <c r="F26" s="1241"/>
      <c r="G26" s="746"/>
      <c r="H26" s="527"/>
      <c r="I26" s="168"/>
      <c r="J26" s="199"/>
      <c r="K26" s="527"/>
      <c r="L26" s="729"/>
      <c r="M26" s="1242"/>
      <c r="N26" s="603"/>
    </row>
    <row r="27" spans="1:16" s="46" customFormat="1" ht="45" hidden="1" customHeight="1">
      <c r="A27" s="134" t="s">
        <v>157</v>
      </c>
      <c r="B27" s="134" t="s">
        <v>158</v>
      </c>
      <c r="C27" s="318"/>
      <c r="D27" s="1243"/>
      <c r="E27" s="1244"/>
      <c r="F27" s="124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220" t="str">
        <f>INDEX(PT_DIFFERENTIATION_NTAR,MATCH(B27,PT_DIFFERENTIATION_NTAR_ID,0))</f>
        <v/>
      </c>
      <c r="H27" s="337"/>
      <c r="I27" s="741"/>
      <c r="J27" s="742"/>
      <c r="K27" s="407"/>
      <c r="L27" s="337" t="s">
        <v>293</v>
      </c>
      <c r="M27" s="1242"/>
      <c r="N27" s="603"/>
      <c r="O27" s="121"/>
      <c r="P27" s="121"/>
    </row>
    <row r="28" spans="1:16" s="46" customFormat="1" ht="18.75" hidden="1" customHeight="1">
      <c r="A28" s="134"/>
      <c r="B28" s="134"/>
      <c r="C28" s="318" t="s">
        <v>1039</v>
      </c>
      <c r="D28" s="1243"/>
      <c r="E28" s="1244"/>
      <c r="F28" s="1245"/>
      <c r="G28" s="1220"/>
      <c r="H28" s="527"/>
      <c r="I28" s="168" t="s">
        <v>1040</v>
      </c>
      <c r="J28" s="199"/>
      <c r="K28" s="527"/>
      <c r="L28" s="729"/>
      <c r="M28" s="1242"/>
      <c r="N28" s="603"/>
      <c r="O28" s="121"/>
      <c r="P28" s="121"/>
    </row>
    <row r="29" spans="1:16" s="46" customFormat="1" ht="0.75" hidden="1" customHeight="1">
      <c r="A29" s="134"/>
      <c r="B29" s="134"/>
      <c r="C29" s="318" t="s">
        <v>1045</v>
      </c>
      <c r="D29" s="1243"/>
      <c r="E29" s="1244"/>
      <c r="F29" s="1245"/>
      <c r="G29" s="746"/>
      <c r="H29" s="527"/>
      <c r="I29" s="168"/>
      <c r="J29" s="199"/>
      <c r="K29" s="527"/>
      <c r="L29" s="729"/>
      <c r="M29" s="1242"/>
      <c r="N29" s="603"/>
      <c r="O29" s="121"/>
      <c r="P29" s="121"/>
    </row>
    <row r="30" spans="1:16" s="46" customFormat="1" ht="45" hidden="1" customHeight="1">
      <c r="A30" s="134" t="s">
        <v>163</v>
      </c>
      <c r="B30" s="134" t="s">
        <v>164</v>
      </c>
      <c r="C30" s="318"/>
      <c r="D30" s="1243"/>
      <c r="E30" s="1139"/>
      <c r="F30" s="1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220" t="str">
        <f>INDEX(PT_DIFFERENTIATION_NTAR,MATCH(B30,PT_DIFFERENTIATION_NTAR_ID,0))</f>
        <v/>
      </c>
      <c r="H30" s="337"/>
      <c r="I30" s="741"/>
      <c r="J30" s="742"/>
      <c r="K30" s="407"/>
      <c r="L30" s="337" t="s">
        <v>293</v>
      </c>
      <c r="M30" s="1242"/>
      <c r="N30" s="603"/>
      <c r="O30" s="121"/>
      <c r="P30" s="121"/>
    </row>
    <row r="31" spans="1:16" s="46" customFormat="1" ht="18.75" hidden="1" customHeight="1">
      <c r="A31" s="134"/>
      <c r="B31" s="134"/>
      <c r="C31" s="318" t="s">
        <v>1039</v>
      </c>
      <c r="D31" s="1243"/>
      <c r="E31" s="1139"/>
      <c r="F31" s="1202"/>
      <c r="G31" s="1220"/>
      <c r="H31" s="527"/>
      <c r="I31" s="168" t="s">
        <v>1040</v>
      </c>
      <c r="J31" s="199"/>
      <c r="K31" s="527"/>
      <c r="L31" s="729"/>
      <c r="M31" s="1242"/>
      <c r="N31" s="603"/>
      <c r="O31" s="121"/>
      <c r="P31" s="121"/>
    </row>
    <row r="32" spans="1:16" s="46" customFormat="1" ht="0.75" hidden="1" customHeight="1">
      <c r="A32" s="134"/>
      <c r="B32" s="134"/>
      <c r="C32" s="318" t="s">
        <v>1045</v>
      </c>
      <c r="D32" s="1243"/>
      <c r="E32" s="1139"/>
      <c r="F32" s="1202"/>
      <c r="G32" s="746"/>
      <c r="H32" s="527"/>
      <c r="I32" s="168"/>
      <c r="J32" s="199"/>
      <c r="K32" s="527"/>
      <c r="L32" s="729"/>
      <c r="M32" s="1242"/>
      <c r="N32" s="603"/>
      <c r="O32" s="121"/>
      <c r="P32" s="121"/>
    </row>
    <row r="33" spans="1:16" s="46" customFormat="1" ht="45" hidden="1" customHeight="1">
      <c r="A33" s="134" t="s">
        <v>169</v>
      </c>
      <c r="B33" s="134" t="s">
        <v>170</v>
      </c>
      <c r="C33" s="318"/>
      <c r="D33" s="1243"/>
      <c r="E33" s="1139"/>
      <c r="F33" s="1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220" t="str">
        <f>INDEX(PT_DIFFERENTIATION_NTAR,MATCH(B33,PT_DIFFERENTIATION_NTAR_ID,0))</f>
        <v/>
      </c>
      <c r="H33" s="337"/>
      <c r="I33" s="741"/>
      <c r="J33" s="742"/>
      <c r="K33" s="407"/>
      <c r="L33" s="337" t="s">
        <v>293</v>
      </c>
      <c r="M33" s="1242"/>
      <c r="N33" s="603"/>
      <c r="O33" s="121"/>
      <c r="P33" s="121"/>
    </row>
    <row r="34" spans="1:16" s="46" customFormat="1" ht="18.75" hidden="1" customHeight="1">
      <c r="A34" s="134"/>
      <c r="B34" s="134"/>
      <c r="C34" s="318" t="s">
        <v>1039</v>
      </c>
      <c r="D34" s="1243"/>
      <c r="E34" s="1139"/>
      <c r="F34" s="1202"/>
      <c r="G34" s="1220"/>
      <c r="H34" s="527"/>
      <c r="I34" s="168" t="s">
        <v>1040</v>
      </c>
      <c r="J34" s="199"/>
      <c r="K34" s="527"/>
      <c r="L34" s="729"/>
      <c r="M34" s="1242"/>
      <c r="N34" s="603"/>
      <c r="O34" s="121"/>
      <c r="P34" s="121"/>
    </row>
    <row r="35" spans="1:16" s="46" customFormat="1" ht="0.75" hidden="1" customHeight="1">
      <c r="A35" s="134"/>
      <c r="B35" s="134"/>
      <c r="C35" s="318" t="s">
        <v>1045</v>
      </c>
      <c r="D35" s="1243"/>
      <c r="E35" s="1139"/>
      <c r="F35" s="1202"/>
      <c r="G35" s="746"/>
      <c r="H35" s="527"/>
      <c r="I35" s="168"/>
      <c r="J35" s="199"/>
      <c r="K35" s="527"/>
      <c r="L35" s="729"/>
      <c r="M35" s="1242"/>
      <c r="N35" s="603"/>
      <c r="O35" s="121"/>
      <c r="P35" s="121"/>
    </row>
    <row r="36" spans="1:16" s="46" customFormat="1" ht="18.75" hidden="1" customHeight="1">
      <c r="A36" s="134" t="s">
        <v>175</v>
      </c>
      <c r="B36" s="134" t="s">
        <v>176</v>
      </c>
      <c r="C36" s="318"/>
      <c r="D36" s="1243"/>
      <c r="E36" s="1139"/>
      <c r="F36" s="1202" t="str">
        <f>INDEX(PT_DIFFERENTIATION_VTAR,MATCH(A36,PT_DIFFERENTIATION_VTAR_ID,0))</f>
        <v>Тарифы на услуги по передаче тепловой энергии</v>
      </c>
      <c r="G36" s="1220" t="str">
        <f>INDEX(PT_DIFFERENTIATION_NTAR,MATCH(B36,PT_DIFFERENTIATION_NTAR_ID,0))</f>
        <v/>
      </c>
      <c r="H36" s="337"/>
      <c r="I36" s="741"/>
      <c r="J36" s="742"/>
      <c r="K36" s="407"/>
      <c r="L36" s="337" t="s">
        <v>293</v>
      </c>
      <c r="M36" s="1242"/>
      <c r="N36" s="603"/>
      <c r="O36" s="121"/>
      <c r="P36" s="121"/>
    </row>
    <row r="37" spans="1:16" s="46" customFormat="1" ht="18.75" hidden="1" customHeight="1">
      <c r="A37" s="134"/>
      <c r="B37" s="134"/>
      <c r="C37" s="318" t="s">
        <v>1039</v>
      </c>
      <c r="D37" s="1243"/>
      <c r="E37" s="1139"/>
      <c r="F37" s="1202"/>
      <c r="G37" s="1220"/>
      <c r="H37" s="527"/>
      <c r="I37" s="168" t="s">
        <v>1040</v>
      </c>
      <c r="J37" s="199"/>
      <c r="K37" s="527"/>
      <c r="L37" s="729"/>
      <c r="M37" s="1242"/>
      <c r="N37" s="603"/>
      <c r="O37" s="121"/>
      <c r="P37" s="121"/>
    </row>
    <row r="38" spans="1:16" s="46" customFormat="1" ht="0.75" hidden="1" customHeight="1">
      <c r="A38" s="134"/>
      <c r="B38" s="134"/>
      <c r="C38" s="318" t="s">
        <v>1045</v>
      </c>
      <c r="D38" s="1243"/>
      <c r="E38" s="1139"/>
      <c r="F38" s="1202"/>
      <c r="G38" s="746"/>
      <c r="H38" s="527"/>
      <c r="I38" s="168"/>
      <c r="J38" s="199"/>
      <c r="K38" s="527"/>
      <c r="L38" s="729"/>
      <c r="M38" s="1242"/>
      <c r="N38" s="603"/>
      <c r="O38" s="121"/>
      <c r="P38" s="121"/>
    </row>
    <row r="39" spans="1:16" s="46" customFormat="1" ht="18.75" hidden="1" customHeight="1">
      <c r="A39" s="134" t="s">
        <v>181</v>
      </c>
      <c r="B39" s="134" t="s">
        <v>182</v>
      </c>
      <c r="C39" s="318"/>
      <c r="D39" s="1243"/>
      <c r="E39" s="1139"/>
      <c r="F39" s="1202" t="str">
        <f>INDEX(PT_DIFFERENTIATION_VTAR,MATCH(A39,PT_DIFFERENTIATION_VTAR_ID,0))</f>
        <v>Тарифы на услуги по передаче теплоносителя</v>
      </c>
      <c r="G39" s="1220" t="str">
        <f>INDEX(PT_DIFFERENTIATION_NTAR,MATCH(B39,PT_DIFFERENTIATION_NTAR_ID,0))</f>
        <v/>
      </c>
      <c r="H39" s="337"/>
      <c r="I39" s="741"/>
      <c r="J39" s="742"/>
      <c r="K39" s="407"/>
      <c r="L39" s="337" t="s">
        <v>293</v>
      </c>
      <c r="M39" s="1242"/>
      <c r="N39" s="603"/>
      <c r="O39" s="121"/>
      <c r="P39" s="121"/>
    </row>
    <row r="40" spans="1:16" s="46" customFormat="1" ht="18.75" hidden="1" customHeight="1">
      <c r="A40" s="134"/>
      <c r="B40" s="134"/>
      <c r="C40" s="318" t="s">
        <v>1039</v>
      </c>
      <c r="D40" s="1243"/>
      <c r="E40" s="1139"/>
      <c r="F40" s="1202"/>
      <c r="G40" s="1220"/>
      <c r="H40" s="527"/>
      <c r="I40" s="168" t="s">
        <v>1040</v>
      </c>
      <c r="J40" s="199"/>
      <c r="K40" s="527"/>
      <c r="L40" s="729"/>
      <c r="M40" s="1242"/>
      <c r="N40" s="603"/>
      <c r="O40" s="121"/>
      <c r="P40" s="121"/>
    </row>
    <row r="41" spans="1:16" s="46" customFormat="1" ht="0.75" hidden="1" customHeight="1">
      <c r="A41" s="134"/>
      <c r="B41" s="134"/>
      <c r="C41" s="318" t="s">
        <v>1045</v>
      </c>
      <c r="D41" s="1243"/>
      <c r="E41" s="1139"/>
      <c r="F41" s="1202"/>
      <c r="G41" s="746"/>
      <c r="H41" s="527"/>
      <c r="I41" s="168"/>
      <c r="J41" s="199"/>
      <c r="K41" s="527"/>
      <c r="L41" s="729"/>
      <c r="M41" s="1242"/>
      <c r="N41" s="603"/>
      <c r="O41" s="121"/>
      <c r="P41" s="121"/>
    </row>
    <row r="42" spans="1:16" s="46" customFormat="1" ht="18.75" hidden="1" customHeight="1">
      <c r="A42" s="134" t="s">
        <v>187</v>
      </c>
      <c r="B42" s="134" t="s">
        <v>188</v>
      </c>
      <c r="C42" s="318"/>
      <c r="D42" s="1243"/>
      <c r="E42" s="1139"/>
      <c r="F42" s="1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1220" t="str">
        <f>INDEX(PT_DIFFERENTIATION_NTAR,MATCH(B42,PT_DIFFERENTIATION_NTAR_ID,0))</f>
        <v/>
      </c>
      <c r="H42" s="337"/>
      <c r="I42" s="741"/>
      <c r="J42" s="742"/>
      <c r="K42" s="407"/>
      <c r="L42" s="337" t="s">
        <v>293</v>
      </c>
      <c r="M42" s="1242"/>
      <c r="N42" s="603"/>
      <c r="O42" s="121"/>
      <c r="P42" s="121"/>
    </row>
    <row r="43" spans="1:16" s="46" customFormat="1" ht="18.75" hidden="1" customHeight="1">
      <c r="A43" s="134"/>
      <c r="B43" s="134"/>
      <c r="C43" s="318" t="s">
        <v>1039</v>
      </c>
      <c r="D43" s="1243"/>
      <c r="E43" s="1139"/>
      <c r="F43" s="1202"/>
      <c r="G43" s="1220"/>
      <c r="H43" s="527"/>
      <c r="I43" s="168" t="s">
        <v>1040</v>
      </c>
      <c r="J43" s="199"/>
      <c r="K43" s="527"/>
      <c r="L43" s="729"/>
      <c r="M43" s="1242"/>
      <c r="N43" s="603"/>
      <c r="O43" s="121"/>
      <c r="P43" s="121"/>
    </row>
    <row r="44" spans="1:16" s="46" customFormat="1" ht="0.75" hidden="1" customHeight="1">
      <c r="A44" s="134"/>
      <c r="B44" s="134"/>
      <c r="C44" s="318" t="s">
        <v>1045</v>
      </c>
      <c r="D44" s="1243"/>
      <c r="E44" s="1139"/>
      <c r="F44" s="1202"/>
      <c r="G44" s="746"/>
      <c r="H44" s="527"/>
      <c r="I44" s="168"/>
      <c r="J44" s="199"/>
      <c r="K44" s="527"/>
      <c r="L44" s="729"/>
      <c r="M44" s="1242"/>
      <c r="N44" s="603"/>
      <c r="O44" s="121"/>
      <c r="P44" s="121"/>
    </row>
    <row r="45" spans="1:16" s="46" customFormat="1" ht="18.75" hidden="1" customHeight="1">
      <c r="A45" s="134" t="s">
        <v>193</v>
      </c>
      <c r="B45" s="134" t="s">
        <v>194</v>
      </c>
      <c r="C45" s="318"/>
      <c r="D45" s="1243"/>
      <c r="E45" s="1139"/>
      <c r="F45" s="1202" t="str">
        <f>INDEX(PT_DIFFERENTIATION_VTAR,MATCH(A45,PT_DIFFERENTIATION_VTAR_ID,0))</f>
        <v>Плата за подключение (технологическое присоединение) к системе теплоснабжения</v>
      </c>
      <c r="G45" s="1220" t="str">
        <f>INDEX(PT_DIFFERENTIATION_NTAR,MATCH(B45,PT_DIFFERENTIATION_NTAR_ID,0))</f>
        <v/>
      </c>
      <c r="H45" s="337"/>
      <c r="I45" s="741"/>
      <c r="J45" s="742"/>
      <c r="K45" s="407"/>
      <c r="L45" s="337" t="s">
        <v>293</v>
      </c>
      <c r="M45" s="1242"/>
      <c r="N45" s="603"/>
      <c r="O45" s="121"/>
      <c r="P45" s="121"/>
    </row>
    <row r="46" spans="1:16" s="46" customFormat="1" ht="18.75" hidden="1" customHeight="1">
      <c r="A46" s="134"/>
      <c r="B46" s="134"/>
      <c r="C46" s="318" t="s">
        <v>1039</v>
      </c>
      <c r="D46" s="1243"/>
      <c r="E46" s="1139"/>
      <c r="F46" s="1202"/>
      <c r="G46" s="1220"/>
      <c r="H46" s="527"/>
      <c r="I46" s="168" t="s">
        <v>1040</v>
      </c>
      <c r="J46" s="199"/>
      <c r="K46" s="527"/>
      <c r="L46" s="729"/>
      <c r="M46" s="1242"/>
      <c r="N46" s="603"/>
      <c r="O46" s="121"/>
      <c r="P46" s="121"/>
    </row>
    <row r="47" spans="1:16" s="46" customFormat="1" ht="0.75" hidden="1" customHeight="1">
      <c r="A47" s="134"/>
      <c r="B47" s="134"/>
      <c r="C47" s="318" t="s">
        <v>1045</v>
      </c>
      <c r="D47" s="1243"/>
      <c r="E47" s="1139"/>
      <c r="F47" s="1202"/>
      <c r="G47" s="746"/>
      <c r="H47" s="527"/>
      <c r="I47" s="168"/>
      <c r="J47" s="199"/>
      <c r="K47" s="527"/>
      <c r="L47" s="729"/>
      <c r="M47" s="1242"/>
      <c r="N47" s="603"/>
      <c r="O47" s="121"/>
      <c r="P47" s="121"/>
    </row>
    <row r="48" spans="1:16" s="46" customFormat="1" ht="18.75" hidden="1" customHeight="1">
      <c r="A48" s="134" t="s">
        <v>207</v>
      </c>
      <c r="B48" s="134" t="s">
        <v>208</v>
      </c>
      <c r="C48" s="318"/>
      <c r="D48" s="1243"/>
      <c r="E48" s="1139"/>
      <c r="F48" s="1202" t="str">
        <f>INDEX(PT_DIFFERENTIATION_VTAR,MATCH(A48,PT_DIFFERENTIATION_VTAR_ID,0))</f>
        <v>Тариф на питьевую воду (питьевое водоснабжение)</v>
      </c>
      <c r="G48" s="1220" t="str">
        <f>INDEX(PT_DIFFERENTIATION_NTAR,MATCH(B48,PT_DIFFERENTIATION_NTAR_ID,0))</f>
        <v/>
      </c>
      <c r="H48" s="337"/>
      <c r="I48" s="741"/>
      <c r="J48" s="742"/>
      <c r="K48" s="407"/>
      <c r="L48" s="337" t="s">
        <v>293</v>
      </c>
      <c r="M48" s="1242"/>
      <c r="N48" s="603"/>
      <c r="O48" s="121"/>
      <c r="P48" s="121"/>
    </row>
    <row r="49" spans="1:16" s="46" customFormat="1" ht="18.75" hidden="1" customHeight="1">
      <c r="A49" s="134"/>
      <c r="B49" s="134"/>
      <c r="C49" s="318" t="s">
        <v>1039</v>
      </c>
      <c r="D49" s="1243"/>
      <c r="E49" s="1139"/>
      <c r="F49" s="1202"/>
      <c r="G49" s="1220"/>
      <c r="H49" s="527"/>
      <c r="I49" s="168" t="s">
        <v>1040</v>
      </c>
      <c r="J49" s="199"/>
      <c r="K49" s="527"/>
      <c r="L49" s="729"/>
      <c r="M49" s="1242"/>
      <c r="N49" s="603"/>
      <c r="O49" s="121"/>
      <c r="P49" s="121"/>
    </row>
    <row r="50" spans="1:16" s="46" customFormat="1" ht="0.75" hidden="1" customHeight="1">
      <c r="A50" s="134"/>
      <c r="B50" s="134"/>
      <c r="C50" s="318" t="s">
        <v>1045</v>
      </c>
      <c r="D50" s="1243"/>
      <c r="E50" s="1139"/>
      <c r="F50" s="1202"/>
      <c r="G50" s="746"/>
      <c r="H50" s="527"/>
      <c r="I50" s="168"/>
      <c r="J50" s="199"/>
      <c r="K50" s="527"/>
      <c r="L50" s="729"/>
      <c r="M50" s="1242"/>
      <c r="N50" s="603"/>
      <c r="O50" s="121"/>
      <c r="P50" s="121"/>
    </row>
    <row r="51" spans="1:16" s="46" customFormat="1" ht="18.75" hidden="1" customHeight="1">
      <c r="A51" s="134" t="s">
        <v>212</v>
      </c>
      <c r="B51" s="134" t="s">
        <v>213</v>
      </c>
      <c r="C51" s="318"/>
      <c r="D51" s="1243"/>
      <c r="E51" s="1139"/>
      <c r="F51" s="1202" t="str">
        <f>INDEX(PT_DIFFERENTIATION_VTAR,MATCH(A51,PT_DIFFERENTIATION_VTAR_ID,0))</f>
        <v>Тариф на техническую воду</v>
      </c>
      <c r="G51" s="1220" t="str">
        <f>INDEX(PT_DIFFERENTIATION_NTAR,MATCH(B51,PT_DIFFERENTIATION_NTAR_ID,0))</f>
        <v/>
      </c>
      <c r="H51" s="337"/>
      <c r="I51" s="741"/>
      <c r="J51" s="742"/>
      <c r="K51" s="407"/>
      <c r="L51" s="337" t="s">
        <v>293</v>
      </c>
      <c r="M51" s="1242"/>
      <c r="N51" s="603"/>
      <c r="O51" s="121"/>
      <c r="P51" s="121"/>
    </row>
    <row r="52" spans="1:16" s="46" customFormat="1" ht="18.75" hidden="1" customHeight="1">
      <c r="A52" s="134"/>
      <c r="B52" s="134"/>
      <c r="C52" s="318" t="s">
        <v>1039</v>
      </c>
      <c r="D52" s="1243"/>
      <c r="E52" s="1139"/>
      <c r="F52" s="1202"/>
      <c r="G52" s="1220"/>
      <c r="H52" s="527"/>
      <c r="I52" s="168" t="s">
        <v>1040</v>
      </c>
      <c r="J52" s="199"/>
      <c r="K52" s="527"/>
      <c r="L52" s="729"/>
      <c r="M52" s="1242"/>
      <c r="N52" s="603"/>
      <c r="O52" s="121"/>
      <c r="P52" s="121"/>
    </row>
    <row r="53" spans="1:16" s="46" customFormat="1" ht="0.75" hidden="1" customHeight="1">
      <c r="A53" s="134"/>
      <c r="B53" s="134"/>
      <c r="C53" s="318" t="s">
        <v>1045</v>
      </c>
      <c r="D53" s="1243"/>
      <c r="E53" s="1139"/>
      <c r="F53" s="1202"/>
      <c r="G53" s="746"/>
      <c r="H53" s="527"/>
      <c r="I53" s="168"/>
      <c r="J53" s="199"/>
      <c r="K53" s="527"/>
      <c r="L53" s="729"/>
      <c r="M53" s="1242"/>
      <c r="N53" s="603"/>
      <c r="O53" s="121"/>
      <c r="P53" s="121"/>
    </row>
    <row r="54" spans="1:16" s="46" customFormat="1" ht="18.75" hidden="1" customHeight="1">
      <c r="A54" s="134" t="s">
        <v>217</v>
      </c>
      <c r="B54" s="134" t="s">
        <v>218</v>
      </c>
      <c r="C54" s="318"/>
      <c r="D54" s="1243"/>
      <c r="E54" s="1139"/>
      <c r="F54" s="1202" t="str">
        <f>INDEX(PT_DIFFERENTIATION_VTAR,MATCH(A54,PT_DIFFERENTIATION_VTAR_ID,0))</f>
        <v>Тариф на транспортировку воды</v>
      </c>
      <c r="G54" s="1220" t="str">
        <f>INDEX(PT_DIFFERENTIATION_NTAR,MATCH(B54,PT_DIFFERENTIATION_NTAR_ID,0))</f>
        <v/>
      </c>
      <c r="H54" s="337"/>
      <c r="I54" s="741"/>
      <c r="J54" s="742"/>
      <c r="K54" s="407"/>
      <c r="L54" s="337" t="s">
        <v>293</v>
      </c>
      <c r="M54" s="1242"/>
      <c r="N54" s="603"/>
      <c r="O54" s="121"/>
      <c r="P54" s="121"/>
    </row>
    <row r="55" spans="1:16" s="46" customFormat="1" ht="18.75" hidden="1" customHeight="1">
      <c r="A55" s="134"/>
      <c r="B55" s="134"/>
      <c r="C55" s="318" t="s">
        <v>1039</v>
      </c>
      <c r="D55" s="1243"/>
      <c r="E55" s="1139"/>
      <c r="F55" s="1202"/>
      <c r="G55" s="1220"/>
      <c r="H55" s="527"/>
      <c r="I55" s="168" t="s">
        <v>1040</v>
      </c>
      <c r="J55" s="199"/>
      <c r="K55" s="527"/>
      <c r="L55" s="729"/>
      <c r="M55" s="1242"/>
      <c r="N55" s="603"/>
      <c r="O55" s="121"/>
      <c r="P55" s="121"/>
    </row>
    <row r="56" spans="1:16" s="46" customFormat="1" ht="0.75" hidden="1" customHeight="1">
      <c r="A56" s="134"/>
      <c r="B56" s="134"/>
      <c r="C56" s="318" t="s">
        <v>1045</v>
      </c>
      <c r="D56" s="1243"/>
      <c r="E56" s="1139"/>
      <c r="F56" s="1202"/>
      <c r="G56" s="746"/>
      <c r="H56" s="527"/>
      <c r="I56" s="168"/>
      <c r="J56" s="199"/>
      <c r="K56" s="527"/>
      <c r="L56" s="729"/>
      <c r="M56" s="1242"/>
      <c r="N56" s="603"/>
      <c r="O56" s="121"/>
      <c r="P56" s="121"/>
    </row>
    <row r="57" spans="1:16" s="46" customFormat="1" ht="18.75" hidden="1" customHeight="1">
      <c r="A57" s="134" t="s">
        <v>222</v>
      </c>
      <c r="B57" s="134" t="s">
        <v>223</v>
      </c>
      <c r="C57" s="318"/>
      <c r="D57" s="1243"/>
      <c r="E57" s="1139"/>
      <c r="F57" s="1202" t="str">
        <f>INDEX(PT_DIFFERENTIATION_VTAR,MATCH(A57,PT_DIFFERENTIATION_VTAR_ID,0))</f>
        <v>Тариф на подвоз воды</v>
      </c>
      <c r="G57" s="1220" t="str">
        <f>INDEX(PT_DIFFERENTIATION_NTAR,MATCH(B57,PT_DIFFERENTIATION_NTAR_ID,0))</f>
        <v/>
      </c>
      <c r="H57" s="337"/>
      <c r="I57" s="741"/>
      <c r="J57" s="742"/>
      <c r="K57" s="407"/>
      <c r="L57" s="337" t="s">
        <v>293</v>
      </c>
      <c r="M57" s="1242"/>
      <c r="N57" s="603"/>
      <c r="O57" s="121"/>
      <c r="P57" s="121"/>
    </row>
    <row r="58" spans="1:16" s="46" customFormat="1" ht="18.75" hidden="1" customHeight="1">
      <c r="A58" s="134"/>
      <c r="B58" s="134"/>
      <c r="C58" s="318" t="s">
        <v>1039</v>
      </c>
      <c r="D58" s="1243"/>
      <c r="E58" s="1139"/>
      <c r="F58" s="1202"/>
      <c r="G58" s="1220"/>
      <c r="H58" s="527"/>
      <c r="I58" s="168" t="s">
        <v>1040</v>
      </c>
      <c r="J58" s="199"/>
      <c r="K58" s="527"/>
      <c r="L58" s="729"/>
      <c r="M58" s="1242"/>
      <c r="N58" s="603"/>
      <c r="O58" s="121"/>
      <c r="P58" s="121"/>
    </row>
    <row r="59" spans="1:16" s="46" customFormat="1" ht="0.75" hidden="1" customHeight="1">
      <c r="A59" s="134"/>
      <c r="B59" s="134"/>
      <c r="C59" s="318" t="s">
        <v>1045</v>
      </c>
      <c r="D59" s="1243"/>
      <c r="E59" s="1139"/>
      <c r="F59" s="1202"/>
      <c r="G59" s="746"/>
      <c r="H59" s="527"/>
      <c r="I59" s="168"/>
      <c r="J59" s="199"/>
      <c r="K59" s="527"/>
      <c r="L59" s="729"/>
      <c r="M59" s="1242"/>
      <c r="N59" s="603"/>
      <c r="O59" s="121"/>
      <c r="P59" s="121"/>
    </row>
    <row r="60" spans="1:16" s="46" customFormat="1" ht="18.75" hidden="1" customHeight="1">
      <c r="A60" s="134" t="s">
        <v>227</v>
      </c>
      <c r="B60" s="134" t="s">
        <v>228</v>
      </c>
      <c r="C60" s="318"/>
      <c r="D60" s="1243"/>
      <c r="E60" s="1139"/>
      <c r="F60" s="1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1220" t="str">
        <f>INDEX(PT_DIFFERENTIATION_NTAR,MATCH(B60,PT_DIFFERENTIATION_NTAR_ID,0))</f>
        <v/>
      </c>
      <c r="H60" s="337"/>
      <c r="I60" s="741"/>
      <c r="J60" s="742"/>
      <c r="K60" s="407"/>
      <c r="L60" s="337" t="s">
        <v>293</v>
      </c>
      <c r="M60" s="1242"/>
      <c r="N60" s="603"/>
      <c r="O60" s="121"/>
      <c r="P60" s="121"/>
    </row>
    <row r="61" spans="1:16" s="46" customFormat="1" ht="18.75" hidden="1" customHeight="1">
      <c r="A61" s="134"/>
      <c r="B61" s="134"/>
      <c r="C61" s="318" t="s">
        <v>1039</v>
      </c>
      <c r="D61" s="1243"/>
      <c r="E61" s="1139"/>
      <c r="F61" s="1202"/>
      <c r="G61" s="1220"/>
      <c r="H61" s="527"/>
      <c r="I61" s="168" t="s">
        <v>1040</v>
      </c>
      <c r="J61" s="199"/>
      <c r="K61" s="527"/>
      <c r="L61" s="729"/>
      <c r="M61" s="1242"/>
      <c r="N61" s="603"/>
      <c r="O61" s="121"/>
      <c r="P61" s="121"/>
    </row>
    <row r="62" spans="1:16" s="46" customFormat="1" ht="0.75" hidden="1" customHeight="1">
      <c r="A62" s="134"/>
      <c r="B62" s="134"/>
      <c r="C62" s="318" t="s">
        <v>1045</v>
      </c>
      <c r="D62" s="1243"/>
      <c r="E62" s="1139"/>
      <c r="F62" s="1202"/>
      <c r="G62" s="746"/>
      <c r="H62" s="527"/>
      <c r="I62" s="168"/>
      <c r="J62" s="199"/>
      <c r="K62" s="527"/>
      <c r="L62" s="729"/>
      <c r="M62" s="1242"/>
      <c r="N62" s="603"/>
      <c r="O62" s="121"/>
      <c r="P62" s="121"/>
    </row>
    <row r="63" spans="1:16" s="46" customFormat="1" ht="18.75" hidden="1" customHeight="1">
      <c r="A63" s="134" t="s">
        <v>232</v>
      </c>
      <c r="B63" s="134" t="s">
        <v>233</v>
      </c>
      <c r="C63" s="318"/>
      <c r="D63" s="1243"/>
      <c r="E63" s="1139"/>
      <c r="F63" s="1202" t="str">
        <f>INDEX(PT_DIFFERENTIATION_VTAR,MATCH(A63,PT_DIFFERENTIATION_VTAR_ID,0))</f>
        <v>Тариф на горячую воду (горячее водоснабжение)</v>
      </c>
      <c r="G63" s="1220" t="str">
        <f>INDEX(PT_DIFFERENTIATION_NTAR,MATCH(B63,PT_DIFFERENTIATION_NTAR_ID,0))</f>
        <v/>
      </c>
      <c r="H63" s="337"/>
      <c r="I63" s="741"/>
      <c r="J63" s="742"/>
      <c r="K63" s="407"/>
      <c r="L63" s="337" t="s">
        <v>293</v>
      </c>
      <c r="M63" s="1242"/>
      <c r="N63" s="603"/>
      <c r="O63" s="121"/>
      <c r="P63" s="121"/>
    </row>
    <row r="64" spans="1:16" s="46" customFormat="1" ht="18.75" hidden="1" customHeight="1">
      <c r="A64" s="134"/>
      <c r="B64" s="134"/>
      <c r="C64" s="318" t="s">
        <v>1039</v>
      </c>
      <c r="D64" s="1243"/>
      <c r="E64" s="1139"/>
      <c r="F64" s="1202"/>
      <c r="G64" s="1220"/>
      <c r="H64" s="527"/>
      <c r="I64" s="168" t="s">
        <v>1040</v>
      </c>
      <c r="J64" s="199"/>
      <c r="K64" s="527"/>
      <c r="L64" s="729"/>
      <c r="M64" s="1242"/>
      <c r="N64" s="603"/>
      <c r="O64" s="121"/>
      <c r="P64" s="121"/>
    </row>
    <row r="65" spans="1:16" s="46" customFormat="1" ht="0.75" hidden="1" customHeight="1">
      <c r="A65" s="134"/>
      <c r="B65" s="134"/>
      <c r="C65" s="318" t="s">
        <v>1045</v>
      </c>
      <c r="D65" s="1243"/>
      <c r="E65" s="1139"/>
      <c r="F65" s="1202"/>
      <c r="G65" s="746"/>
      <c r="H65" s="527"/>
      <c r="I65" s="168"/>
      <c r="J65" s="199"/>
      <c r="K65" s="527"/>
      <c r="L65" s="729"/>
      <c r="M65" s="1242"/>
      <c r="N65" s="603"/>
      <c r="O65" s="121"/>
      <c r="P65" s="121"/>
    </row>
    <row r="66" spans="1:16" s="46" customFormat="1" ht="18.75" hidden="1" customHeight="1">
      <c r="A66" s="134" t="s">
        <v>237</v>
      </c>
      <c r="B66" s="134" t="s">
        <v>238</v>
      </c>
      <c r="C66" s="318"/>
      <c r="D66" s="1243"/>
      <c r="E66" s="1139"/>
      <c r="F66" s="1202" t="str">
        <f>INDEX(PT_DIFFERENTIATION_VTAR,MATCH(A66,PT_DIFFERENTIATION_VTAR_ID,0))</f>
        <v>Тариф на транспортировку горячей воды</v>
      </c>
      <c r="G66" s="1220" t="str">
        <f>INDEX(PT_DIFFERENTIATION_NTAR,MATCH(B66,PT_DIFFERENTIATION_NTAR_ID,0))</f>
        <v/>
      </c>
      <c r="H66" s="337"/>
      <c r="I66" s="741"/>
      <c r="J66" s="742"/>
      <c r="K66" s="407"/>
      <c r="L66" s="337" t="s">
        <v>293</v>
      </c>
      <c r="M66" s="1242"/>
      <c r="N66" s="603"/>
      <c r="O66" s="121"/>
      <c r="P66" s="121"/>
    </row>
    <row r="67" spans="1:16" s="46" customFormat="1" ht="18.75" hidden="1" customHeight="1">
      <c r="A67" s="134"/>
      <c r="B67" s="134"/>
      <c r="C67" s="318" t="s">
        <v>1039</v>
      </c>
      <c r="D67" s="1243"/>
      <c r="E67" s="1139"/>
      <c r="F67" s="1202"/>
      <c r="G67" s="1220"/>
      <c r="H67" s="527"/>
      <c r="I67" s="168" t="s">
        <v>1040</v>
      </c>
      <c r="J67" s="199"/>
      <c r="K67" s="527"/>
      <c r="L67" s="729"/>
      <c r="M67" s="1242"/>
      <c r="N67" s="603"/>
      <c r="O67" s="121"/>
      <c r="P67" s="121"/>
    </row>
    <row r="68" spans="1:16" s="46" customFormat="1" ht="0.75" hidden="1" customHeight="1">
      <c r="A68" s="134"/>
      <c r="B68" s="134"/>
      <c r="C68" s="318" t="s">
        <v>1045</v>
      </c>
      <c r="D68" s="1243"/>
      <c r="E68" s="1139"/>
      <c r="F68" s="1202"/>
      <c r="G68" s="746"/>
      <c r="H68" s="527"/>
      <c r="I68" s="168"/>
      <c r="J68" s="199"/>
      <c r="K68" s="527"/>
      <c r="L68" s="729"/>
      <c r="M68" s="1242"/>
      <c r="N68" s="603"/>
      <c r="O68" s="121"/>
      <c r="P68" s="121"/>
    </row>
    <row r="69" spans="1:16" s="46" customFormat="1" ht="18.75" hidden="1" customHeight="1">
      <c r="A69" s="134" t="s">
        <v>242</v>
      </c>
      <c r="B69" s="134" t="s">
        <v>243</v>
      </c>
      <c r="C69" s="318"/>
      <c r="D69" s="1243"/>
      <c r="E69" s="1139"/>
      <c r="F69" s="1202" t="str">
        <f>INDEX(PT_DIFFERENTIATION_VTAR,MATCH(A69,PT_DIFFERENTIATION_VTAR_ID,0))</f>
        <v>Тариф на подключение (технологическое присоединение) к централизованной системе горячего водоснабжения</v>
      </c>
      <c r="G69" s="1220" t="str">
        <f>INDEX(PT_DIFFERENTIATION_NTAR,MATCH(B69,PT_DIFFERENTIATION_NTAR_ID,0))</f>
        <v/>
      </c>
      <c r="H69" s="337"/>
      <c r="I69" s="741"/>
      <c r="J69" s="742"/>
      <c r="K69" s="407"/>
      <c r="L69" s="337" t="s">
        <v>293</v>
      </c>
      <c r="M69" s="1242"/>
      <c r="N69" s="603"/>
      <c r="O69" s="121"/>
      <c r="P69" s="121"/>
    </row>
    <row r="70" spans="1:16" s="46" customFormat="1" ht="18.75" hidden="1" customHeight="1">
      <c r="A70" s="134"/>
      <c r="B70" s="134"/>
      <c r="C70" s="318" t="s">
        <v>1039</v>
      </c>
      <c r="D70" s="1243"/>
      <c r="E70" s="1139"/>
      <c r="F70" s="1202"/>
      <c r="G70" s="1220"/>
      <c r="H70" s="527"/>
      <c r="I70" s="168" t="s">
        <v>1040</v>
      </c>
      <c r="J70" s="199"/>
      <c r="K70" s="527"/>
      <c r="L70" s="729"/>
      <c r="M70" s="1242"/>
      <c r="N70" s="603"/>
      <c r="O70" s="121"/>
      <c r="P70" s="121"/>
    </row>
    <row r="71" spans="1:16" s="46" customFormat="1" ht="0.75" hidden="1" customHeight="1">
      <c r="A71" s="134"/>
      <c r="B71" s="134"/>
      <c r="C71" s="318" t="s">
        <v>1045</v>
      </c>
      <c r="D71" s="1243"/>
      <c r="E71" s="1139"/>
      <c r="F71" s="1202"/>
      <c r="G71" s="746"/>
      <c r="H71" s="527"/>
      <c r="I71" s="168"/>
      <c r="J71" s="199"/>
      <c r="K71" s="527"/>
      <c r="L71" s="729"/>
      <c r="M71" s="1242"/>
      <c r="N71" s="603"/>
      <c r="O71" s="121"/>
      <c r="P71" s="121"/>
    </row>
    <row r="72" spans="1:16" s="46" customFormat="1" ht="18.75" hidden="1" customHeight="1">
      <c r="A72" s="134" t="s">
        <v>249</v>
      </c>
      <c r="B72" s="134" t="s">
        <v>250</v>
      </c>
      <c r="C72" s="318"/>
      <c r="D72" s="1243"/>
      <c r="E72" s="1139"/>
      <c r="F72" s="1202" t="str">
        <f>INDEX(PT_DIFFERENTIATION_VTAR,MATCH(A72,PT_DIFFERENTIATION_VTAR_ID,0))</f>
        <v>Тариф на водоотведение</v>
      </c>
      <c r="G72" s="1220" t="str">
        <f>INDEX(PT_DIFFERENTIATION_NTAR,MATCH(B72,PT_DIFFERENTIATION_NTAR_ID,0))</f>
        <v>Водоотведение</v>
      </c>
      <c r="H72" s="337"/>
      <c r="I72" s="741"/>
      <c r="J72" s="742"/>
      <c r="K72" s="407"/>
      <c r="L72" s="337" t="s">
        <v>293</v>
      </c>
      <c r="M72" s="1242"/>
      <c r="N72" s="603"/>
      <c r="O72" s="121"/>
      <c r="P72" s="121"/>
    </row>
    <row r="73" spans="1:16" s="46" customFormat="1" ht="18.75" hidden="1" customHeight="1">
      <c r="A73" s="134"/>
      <c r="B73" s="134"/>
      <c r="C73" s="318" t="s">
        <v>1039</v>
      </c>
      <c r="D73" s="1243"/>
      <c r="E73" s="1139"/>
      <c r="F73" s="1202"/>
      <c r="G73" s="1220"/>
      <c r="H73" s="527"/>
      <c r="I73" s="168" t="s">
        <v>1040</v>
      </c>
      <c r="J73" s="199"/>
      <c r="K73" s="527"/>
      <c r="L73" s="729"/>
      <c r="M73" s="1242"/>
      <c r="N73" s="603"/>
      <c r="O73" s="121"/>
      <c r="P73" s="121"/>
    </row>
    <row r="74" spans="1:16" s="46" customFormat="1" ht="0.75" hidden="1" customHeight="1">
      <c r="A74" s="134"/>
      <c r="B74" s="134"/>
      <c r="C74" s="318" t="s">
        <v>1045</v>
      </c>
      <c r="D74" s="1243"/>
      <c r="E74" s="1139"/>
      <c r="F74" s="1202"/>
      <c r="G74" s="746"/>
      <c r="H74" s="527"/>
      <c r="I74" s="168"/>
      <c r="J74" s="199"/>
      <c r="K74" s="527"/>
      <c r="L74" s="729"/>
      <c r="M74" s="1242"/>
      <c r="N74" s="603"/>
      <c r="O74" s="121"/>
      <c r="P74" s="121"/>
    </row>
    <row r="75" spans="1:16" s="46" customFormat="1" ht="18.75" hidden="1" customHeight="1">
      <c r="A75" s="134" t="s">
        <v>257</v>
      </c>
      <c r="B75" s="134" t="s">
        <v>258</v>
      </c>
      <c r="C75" s="318"/>
      <c r="D75" s="1243"/>
      <c r="E75" s="1139"/>
      <c r="F75" s="1202" t="str">
        <f>INDEX(PT_DIFFERENTIATION_VTAR,MATCH(A75,PT_DIFFERENTIATION_VTAR_ID,0))</f>
        <v>Тариф на транспортировку сточных вод</v>
      </c>
      <c r="G75" s="1220" t="str">
        <f>INDEX(PT_DIFFERENTIATION_NTAR,MATCH(B75,PT_DIFFERENTIATION_NTAR_ID,0))</f>
        <v/>
      </c>
      <c r="H75" s="337"/>
      <c r="I75" s="741"/>
      <c r="J75" s="742"/>
      <c r="K75" s="407"/>
      <c r="L75" s="337" t="s">
        <v>293</v>
      </c>
      <c r="M75" s="1242"/>
      <c r="N75" s="603"/>
      <c r="O75" s="121"/>
      <c r="P75" s="121"/>
    </row>
    <row r="76" spans="1:16" s="46" customFormat="1" ht="18.75" hidden="1" customHeight="1">
      <c r="A76" s="134"/>
      <c r="B76" s="134"/>
      <c r="C76" s="318" t="s">
        <v>1039</v>
      </c>
      <c r="D76" s="1243"/>
      <c r="E76" s="1139"/>
      <c r="F76" s="1202"/>
      <c r="G76" s="1220"/>
      <c r="H76" s="527"/>
      <c r="I76" s="168" t="s">
        <v>1040</v>
      </c>
      <c r="J76" s="199"/>
      <c r="K76" s="527"/>
      <c r="L76" s="729"/>
      <c r="M76" s="1242"/>
      <c r="N76" s="603"/>
      <c r="O76" s="121"/>
      <c r="P76" s="121"/>
    </row>
    <row r="77" spans="1:16" s="46" customFormat="1" ht="0.75" hidden="1" customHeight="1">
      <c r="A77" s="134"/>
      <c r="B77" s="134"/>
      <c r="C77" s="318" t="s">
        <v>1045</v>
      </c>
      <c r="D77" s="1243"/>
      <c r="E77" s="1139"/>
      <c r="F77" s="1202"/>
      <c r="G77" s="746"/>
      <c r="H77" s="527"/>
      <c r="I77" s="168"/>
      <c r="J77" s="199"/>
      <c r="K77" s="527"/>
      <c r="L77" s="729"/>
      <c r="M77" s="1242"/>
      <c r="N77" s="603"/>
      <c r="O77" s="121"/>
      <c r="P77" s="121"/>
    </row>
    <row r="78" spans="1:16" s="46" customFormat="1" ht="18.75" hidden="1" customHeight="1">
      <c r="A78" s="134" t="s">
        <v>262</v>
      </c>
      <c r="B78" s="134" t="s">
        <v>263</v>
      </c>
      <c r="C78" s="318"/>
      <c r="D78" s="1243"/>
      <c r="E78" s="1139"/>
      <c r="F78" s="1202" t="str">
        <f>INDEX(PT_DIFFERENTIATION_VTAR,MATCH(A78,PT_DIFFERENTIATION_VTAR_ID,0))</f>
        <v>Тариф на подключение (технологическое присоединение) к централизованной системе водоотведения</v>
      </c>
      <c r="G78" s="1220" t="str">
        <f>INDEX(PT_DIFFERENTIATION_NTAR,MATCH(B78,PT_DIFFERENTIATION_NTAR_ID,0))</f>
        <v/>
      </c>
      <c r="H78" s="337"/>
      <c r="I78" s="741"/>
      <c r="J78" s="742"/>
      <c r="K78" s="407"/>
      <c r="L78" s="337" t="s">
        <v>293</v>
      </c>
      <c r="M78" s="1242"/>
      <c r="N78" s="603"/>
      <c r="O78" s="121"/>
      <c r="P78" s="121"/>
    </row>
    <row r="79" spans="1:16" s="46" customFormat="1" ht="18.75" hidden="1" customHeight="1">
      <c r="A79" s="134"/>
      <c r="B79" s="134"/>
      <c r="C79" s="318" t="s">
        <v>1039</v>
      </c>
      <c r="D79" s="1243"/>
      <c r="E79" s="1139"/>
      <c r="F79" s="1202"/>
      <c r="G79" s="1220"/>
      <c r="H79" s="527"/>
      <c r="I79" s="168" t="s">
        <v>1040</v>
      </c>
      <c r="J79" s="199"/>
      <c r="K79" s="527"/>
      <c r="L79" s="729"/>
      <c r="M79" s="1242"/>
      <c r="N79" s="603"/>
      <c r="O79" s="121"/>
      <c r="P79" s="121"/>
    </row>
    <row r="80" spans="1:16" s="46" customFormat="1" ht="0.75" customHeight="1">
      <c r="A80" s="134"/>
      <c r="B80" s="134"/>
      <c r="C80" s="318" t="s">
        <v>1045</v>
      </c>
      <c r="D80" s="1243"/>
      <c r="E80" s="1139"/>
      <c r="F80" s="1202"/>
      <c r="G80" s="746"/>
      <c r="H80" s="527"/>
      <c r="I80" s="168"/>
      <c r="J80" s="199"/>
      <c r="K80" s="527"/>
      <c r="L80" s="729"/>
      <c r="M80" s="1242"/>
      <c r="N80" s="603"/>
      <c r="O80" s="121"/>
      <c r="P80" s="121"/>
    </row>
    <row r="81" spans="1:16" ht="18.75" customHeight="1">
      <c r="A81" s="134"/>
      <c r="B81" s="134"/>
      <c r="D81" s="437"/>
      <c r="E81" s="274" t="s">
        <v>106</v>
      </c>
      <c r="F81" s="12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1236"/>
      <c r="H81" s="1236"/>
      <c r="I81" s="1236"/>
      <c r="J81" s="1236"/>
      <c r="K81" s="1236"/>
      <c r="L81" s="1236"/>
      <c r="M81" s="718"/>
      <c r="N81" s="603"/>
    </row>
    <row r="82" spans="1:16" ht="33.75" customHeight="1">
      <c r="A82" s="134"/>
      <c r="B82" s="134"/>
      <c r="D82" s="437"/>
      <c r="E82" s="747"/>
      <c r="F82" s="203" t="s">
        <v>293</v>
      </c>
      <c r="G82" s="203" t="s">
        <v>293</v>
      </c>
      <c r="H82" s="1108" t="s">
        <v>293</v>
      </c>
      <c r="I82" s="1108"/>
      <c r="J82" s="203" t="s">
        <v>293</v>
      </c>
      <c r="K82" s="203" t="s">
        <v>293</v>
      </c>
      <c r="L82" s="577"/>
      <c r="M82" s="395" t="s">
        <v>1046</v>
      </c>
      <c r="N82" s="603"/>
    </row>
    <row r="83" spans="1:16" ht="18.75" customHeight="1">
      <c r="A83" s="134"/>
      <c r="B83" s="134"/>
      <c r="D83" s="437"/>
      <c r="E83" s="274" t="s">
        <v>86</v>
      </c>
      <c r="F83" s="1236" t="s">
        <v>1047</v>
      </c>
      <c r="G83" s="1236"/>
      <c r="H83" s="1236"/>
      <c r="I83" s="1236"/>
      <c r="J83" s="1236"/>
      <c r="K83" s="1236"/>
      <c r="L83" s="1236"/>
      <c r="M83" s="718"/>
      <c r="N83" s="603"/>
    </row>
    <row r="84" spans="1:16" s="46" customFormat="1" ht="60.75" hidden="1" customHeight="1">
      <c r="A84" s="134" t="s">
        <v>151</v>
      </c>
      <c r="B84" s="134" t="s">
        <v>152</v>
      </c>
      <c r="C84" s="318"/>
      <c r="D84" s="1243"/>
      <c r="E84" s="1139"/>
      <c r="F84" s="1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220" t="str">
        <f>INDEX(PT_DIFFERENTIATION_NTAR,MATCH(B84,PT_DIFFERENTIATION_NTAR_ID,0))</f>
        <v/>
      </c>
      <c r="H84" s="337"/>
      <c r="I84" s="741"/>
      <c r="J84" s="742"/>
      <c r="K84" s="350"/>
      <c r="L84" s="337" t="s">
        <v>293</v>
      </c>
      <c r="M84" s="1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03"/>
      <c r="O84" s="121"/>
      <c r="P84" s="121"/>
    </row>
    <row r="85" spans="1:16" s="46" customFormat="1" ht="18.75" hidden="1" customHeight="1">
      <c r="A85" s="134"/>
      <c r="B85" s="134"/>
      <c r="C85" s="318" t="s">
        <v>1041</v>
      </c>
      <c r="D85" s="1243"/>
      <c r="E85" s="1139"/>
      <c r="F85" s="1202"/>
      <c r="G85" s="1220"/>
      <c r="H85" s="527"/>
      <c r="I85" s="168" t="s">
        <v>1040</v>
      </c>
      <c r="J85" s="199"/>
      <c r="K85" s="527"/>
      <c r="L85" s="729"/>
      <c r="M85" s="1111"/>
      <c r="N85" s="603"/>
      <c r="O85" s="121"/>
      <c r="P85" s="121"/>
    </row>
    <row r="86" spans="1:16" s="46" customFormat="1" ht="0.75" hidden="1" customHeight="1">
      <c r="A86" s="134"/>
      <c r="B86" s="134"/>
      <c r="C86" s="318" t="s">
        <v>1048</v>
      </c>
      <c r="D86" s="1243"/>
      <c r="E86" s="1139"/>
      <c r="F86" s="1202"/>
      <c r="G86" s="746"/>
      <c r="H86" s="527"/>
      <c r="I86" s="168"/>
      <c r="J86" s="199"/>
      <c r="K86" s="527"/>
      <c r="L86" s="729"/>
      <c r="M86" s="1111"/>
      <c r="N86" s="603"/>
      <c r="O86" s="121"/>
      <c r="P86" s="121"/>
    </row>
    <row r="87" spans="1:16" s="46" customFormat="1" ht="45" hidden="1" customHeight="1">
      <c r="A87" s="134" t="s">
        <v>157</v>
      </c>
      <c r="B87" s="134" t="s">
        <v>158</v>
      </c>
      <c r="C87" s="318"/>
      <c r="D87" s="1243"/>
      <c r="E87" s="1139"/>
      <c r="F87" s="1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220" t="str">
        <f>INDEX(PT_DIFFERENTIATION_NTAR,MATCH(B87,PT_DIFFERENTIATION_NTAR_ID,0))</f>
        <v/>
      </c>
      <c r="H87" s="337"/>
      <c r="I87" s="741"/>
      <c r="J87" s="742"/>
      <c r="K87" s="350"/>
      <c r="L87" s="337" t="s">
        <v>293</v>
      </c>
      <c r="M87" s="1111"/>
      <c r="N87" s="603"/>
      <c r="O87" s="121"/>
      <c r="P87" s="121"/>
    </row>
    <row r="88" spans="1:16" s="46" customFormat="1" ht="18.75" hidden="1" customHeight="1">
      <c r="A88" s="134"/>
      <c r="B88" s="134"/>
      <c r="C88" s="318" t="s">
        <v>1041</v>
      </c>
      <c r="D88" s="1243"/>
      <c r="E88" s="1139"/>
      <c r="F88" s="1202"/>
      <c r="G88" s="1220"/>
      <c r="H88" s="527"/>
      <c r="I88" s="168" t="s">
        <v>1040</v>
      </c>
      <c r="J88" s="199"/>
      <c r="K88" s="527"/>
      <c r="L88" s="729"/>
      <c r="M88" s="748"/>
      <c r="N88" s="603"/>
      <c r="O88" s="121"/>
      <c r="P88" s="121"/>
    </row>
    <row r="89" spans="1:16" s="46" customFormat="1" ht="0.75" hidden="1" customHeight="1">
      <c r="A89" s="134"/>
      <c r="B89" s="134"/>
      <c r="C89" s="318" t="s">
        <v>1048</v>
      </c>
      <c r="D89" s="1243"/>
      <c r="E89" s="1139"/>
      <c r="F89" s="1202"/>
      <c r="G89" s="746"/>
      <c r="H89" s="527"/>
      <c r="I89" s="168"/>
      <c r="J89" s="199"/>
      <c r="K89" s="527"/>
      <c r="L89" s="729"/>
      <c r="M89" s="735"/>
      <c r="N89" s="603"/>
      <c r="O89" s="121"/>
      <c r="P89" s="121"/>
    </row>
    <row r="90" spans="1:16" s="46" customFormat="1" ht="45" hidden="1" customHeight="1">
      <c r="A90" s="134" t="s">
        <v>163</v>
      </c>
      <c r="B90" s="134" t="s">
        <v>164</v>
      </c>
      <c r="C90" s="318"/>
      <c r="D90" s="1243"/>
      <c r="E90" s="1139"/>
      <c r="F90" s="1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220" t="str">
        <f>INDEX(PT_DIFFERENTIATION_NTAR,MATCH(B90,PT_DIFFERENTIATION_NTAR_ID,0))</f>
        <v/>
      </c>
      <c r="H90" s="337"/>
      <c r="I90" s="741"/>
      <c r="J90" s="742"/>
      <c r="K90" s="350"/>
      <c r="L90" s="337" t="s">
        <v>293</v>
      </c>
      <c r="M90" s="735"/>
      <c r="N90" s="603"/>
      <c r="O90" s="121"/>
      <c r="P90" s="121"/>
    </row>
    <row r="91" spans="1:16" s="46" customFormat="1" ht="18.75" hidden="1" customHeight="1">
      <c r="A91" s="134"/>
      <c r="B91" s="134"/>
      <c r="C91" s="318" t="s">
        <v>1041</v>
      </c>
      <c r="D91" s="1243"/>
      <c r="E91" s="1139"/>
      <c r="F91" s="1202"/>
      <c r="G91" s="1220"/>
      <c r="H91" s="527"/>
      <c r="I91" s="168" t="s">
        <v>1040</v>
      </c>
      <c r="J91" s="199"/>
      <c r="K91" s="527"/>
      <c r="L91" s="729"/>
      <c r="M91" s="735"/>
      <c r="N91" s="603"/>
      <c r="O91" s="121"/>
      <c r="P91" s="121"/>
    </row>
    <row r="92" spans="1:16" s="46" customFormat="1" ht="0.75" hidden="1" customHeight="1">
      <c r="A92" s="134"/>
      <c r="B92" s="134"/>
      <c r="C92" s="318" t="s">
        <v>1048</v>
      </c>
      <c r="D92" s="1243"/>
      <c r="E92" s="1139"/>
      <c r="F92" s="1202"/>
      <c r="G92" s="746"/>
      <c r="H92" s="527"/>
      <c r="I92" s="168"/>
      <c r="J92" s="199"/>
      <c r="K92" s="527"/>
      <c r="L92" s="729"/>
      <c r="M92" s="735"/>
      <c r="N92" s="603"/>
      <c r="O92" s="121"/>
      <c r="P92" s="121"/>
    </row>
    <row r="93" spans="1:16" s="46" customFormat="1" ht="45" hidden="1" customHeight="1">
      <c r="A93" s="134" t="s">
        <v>169</v>
      </c>
      <c r="B93" s="134" t="s">
        <v>170</v>
      </c>
      <c r="C93" s="318"/>
      <c r="D93" s="1243"/>
      <c r="E93" s="1139"/>
      <c r="F93" s="1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220" t="str">
        <f>INDEX(PT_DIFFERENTIATION_NTAR,MATCH(B93,PT_DIFFERENTIATION_NTAR_ID,0))</f>
        <v/>
      </c>
      <c r="H93" s="337"/>
      <c r="I93" s="741"/>
      <c r="J93" s="742"/>
      <c r="K93" s="350"/>
      <c r="L93" s="337" t="s">
        <v>293</v>
      </c>
      <c r="M93" s="735"/>
      <c r="N93" s="603"/>
      <c r="O93" s="121"/>
      <c r="P93" s="121"/>
    </row>
    <row r="94" spans="1:16" s="46" customFormat="1" ht="18.75" hidden="1" customHeight="1">
      <c r="A94" s="134"/>
      <c r="B94" s="134"/>
      <c r="C94" s="318" t="s">
        <v>1041</v>
      </c>
      <c r="D94" s="1243"/>
      <c r="E94" s="1139"/>
      <c r="F94" s="1202"/>
      <c r="G94" s="1220"/>
      <c r="H94" s="527"/>
      <c r="I94" s="168" t="s">
        <v>1040</v>
      </c>
      <c r="J94" s="199"/>
      <c r="K94" s="527"/>
      <c r="L94" s="729"/>
      <c r="M94" s="735"/>
      <c r="N94" s="603"/>
      <c r="O94" s="121"/>
      <c r="P94" s="121"/>
    </row>
    <row r="95" spans="1:16" s="46" customFormat="1" ht="0.75" hidden="1" customHeight="1">
      <c r="A95" s="134"/>
      <c r="B95" s="134"/>
      <c r="C95" s="318" t="s">
        <v>1048</v>
      </c>
      <c r="D95" s="1243"/>
      <c r="E95" s="1139"/>
      <c r="F95" s="1202"/>
      <c r="G95" s="746"/>
      <c r="H95" s="527"/>
      <c r="I95" s="168"/>
      <c r="J95" s="199"/>
      <c r="K95" s="527"/>
      <c r="L95" s="729"/>
      <c r="M95" s="735"/>
      <c r="N95" s="603"/>
      <c r="O95" s="121"/>
      <c r="P95" s="121"/>
    </row>
    <row r="96" spans="1:16" s="46" customFormat="1" ht="18.75" hidden="1" customHeight="1">
      <c r="A96" s="134" t="s">
        <v>175</v>
      </c>
      <c r="B96" s="134" t="s">
        <v>176</v>
      </c>
      <c r="C96" s="318"/>
      <c r="D96" s="1243"/>
      <c r="E96" s="1139"/>
      <c r="F96" s="1202" t="str">
        <f>INDEX(PT_DIFFERENTIATION_VTAR,MATCH(A96,PT_DIFFERENTIATION_VTAR_ID,0))</f>
        <v>Тарифы на услуги по передаче тепловой энергии</v>
      </c>
      <c r="G96" s="1220" t="str">
        <f>INDEX(PT_DIFFERENTIATION_NTAR,MATCH(B96,PT_DIFFERENTIATION_NTAR_ID,0))</f>
        <v/>
      </c>
      <c r="H96" s="337"/>
      <c r="I96" s="741"/>
      <c r="J96" s="742"/>
      <c r="K96" s="350"/>
      <c r="L96" s="337" t="s">
        <v>293</v>
      </c>
      <c r="M96" s="735"/>
      <c r="N96" s="603"/>
      <c r="O96" s="121"/>
      <c r="P96" s="121"/>
    </row>
    <row r="97" spans="1:16" s="46" customFormat="1" ht="18.75" hidden="1" customHeight="1">
      <c r="A97" s="134"/>
      <c r="B97" s="134"/>
      <c r="C97" s="318" t="s">
        <v>1041</v>
      </c>
      <c r="D97" s="1243"/>
      <c r="E97" s="1139"/>
      <c r="F97" s="1202"/>
      <c r="G97" s="1220"/>
      <c r="H97" s="527"/>
      <c r="I97" s="168" t="s">
        <v>1040</v>
      </c>
      <c r="J97" s="199"/>
      <c r="K97" s="527"/>
      <c r="L97" s="729"/>
      <c r="M97" s="735"/>
      <c r="N97" s="603"/>
      <c r="O97" s="121"/>
      <c r="P97" s="121"/>
    </row>
    <row r="98" spans="1:16" s="46" customFormat="1" ht="0.75" hidden="1" customHeight="1">
      <c r="A98" s="134"/>
      <c r="B98" s="134"/>
      <c r="C98" s="318" t="s">
        <v>1048</v>
      </c>
      <c r="D98" s="1243"/>
      <c r="E98" s="1139"/>
      <c r="F98" s="1202"/>
      <c r="G98" s="746"/>
      <c r="H98" s="527"/>
      <c r="I98" s="168"/>
      <c r="J98" s="199"/>
      <c r="K98" s="527"/>
      <c r="L98" s="729"/>
      <c r="M98" s="735"/>
      <c r="N98" s="603"/>
      <c r="O98" s="121"/>
      <c r="P98" s="121"/>
    </row>
    <row r="99" spans="1:16" s="46" customFormat="1" ht="18.75" hidden="1" customHeight="1">
      <c r="A99" s="134" t="s">
        <v>181</v>
      </c>
      <c r="B99" s="134" t="s">
        <v>182</v>
      </c>
      <c r="C99" s="318"/>
      <c r="D99" s="1243"/>
      <c r="E99" s="1139"/>
      <c r="F99" s="1202" t="str">
        <f>INDEX(PT_DIFFERENTIATION_VTAR,MATCH(A99,PT_DIFFERENTIATION_VTAR_ID,0))</f>
        <v>Тарифы на услуги по передаче теплоносителя</v>
      </c>
      <c r="G99" s="1220" t="str">
        <f>INDEX(PT_DIFFERENTIATION_NTAR,MATCH(B99,PT_DIFFERENTIATION_NTAR_ID,0))</f>
        <v/>
      </c>
      <c r="H99" s="337"/>
      <c r="I99" s="741"/>
      <c r="J99" s="742"/>
      <c r="K99" s="350"/>
      <c r="L99" s="337" t="s">
        <v>293</v>
      </c>
      <c r="M99" s="735"/>
      <c r="N99" s="603"/>
      <c r="O99" s="121"/>
      <c r="P99" s="121"/>
    </row>
    <row r="100" spans="1:16" s="46" customFormat="1" ht="18.75" hidden="1" customHeight="1">
      <c r="A100" s="134"/>
      <c r="B100" s="134"/>
      <c r="C100" s="318" t="s">
        <v>1041</v>
      </c>
      <c r="D100" s="1243"/>
      <c r="E100" s="1139"/>
      <c r="F100" s="1202"/>
      <c r="G100" s="1220"/>
      <c r="H100" s="527"/>
      <c r="I100" s="168" t="s">
        <v>1040</v>
      </c>
      <c r="J100" s="199"/>
      <c r="K100" s="527"/>
      <c r="L100" s="729"/>
      <c r="M100" s="735"/>
      <c r="N100" s="603"/>
      <c r="O100" s="121"/>
      <c r="P100" s="121"/>
    </row>
    <row r="101" spans="1:16" s="46" customFormat="1" ht="0.75" hidden="1" customHeight="1">
      <c r="A101" s="134"/>
      <c r="B101" s="134"/>
      <c r="C101" s="318" t="s">
        <v>1048</v>
      </c>
      <c r="D101" s="1243"/>
      <c r="E101" s="1139"/>
      <c r="F101" s="1202"/>
      <c r="G101" s="746"/>
      <c r="H101" s="527"/>
      <c r="I101" s="168"/>
      <c r="J101" s="199"/>
      <c r="K101" s="527"/>
      <c r="L101" s="729"/>
      <c r="M101" s="735"/>
      <c r="N101" s="603"/>
      <c r="O101" s="121"/>
      <c r="P101" s="121"/>
    </row>
    <row r="102" spans="1:16" s="46" customFormat="1" ht="18.75" hidden="1" customHeight="1">
      <c r="A102" s="134" t="s">
        <v>187</v>
      </c>
      <c r="B102" s="134" t="s">
        <v>188</v>
      </c>
      <c r="C102" s="318"/>
      <c r="D102" s="1243"/>
      <c r="E102" s="1139"/>
      <c r="F102" s="1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220" t="str">
        <f>INDEX(PT_DIFFERENTIATION_NTAR,MATCH(B102,PT_DIFFERENTIATION_NTAR_ID,0))</f>
        <v/>
      </c>
      <c r="H102" s="337"/>
      <c r="I102" s="741"/>
      <c r="J102" s="742"/>
      <c r="K102" s="350"/>
      <c r="L102" s="337" t="s">
        <v>293</v>
      </c>
      <c r="M102" s="735"/>
      <c r="N102" s="603"/>
      <c r="O102" s="121"/>
      <c r="P102" s="121"/>
    </row>
    <row r="103" spans="1:16" s="46" customFormat="1" ht="18.75" hidden="1" customHeight="1">
      <c r="A103" s="134"/>
      <c r="B103" s="134"/>
      <c r="C103" s="318" t="s">
        <v>1041</v>
      </c>
      <c r="D103" s="1243"/>
      <c r="E103" s="1139"/>
      <c r="F103" s="1202"/>
      <c r="G103" s="1220"/>
      <c r="H103" s="527"/>
      <c r="I103" s="168" t="s">
        <v>1040</v>
      </c>
      <c r="J103" s="199"/>
      <c r="K103" s="527"/>
      <c r="L103" s="729"/>
      <c r="M103" s="735"/>
      <c r="N103" s="603"/>
      <c r="O103" s="121"/>
      <c r="P103" s="121"/>
    </row>
    <row r="104" spans="1:16" s="46" customFormat="1" ht="0.75" hidden="1" customHeight="1">
      <c r="A104" s="134"/>
      <c r="B104" s="134"/>
      <c r="C104" s="318" t="s">
        <v>1048</v>
      </c>
      <c r="D104" s="1243"/>
      <c r="E104" s="1139"/>
      <c r="F104" s="1202"/>
      <c r="G104" s="746"/>
      <c r="H104" s="527"/>
      <c r="I104" s="168"/>
      <c r="J104" s="199"/>
      <c r="K104" s="527"/>
      <c r="L104" s="729"/>
      <c r="M104" s="735"/>
      <c r="N104" s="603"/>
      <c r="O104" s="121"/>
      <c r="P104" s="121"/>
    </row>
    <row r="105" spans="1:16" s="46" customFormat="1" ht="18.75" hidden="1" customHeight="1">
      <c r="A105" s="134" t="s">
        <v>193</v>
      </c>
      <c r="B105" s="134" t="s">
        <v>194</v>
      </c>
      <c r="C105" s="318"/>
      <c r="D105" s="1243"/>
      <c r="E105" s="1139"/>
      <c r="F105" s="1202" t="str">
        <f>INDEX(PT_DIFFERENTIATION_VTAR,MATCH(A105,PT_DIFFERENTIATION_VTAR_ID,0))</f>
        <v>Плата за подключение (технологическое присоединение) к системе теплоснабжения</v>
      </c>
      <c r="G105" s="1220" t="str">
        <f>INDEX(PT_DIFFERENTIATION_NTAR,MATCH(B105,PT_DIFFERENTIATION_NTAR_ID,0))</f>
        <v/>
      </c>
      <c r="H105" s="337"/>
      <c r="I105" s="741"/>
      <c r="J105" s="742"/>
      <c r="K105" s="350"/>
      <c r="L105" s="337" t="s">
        <v>293</v>
      </c>
      <c r="M105" s="735"/>
      <c r="N105" s="603"/>
      <c r="O105" s="121"/>
      <c r="P105" s="121"/>
    </row>
    <row r="106" spans="1:16" s="46" customFormat="1" ht="18.75" hidden="1" customHeight="1">
      <c r="A106" s="134"/>
      <c r="B106" s="134"/>
      <c r="C106" s="318" t="s">
        <v>1041</v>
      </c>
      <c r="D106" s="1243"/>
      <c r="E106" s="1139"/>
      <c r="F106" s="1202"/>
      <c r="G106" s="1220"/>
      <c r="H106" s="527"/>
      <c r="I106" s="168" t="s">
        <v>1040</v>
      </c>
      <c r="J106" s="199"/>
      <c r="K106" s="527"/>
      <c r="L106" s="729"/>
      <c r="M106" s="735"/>
      <c r="N106" s="603"/>
      <c r="O106" s="121"/>
      <c r="P106" s="121"/>
    </row>
    <row r="107" spans="1:16" s="46" customFormat="1" ht="0.75" hidden="1" customHeight="1">
      <c r="A107" s="134"/>
      <c r="B107" s="134"/>
      <c r="C107" s="318" t="s">
        <v>1048</v>
      </c>
      <c r="D107" s="1243"/>
      <c r="E107" s="1139"/>
      <c r="F107" s="1202"/>
      <c r="G107" s="746"/>
      <c r="H107" s="527"/>
      <c r="I107" s="168"/>
      <c r="J107" s="199"/>
      <c r="K107" s="527"/>
      <c r="L107" s="729"/>
      <c r="M107" s="735"/>
      <c r="N107" s="603"/>
      <c r="O107" s="121"/>
      <c r="P107" s="121"/>
    </row>
    <row r="108" spans="1:16" s="46" customFormat="1" ht="18.75" hidden="1" customHeight="1">
      <c r="A108" s="134" t="s">
        <v>207</v>
      </c>
      <c r="B108" s="134" t="s">
        <v>208</v>
      </c>
      <c r="C108" s="318"/>
      <c r="D108" s="1243"/>
      <c r="E108" s="1139"/>
      <c r="F108" s="1202" t="str">
        <f>INDEX(PT_DIFFERENTIATION_VTAR,MATCH(A108,PT_DIFFERENTIATION_VTAR_ID,0))</f>
        <v>Тариф на питьевую воду (питьевое водоснабжение)</v>
      </c>
      <c r="G108" s="1220" t="str">
        <f>INDEX(PT_DIFFERENTIATION_NTAR,MATCH(B108,PT_DIFFERENTIATION_NTAR_ID,0))</f>
        <v/>
      </c>
      <c r="H108" s="337"/>
      <c r="I108" s="741"/>
      <c r="J108" s="742"/>
      <c r="K108" s="350"/>
      <c r="L108" s="337" t="s">
        <v>293</v>
      </c>
      <c r="M108" s="735"/>
      <c r="N108" s="603"/>
      <c r="O108" s="121"/>
      <c r="P108" s="121"/>
    </row>
    <row r="109" spans="1:16" s="46" customFormat="1" ht="18.75" hidden="1" customHeight="1">
      <c r="A109" s="134"/>
      <c r="B109" s="134"/>
      <c r="C109" s="318" t="s">
        <v>1041</v>
      </c>
      <c r="D109" s="1243"/>
      <c r="E109" s="1139"/>
      <c r="F109" s="1202"/>
      <c r="G109" s="1220"/>
      <c r="H109" s="527"/>
      <c r="I109" s="168" t="s">
        <v>1040</v>
      </c>
      <c r="J109" s="199"/>
      <c r="K109" s="527"/>
      <c r="L109" s="729"/>
      <c r="M109" s="735"/>
      <c r="N109" s="603"/>
      <c r="O109" s="121"/>
      <c r="P109" s="121"/>
    </row>
    <row r="110" spans="1:16" s="46" customFormat="1" ht="0.75" hidden="1" customHeight="1">
      <c r="A110" s="134"/>
      <c r="B110" s="134"/>
      <c r="C110" s="318" t="s">
        <v>1048</v>
      </c>
      <c r="D110" s="1243"/>
      <c r="E110" s="1139"/>
      <c r="F110" s="1202"/>
      <c r="G110" s="746"/>
      <c r="H110" s="527"/>
      <c r="I110" s="168"/>
      <c r="J110" s="199"/>
      <c r="K110" s="527"/>
      <c r="L110" s="729"/>
      <c r="M110" s="735"/>
      <c r="N110" s="603"/>
      <c r="O110" s="121"/>
      <c r="P110" s="121"/>
    </row>
    <row r="111" spans="1:16" s="46" customFormat="1" ht="18.75" hidden="1" customHeight="1">
      <c r="A111" s="134" t="s">
        <v>212</v>
      </c>
      <c r="B111" s="134" t="s">
        <v>213</v>
      </c>
      <c r="C111" s="318"/>
      <c r="D111" s="1243"/>
      <c r="E111" s="1139"/>
      <c r="F111" s="1202" t="str">
        <f>INDEX(PT_DIFFERENTIATION_VTAR,MATCH(A111,PT_DIFFERENTIATION_VTAR_ID,0))</f>
        <v>Тариф на техническую воду</v>
      </c>
      <c r="G111" s="1220" t="str">
        <f>INDEX(PT_DIFFERENTIATION_NTAR,MATCH(B111,PT_DIFFERENTIATION_NTAR_ID,0))</f>
        <v/>
      </c>
      <c r="H111" s="337"/>
      <c r="I111" s="741"/>
      <c r="J111" s="742"/>
      <c r="K111" s="350"/>
      <c r="L111" s="337" t="s">
        <v>293</v>
      </c>
      <c r="M111" s="735"/>
      <c r="N111" s="603"/>
      <c r="O111" s="121"/>
      <c r="P111" s="121"/>
    </row>
    <row r="112" spans="1:16" s="46" customFormat="1" ht="18.75" hidden="1" customHeight="1">
      <c r="A112" s="134"/>
      <c r="B112" s="134"/>
      <c r="C112" s="318" t="s">
        <v>1041</v>
      </c>
      <c r="D112" s="1243"/>
      <c r="E112" s="1139"/>
      <c r="F112" s="1202"/>
      <c r="G112" s="1220"/>
      <c r="H112" s="527"/>
      <c r="I112" s="168" t="s">
        <v>1040</v>
      </c>
      <c r="J112" s="199"/>
      <c r="K112" s="527"/>
      <c r="L112" s="729"/>
      <c r="M112" s="735"/>
      <c r="N112" s="603"/>
      <c r="O112" s="121"/>
      <c r="P112" s="121"/>
    </row>
    <row r="113" spans="1:16" s="46" customFormat="1" ht="0.75" hidden="1" customHeight="1">
      <c r="A113" s="134"/>
      <c r="B113" s="134"/>
      <c r="C113" s="318" t="s">
        <v>1048</v>
      </c>
      <c r="D113" s="1243"/>
      <c r="E113" s="1139"/>
      <c r="F113" s="1202"/>
      <c r="G113" s="746"/>
      <c r="H113" s="527"/>
      <c r="I113" s="168"/>
      <c r="J113" s="199"/>
      <c r="K113" s="527"/>
      <c r="L113" s="729"/>
      <c r="M113" s="735"/>
      <c r="N113" s="603"/>
      <c r="O113" s="121"/>
      <c r="P113" s="121"/>
    </row>
    <row r="114" spans="1:16" s="46" customFormat="1" ht="18.75" hidden="1" customHeight="1">
      <c r="A114" s="134" t="s">
        <v>217</v>
      </c>
      <c r="B114" s="134" t="s">
        <v>218</v>
      </c>
      <c r="C114" s="318"/>
      <c r="D114" s="1243"/>
      <c r="E114" s="1139"/>
      <c r="F114" s="1202" t="str">
        <f>INDEX(PT_DIFFERENTIATION_VTAR,MATCH(A114,PT_DIFFERENTIATION_VTAR_ID,0))</f>
        <v>Тариф на транспортировку воды</v>
      </c>
      <c r="G114" s="1220" t="str">
        <f>INDEX(PT_DIFFERENTIATION_NTAR,MATCH(B114,PT_DIFFERENTIATION_NTAR_ID,0))</f>
        <v/>
      </c>
      <c r="H114" s="337"/>
      <c r="I114" s="741"/>
      <c r="J114" s="742"/>
      <c r="K114" s="350"/>
      <c r="L114" s="337" t="s">
        <v>293</v>
      </c>
      <c r="M114" s="735"/>
      <c r="N114" s="603"/>
      <c r="O114" s="121"/>
      <c r="P114" s="121"/>
    </row>
    <row r="115" spans="1:16" s="46" customFormat="1" ht="18.75" hidden="1" customHeight="1">
      <c r="A115" s="134"/>
      <c r="B115" s="134"/>
      <c r="C115" s="318" t="s">
        <v>1041</v>
      </c>
      <c r="D115" s="1243"/>
      <c r="E115" s="1139"/>
      <c r="F115" s="1202"/>
      <c r="G115" s="1220"/>
      <c r="H115" s="527"/>
      <c r="I115" s="168" t="s">
        <v>1040</v>
      </c>
      <c r="J115" s="199"/>
      <c r="K115" s="527"/>
      <c r="L115" s="729"/>
      <c r="M115" s="735"/>
      <c r="N115" s="603"/>
      <c r="O115" s="121"/>
      <c r="P115" s="121"/>
    </row>
    <row r="116" spans="1:16" s="46" customFormat="1" ht="0.75" hidden="1" customHeight="1">
      <c r="A116" s="134"/>
      <c r="B116" s="134"/>
      <c r="C116" s="318" t="s">
        <v>1048</v>
      </c>
      <c r="D116" s="1243"/>
      <c r="E116" s="1139"/>
      <c r="F116" s="1202"/>
      <c r="G116" s="746"/>
      <c r="H116" s="527"/>
      <c r="I116" s="168"/>
      <c r="J116" s="199"/>
      <c r="K116" s="527"/>
      <c r="L116" s="729"/>
      <c r="M116" s="735"/>
      <c r="N116" s="603"/>
      <c r="O116" s="121"/>
      <c r="P116" s="121"/>
    </row>
    <row r="117" spans="1:16" s="46" customFormat="1" ht="18.75" hidden="1" customHeight="1">
      <c r="A117" s="134" t="s">
        <v>222</v>
      </c>
      <c r="B117" s="134" t="s">
        <v>223</v>
      </c>
      <c r="C117" s="318"/>
      <c r="D117" s="1243"/>
      <c r="E117" s="1139"/>
      <c r="F117" s="1202" t="str">
        <f>INDEX(PT_DIFFERENTIATION_VTAR,MATCH(A117,PT_DIFFERENTIATION_VTAR_ID,0))</f>
        <v>Тариф на подвоз воды</v>
      </c>
      <c r="G117" s="1220" t="str">
        <f>INDEX(PT_DIFFERENTIATION_NTAR,MATCH(B117,PT_DIFFERENTIATION_NTAR_ID,0))</f>
        <v/>
      </c>
      <c r="H117" s="337"/>
      <c r="I117" s="741"/>
      <c r="J117" s="742"/>
      <c r="K117" s="350"/>
      <c r="L117" s="337" t="s">
        <v>293</v>
      </c>
      <c r="M117" s="735"/>
      <c r="N117" s="603"/>
      <c r="O117" s="121"/>
      <c r="P117" s="121"/>
    </row>
    <row r="118" spans="1:16" s="46" customFormat="1" ht="18.75" hidden="1" customHeight="1">
      <c r="A118" s="134"/>
      <c r="B118" s="134"/>
      <c r="C118" s="318" t="s">
        <v>1041</v>
      </c>
      <c r="D118" s="1243"/>
      <c r="E118" s="1139"/>
      <c r="F118" s="1202"/>
      <c r="G118" s="1220"/>
      <c r="H118" s="527"/>
      <c r="I118" s="168" t="s">
        <v>1040</v>
      </c>
      <c r="J118" s="199"/>
      <c r="K118" s="527"/>
      <c r="L118" s="729"/>
      <c r="M118" s="735"/>
      <c r="N118" s="603"/>
      <c r="O118" s="121"/>
      <c r="P118" s="121"/>
    </row>
    <row r="119" spans="1:16" s="46" customFormat="1" ht="0.75" hidden="1" customHeight="1">
      <c r="A119" s="134"/>
      <c r="B119" s="134"/>
      <c r="C119" s="318" t="s">
        <v>1048</v>
      </c>
      <c r="D119" s="1243"/>
      <c r="E119" s="1139"/>
      <c r="F119" s="1202"/>
      <c r="G119" s="746"/>
      <c r="H119" s="527"/>
      <c r="I119" s="168"/>
      <c r="J119" s="199"/>
      <c r="K119" s="527"/>
      <c r="L119" s="729"/>
      <c r="M119" s="735"/>
      <c r="N119" s="603"/>
      <c r="O119" s="121"/>
      <c r="P119" s="121"/>
    </row>
    <row r="120" spans="1:16" s="46" customFormat="1" ht="18.75" hidden="1" customHeight="1">
      <c r="A120" s="134" t="s">
        <v>227</v>
      </c>
      <c r="B120" s="134" t="s">
        <v>228</v>
      </c>
      <c r="C120" s="318"/>
      <c r="D120" s="1243"/>
      <c r="E120" s="1139"/>
      <c r="F120" s="1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1220" t="str">
        <f>INDEX(PT_DIFFERENTIATION_NTAR,MATCH(B120,PT_DIFFERENTIATION_NTAR_ID,0))</f>
        <v/>
      </c>
      <c r="H120" s="337"/>
      <c r="I120" s="741"/>
      <c r="J120" s="742"/>
      <c r="K120" s="350"/>
      <c r="L120" s="337" t="s">
        <v>293</v>
      </c>
      <c r="M120" s="735"/>
      <c r="N120" s="603"/>
      <c r="O120" s="121"/>
      <c r="P120" s="121"/>
    </row>
    <row r="121" spans="1:16" s="46" customFormat="1" ht="18.75" hidden="1" customHeight="1">
      <c r="A121" s="134"/>
      <c r="B121" s="134"/>
      <c r="C121" s="318" t="s">
        <v>1041</v>
      </c>
      <c r="D121" s="1243"/>
      <c r="E121" s="1139"/>
      <c r="F121" s="1202"/>
      <c r="G121" s="1220"/>
      <c r="H121" s="527"/>
      <c r="I121" s="168" t="s">
        <v>1040</v>
      </c>
      <c r="J121" s="199"/>
      <c r="K121" s="527"/>
      <c r="L121" s="729"/>
      <c r="M121" s="735"/>
      <c r="N121" s="603"/>
      <c r="O121" s="121"/>
      <c r="P121" s="121"/>
    </row>
    <row r="122" spans="1:16" s="46" customFormat="1" ht="0.75" hidden="1" customHeight="1">
      <c r="A122" s="134"/>
      <c r="B122" s="134"/>
      <c r="C122" s="318" t="s">
        <v>1048</v>
      </c>
      <c r="D122" s="1243"/>
      <c r="E122" s="1139"/>
      <c r="F122" s="1202"/>
      <c r="G122" s="746"/>
      <c r="H122" s="527"/>
      <c r="I122" s="168"/>
      <c r="J122" s="199"/>
      <c r="K122" s="527"/>
      <c r="L122" s="729"/>
      <c r="M122" s="735"/>
      <c r="N122" s="603"/>
      <c r="O122" s="121"/>
      <c r="P122" s="121"/>
    </row>
    <row r="123" spans="1:16" s="46" customFormat="1" ht="18.75" hidden="1" customHeight="1">
      <c r="A123" s="134" t="s">
        <v>232</v>
      </c>
      <c r="B123" s="134" t="s">
        <v>233</v>
      </c>
      <c r="C123" s="318"/>
      <c r="D123" s="1243"/>
      <c r="E123" s="1139"/>
      <c r="F123" s="1202" t="str">
        <f>INDEX(PT_DIFFERENTIATION_VTAR,MATCH(A123,PT_DIFFERENTIATION_VTAR_ID,0))</f>
        <v>Тариф на горячую воду (горячее водоснабжение)</v>
      </c>
      <c r="G123" s="1220" t="str">
        <f>INDEX(PT_DIFFERENTIATION_NTAR,MATCH(B123,PT_DIFFERENTIATION_NTAR_ID,0))</f>
        <v/>
      </c>
      <c r="H123" s="337"/>
      <c r="I123" s="741"/>
      <c r="J123" s="742"/>
      <c r="K123" s="350"/>
      <c r="L123" s="337" t="s">
        <v>293</v>
      </c>
      <c r="M123" s="735"/>
      <c r="N123" s="603"/>
      <c r="O123" s="121"/>
      <c r="P123" s="121"/>
    </row>
    <row r="124" spans="1:16" s="46" customFormat="1" ht="18.75" hidden="1" customHeight="1">
      <c r="A124" s="134"/>
      <c r="B124" s="134"/>
      <c r="C124" s="318" t="s">
        <v>1041</v>
      </c>
      <c r="D124" s="1243"/>
      <c r="E124" s="1139"/>
      <c r="F124" s="1202"/>
      <c r="G124" s="1220"/>
      <c r="H124" s="527"/>
      <c r="I124" s="168" t="s">
        <v>1040</v>
      </c>
      <c r="J124" s="199"/>
      <c r="K124" s="527"/>
      <c r="L124" s="729"/>
      <c r="M124" s="735"/>
      <c r="N124" s="603"/>
      <c r="O124" s="121"/>
      <c r="P124" s="121"/>
    </row>
    <row r="125" spans="1:16" s="46" customFormat="1" ht="0.75" hidden="1" customHeight="1">
      <c r="A125" s="134"/>
      <c r="B125" s="134"/>
      <c r="C125" s="318" t="s">
        <v>1048</v>
      </c>
      <c r="D125" s="1243"/>
      <c r="E125" s="1139"/>
      <c r="F125" s="1202"/>
      <c r="G125" s="746"/>
      <c r="H125" s="527"/>
      <c r="I125" s="168"/>
      <c r="J125" s="199"/>
      <c r="K125" s="527"/>
      <c r="L125" s="729"/>
      <c r="M125" s="735"/>
      <c r="N125" s="603"/>
      <c r="O125" s="121"/>
      <c r="P125" s="121"/>
    </row>
    <row r="126" spans="1:16" s="46" customFormat="1" ht="18.75" hidden="1" customHeight="1">
      <c r="A126" s="134" t="s">
        <v>237</v>
      </c>
      <c r="B126" s="134" t="s">
        <v>238</v>
      </c>
      <c r="C126" s="318"/>
      <c r="D126" s="1243"/>
      <c r="E126" s="1139"/>
      <c r="F126" s="1202" t="str">
        <f>INDEX(PT_DIFFERENTIATION_VTAR,MATCH(A126,PT_DIFFERENTIATION_VTAR_ID,0))</f>
        <v>Тариф на транспортировку горячей воды</v>
      </c>
      <c r="G126" s="1220" t="str">
        <f>INDEX(PT_DIFFERENTIATION_NTAR,MATCH(B126,PT_DIFFERENTIATION_NTAR_ID,0))</f>
        <v/>
      </c>
      <c r="H126" s="337"/>
      <c r="I126" s="741"/>
      <c r="J126" s="742"/>
      <c r="K126" s="350"/>
      <c r="L126" s="337" t="s">
        <v>293</v>
      </c>
      <c r="M126" s="735"/>
      <c r="N126" s="603"/>
      <c r="O126" s="121"/>
      <c r="P126" s="121"/>
    </row>
    <row r="127" spans="1:16" s="46" customFormat="1" ht="18.75" hidden="1" customHeight="1">
      <c r="A127" s="134"/>
      <c r="B127" s="134"/>
      <c r="C127" s="318" t="s">
        <v>1041</v>
      </c>
      <c r="D127" s="1243"/>
      <c r="E127" s="1139"/>
      <c r="F127" s="1202"/>
      <c r="G127" s="1220"/>
      <c r="H127" s="527"/>
      <c r="I127" s="168" t="s">
        <v>1040</v>
      </c>
      <c r="J127" s="199"/>
      <c r="K127" s="527"/>
      <c r="L127" s="729"/>
      <c r="M127" s="735"/>
      <c r="N127" s="603"/>
      <c r="O127" s="121"/>
      <c r="P127" s="121"/>
    </row>
    <row r="128" spans="1:16" s="46" customFormat="1" ht="0.75" hidden="1" customHeight="1">
      <c r="A128" s="134"/>
      <c r="B128" s="134"/>
      <c r="C128" s="318" t="s">
        <v>1048</v>
      </c>
      <c r="D128" s="1243"/>
      <c r="E128" s="1139"/>
      <c r="F128" s="1202"/>
      <c r="G128" s="746"/>
      <c r="H128" s="527"/>
      <c r="I128" s="168"/>
      <c r="J128" s="199"/>
      <c r="K128" s="527"/>
      <c r="L128" s="729"/>
      <c r="M128" s="735"/>
      <c r="N128" s="603"/>
      <c r="O128" s="121"/>
      <c r="P128" s="121"/>
    </row>
    <row r="129" spans="1:16" s="46" customFormat="1" ht="18.75" hidden="1" customHeight="1">
      <c r="A129" s="134" t="s">
        <v>242</v>
      </c>
      <c r="B129" s="134" t="s">
        <v>243</v>
      </c>
      <c r="C129" s="318"/>
      <c r="D129" s="1243"/>
      <c r="E129" s="1139"/>
      <c r="F129" s="1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1220" t="str">
        <f>INDEX(PT_DIFFERENTIATION_NTAR,MATCH(B129,PT_DIFFERENTIATION_NTAR_ID,0))</f>
        <v/>
      </c>
      <c r="H129" s="337"/>
      <c r="I129" s="741"/>
      <c r="J129" s="742"/>
      <c r="K129" s="350"/>
      <c r="L129" s="337" t="s">
        <v>293</v>
      </c>
      <c r="M129" s="735"/>
      <c r="N129" s="603"/>
      <c r="O129" s="121"/>
      <c r="P129" s="121"/>
    </row>
    <row r="130" spans="1:16" s="46" customFormat="1" ht="18.75" hidden="1" customHeight="1">
      <c r="A130" s="134"/>
      <c r="B130" s="134"/>
      <c r="C130" s="318" t="s">
        <v>1041</v>
      </c>
      <c r="D130" s="1243"/>
      <c r="E130" s="1139"/>
      <c r="F130" s="1202"/>
      <c r="G130" s="1220"/>
      <c r="H130" s="527"/>
      <c r="I130" s="168" t="s">
        <v>1040</v>
      </c>
      <c r="J130" s="199"/>
      <c r="K130" s="527"/>
      <c r="L130" s="729"/>
      <c r="M130" s="735"/>
      <c r="N130" s="603"/>
      <c r="O130" s="121"/>
      <c r="P130" s="121"/>
    </row>
    <row r="131" spans="1:16" s="46" customFormat="1" ht="0.75" hidden="1" customHeight="1">
      <c r="A131" s="134"/>
      <c r="B131" s="134"/>
      <c r="C131" s="318" t="s">
        <v>1048</v>
      </c>
      <c r="D131" s="1243"/>
      <c r="E131" s="1139"/>
      <c r="F131" s="1202"/>
      <c r="G131" s="746"/>
      <c r="H131" s="527"/>
      <c r="I131" s="168"/>
      <c r="J131" s="199"/>
      <c r="K131" s="527"/>
      <c r="L131" s="729"/>
      <c r="M131" s="735"/>
      <c r="N131" s="603"/>
      <c r="O131" s="121"/>
      <c r="P131" s="121"/>
    </row>
    <row r="132" spans="1:16" s="46" customFormat="1" ht="18.75" hidden="1" customHeight="1">
      <c r="A132" s="134" t="s">
        <v>249</v>
      </c>
      <c r="B132" s="134" t="s">
        <v>250</v>
      </c>
      <c r="C132" s="318"/>
      <c r="D132" s="1243"/>
      <c r="E132" s="1139"/>
      <c r="F132" s="1202" t="str">
        <f>INDEX(PT_DIFFERENTIATION_VTAR,MATCH(A132,PT_DIFFERENTIATION_VTAR_ID,0))</f>
        <v>Тариф на водоотведение</v>
      </c>
      <c r="G132" s="1220" t="str">
        <f>INDEX(PT_DIFFERENTIATION_NTAR,MATCH(B132,PT_DIFFERENTIATION_NTAR_ID,0))</f>
        <v>Водоотведение</v>
      </c>
      <c r="H132" s="337"/>
      <c r="I132" s="741"/>
      <c r="J132" s="742"/>
      <c r="K132" s="350"/>
      <c r="L132" s="337" t="s">
        <v>293</v>
      </c>
      <c r="M132" s="735"/>
      <c r="N132" s="603"/>
      <c r="O132" s="121"/>
      <c r="P132" s="121"/>
    </row>
    <row r="133" spans="1:16" s="46" customFormat="1" ht="18.75" hidden="1" customHeight="1">
      <c r="A133" s="134"/>
      <c r="B133" s="134"/>
      <c r="C133" s="318" t="s">
        <v>1041</v>
      </c>
      <c r="D133" s="1243"/>
      <c r="E133" s="1139"/>
      <c r="F133" s="1202"/>
      <c r="G133" s="1220"/>
      <c r="H133" s="527"/>
      <c r="I133" s="168" t="s">
        <v>1040</v>
      </c>
      <c r="J133" s="199"/>
      <c r="K133" s="527"/>
      <c r="L133" s="729"/>
      <c r="M133" s="735"/>
      <c r="N133" s="603"/>
      <c r="O133" s="121"/>
      <c r="P133" s="121"/>
    </row>
    <row r="134" spans="1:16" s="46" customFormat="1" ht="0.75" hidden="1" customHeight="1">
      <c r="A134" s="134"/>
      <c r="B134" s="134"/>
      <c r="C134" s="318" t="s">
        <v>1048</v>
      </c>
      <c r="D134" s="1243"/>
      <c r="E134" s="1139"/>
      <c r="F134" s="1202"/>
      <c r="G134" s="746"/>
      <c r="H134" s="527"/>
      <c r="I134" s="168"/>
      <c r="J134" s="199"/>
      <c r="K134" s="527"/>
      <c r="L134" s="729"/>
      <c r="M134" s="735"/>
      <c r="N134" s="603"/>
      <c r="O134" s="121"/>
      <c r="P134" s="121"/>
    </row>
    <row r="135" spans="1:16" s="46" customFormat="1" ht="18.75" hidden="1" customHeight="1">
      <c r="A135" s="134" t="s">
        <v>257</v>
      </c>
      <c r="B135" s="134" t="s">
        <v>258</v>
      </c>
      <c r="C135" s="318"/>
      <c r="D135" s="1243"/>
      <c r="E135" s="1139"/>
      <c r="F135" s="1202" t="str">
        <f>INDEX(PT_DIFFERENTIATION_VTAR,MATCH(A135,PT_DIFFERENTIATION_VTAR_ID,0))</f>
        <v>Тариф на транспортировку сточных вод</v>
      </c>
      <c r="G135" s="1220" t="str">
        <f>INDEX(PT_DIFFERENTIATION_NTAR,MATCH(B135,PT_DIFFERENTIATION_NTAR_ID,0))</f>
        <v/>
      </c>
      <c r="H135" s="337"/>
      <c r="I135" s="741"/>
      <c r="J135" s="742"/>
      <c r="K135" s="350"/>
      <c r="L135" s="337" t="s">
        <v>293</v>
      </c>
      <c r="M135" s="735"/>
      <c r="N135" s="603"/>
      <c r="O135" s="121"/>
      <c r="P135" s="121"/>
    </row>
    <row r="136" spans="1:16" s="46" customFormat="1" ht="18.75" hidden="1" customHeight="1">
      <c r="A136" s="134"/>
      <c r="B136" s="134"/>
      <c r="C136" s="318" t="s">
        <v>1041</v>
      </c>
      <c r="D136" s="1243"/>
      <c r="E136" s="1139"/>
      <c r="F136" s="1202"/>
      <c r="G136" s="1220"/>
      <c r="H136" s="527"/>
      <c r="I136" s="168" t="s">
        <v>1040</v>
      </c>
      <c r="J136" s="199"/>
      <c r="K136" s="527"/>
      <c r="L136" s="729"/>
      <c r="M136" s="735"/>
      <c r="N136" s="603"/>
      <c r="O136" s="121"/>
      <c r="P136" s="121"/>
    </row>
    <row r="137" spans="1:16" s="46" customFormat="1" ht="0.75" hidden="1" customHeight="1">
      <c r="A137" s="134"/>
      <c r="B137" s="134"/>
      <c r="C137" s="318" t="s">
        <v>1048</v>
      </c>
      <c r="D137" s="1243"/>
      <c r="E137" s="1139"/>
      <c r="F137" s="1202"/>
      <c r="G137" s="746"/>
      <c r="H137" s="527"/>
      <c r="I137" s="168"/>
      <c r="J137" s="199"/>
      <c r="K137" s="527"/>
      <c r="L137" s="729"/>
      <c r="M137" s="735"/>
      <c r="N137" s="603"/>
      <c r="O137" s="121"/>
      <c r="P137" s="121"/>
    </row>
    <row r="138" spans="1:16" s="46" customFormat="1" ht="18.75" hidden="1" customHeight="1">
      <c r="A138" s="134" t="s">
        <v>262</v>
      </c>
      <c r="B138" s="134" t="s">
        <v>263</v>
      </c>
      <c r="C138" s="318"/>
      <c r="D138" s="1243"/>
      <c r="E138" s="1139"/>
      <c r="F138" s="1202" t="str">
        <f>INDEX(PT_DIFFERENTIATION_VTAR,MATCH(A138,PT_DIFFERENTIATION_VTAR_ID,0))</f>
        <v>Тариф на подключение (технологическое присоединение) к централизованной системе водоотведения</v>
      </c>
      <c r="G138" s="1220" t="str">
        <f>INDEX(PT_DIFFERENTIATION_NTAR,MATCH(B138,PT_DIFFERENTIATION_NTAR_ID,0))</f>
        <v/>
      </c>
      <c r="H138" s="337"/>
      <c r="I138" s="741"/>
      <c r="J138" s="742"/>
      <c r="K138" s="350"/>
      <c r="L138" s="337" t="s">
        <v>293</v>
      </c>
      <c r="M138" s="735"/>
      <c r="N138" s="603"/>
      <c r="O138" s="121"/>
      <c r="P138" s="121"/>
    </row>
    <row r="139" spans="1:16" s="46" customFormat="1" ht="18.75" hidden="1" customHeight="1">
      <c r="A139" s="134"/>
      <c r="B139" s="134"/>
      <c r="C139" s="318" t="s">
        <v>1041</v>
      </c>
      <c r="D139" s="1243"/>
      <c r="E139" s="1139"/>
      <c r="F139" s="1202"/>
      <c r="G139" s="1220"/>
      <c r="H139" s="527"/>
      <c r="I139" s="168" t="s">
        <v>1040</v>
      </c>
      <c r="J139" s="199"/>
      <c r="K139" s="527"/>
      <c r="L139" s="729"/>
      <c r="M139" s="735"/>
      <c r="N139" s="603"/>
      <c r="O139" s="121"/>
      <c r="P139" s="121"/>
    </row>
    <row r="140" spans="1:16" s="46" customFormat="1" ht="0.75" customHeight="1">
      <c r="A140" s="134"/>
      <c r="B140" s="134"/>
      <c r="C140" s="318" t="s">
        <v>1048</v>
      </c>
      <c r="D140" s="1243"/>
      <c r="E140" s="1139"/>
      <c r="F140" s="1202"/>
      <c r="G140" s="746"/>
      <c r="H140" s="527"/>
      <c r="I140" s="168"/>
      <c r="J140" s="199"/>
      <c r="K140" s="527"/>
      <c r="L140" s="729"/>
      <c r="M140" s="735"/>
      <c r="N140" s="603"/>
      <c r="O140" s="121"/>
      <c r="P140" s="121"/>
    </row>
    <row r="141" spans="1:16" ht="18.75" customHeight="1">
      <c r="A141" s="134"/>
      <c r="B141" s="134"/>
      <c r="D141" s="437"/>
      <c r="E141" s="274" t="s">
        <v>87</v>
      </c>
      <c r="F141" s="12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1236"/>
      <c r="H141" s="1236"/>
      <c r="I141" s="1236"/>
      <c r="J141" s="1236"/>
      <c r="K141" s="1236"/>
      <c r="L141" s="1236"/>
      <c r="M141" s="718"/>
      <c r="N141" s="603"/>
    </row>
    <row r="142" spans="1:16" s="46" customFormat="1" ht="60.75" hidden="1" customHeight="1">
      <c r="A142" s="134" t="s">
        <v>151</v>
      </c>
      <c r="B142" s="134" t="s">
        <v>152</v>
      </c>
      <c r="C142" s="318"/>
      <c r="D142" s="1243"/>
      <c r="E142" s="1139"/>
      <c r="F142" s="1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220" t="str">
        <f>INDEX(PT_DIFFERENTIATION_NTAR,MATCH(B142,PT_DIFFERENTIATION_NTAR_ID,0))</f>
        <v/>
      </c>
      <c r="H142" s="337"/>
      <c r="I142" s="741"/>
      <c r="J142" s="742"/>
      <c r="K142" s="350"/>
      <c r="L142" s="337" t="s">
        <v>293</v>
      </c>
      <c r="M142" s="1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03"/>
      <c r="O142" s="121"/>
      <c r="P142" s="121"/>
    </row>
    <row r="143" spans="1:16" s="46" customFormat="1" ht="18.75" hidden="1" customHeight="1">
      <c r="A143" s="134"/>
      <c r="B143" s="134"/>
      <c r="C143" s="318" t="s">
        <v>1041</v>
      </c>
      <c r="D143" s="1243"/>
      <c r="E143" s="1139"/>
      <c r="F143" s="1202"/>
      <c r="G143" s="1220"/>
      <c r="H143" s="527"/>
      <c r="I143" s="168" t="s">
        <v>1040</v>
      </c>
      <c r="J143" s="199"/>
      <c r="K143" s="527"/>
      <c r="L143" s="729"/>
      <c r="M143" s="1111"/>
      <c r="N143" s="603"/>
      <c r="O143" s="121"/>
      <c r="P143" s="121"/>
    </row>
    <row r="144" spans="1:16" s="46" customFormat="1" ht="0.75" hidden="1" customHeight="1">
      <c r="A144" s="134"/>
      <c r="B144" s="134"/>
      <c r="C144" s="318" t="s">
        <v>1048</v>
      </c>
      <c r="D144" s="1243"/>
      <c r="E144" s="1139"/>
      <c r="F144" s="1202"/>
      <c r="G144" s="746"/>
      <c r="H144" s="527"/>
      <c r="I144" s="168"/>
      <c r="J144" s="199"/>
      <c r="K144" s="527"/>
      <c r="L144" s="729"/>
      <c r="M144" s="1111"/>
      <c r="N144" s="603"/>
      <c r="O144" s="121"/>
      <c r="P144" s="121"/>
    </row>
    <row r="145" spans="1:16" s="46" customFormat="1" ht="45" hidden="1" customHeight="1">
      <c r="A145" s="134" t="s">
        <v>157</v>
      </c>
      <c r="B145" s="134" t="s">
        <v>158</v>
      </c>
      <c r="C145" s="318"/>
      <c r="D145" s="1243"/>
      <c r="E145" s="1139"/>
      <c r="F145" s="1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220" t="str">
        <f>INDEX(PT_DIFFERENTIATION_NTAR,MATCH(B145,PT_DIFFERENTIATION_NTAR_ID,0))</f>
        <v/>
      </c>
      <c r="H145" s="337"/>
      <c r="I145" s="741"/>
      <c r="J145" s="742"/>
      <c r="K145" s="350"/>
      <c r="L145" s="337" t="s">
        <v>293</v>
      </c>
      <c r="M145" s="1111"/>
      <c r="N145" s="603"/>
      <c r="O145" s="121"/>
      <c r="P145" s="121"/>
    </row>
    <row r="146" spans="1:16" s="46" customFormat="1" ht="18.75" hidden="1" customHeight="1">
      <c r="A146" s="134"/>
      <c r="B146" s="134"/>
      <c r="C146" s="318" t="s">
        <v>1041</v>
      </c>
      <c r="D146" s="1243"/>
      <c r="E146" s="1139"/>
      <c r="F146" s="1202"/>
      <c r="G146" s="1220"/>
      <c r="H146" s="527"/>
      <c r="I146" s="168" t="s">
        <v>1040</v>
      </c>
      <c r="J146" s="199"/>
      <c r="K146" s="527"/>
      <c r="L146" s="729"/>
      <c r="M146" s="748"/>
      <c r="N146" s="603"/>
      <c r="O146" s="121"/>
      <c r="P146" s="121"/>
    </row>
    <row r="147" spans="1:16" s="46" customFormat="1" ht="0.75" hidden="1" customHeight="1">
      <c r="A147" s="134"/>
      <c r="B147" s="134"/>
      <c r="C147" s="318" t="s">
        <v>1048</v>
      </c>
      <c r="D147" s="1243"/>
      <c r="E147" s="1139"/>
      <c r="F147" s="1202"/>
      <c r="G147" s="746"/>
      <c r="H147" s="527"/>
      <c r="I147" s="168"/>
      <c r="J147" s="199"/>
      <c r="K147" s="527"/>
      <c r="L147" s="729"/>
      <c r="M147" s="735"/>
      <c r="N147" s="603"/>
      <c r="O147" s="121"/>
      <c r="P147" s="121"/>
    </row>
    <row r="148" spans="1:16" s="46" customFormat="1" ht="45" hidden="1" customHeight="1">
      <c r="A148" s="134" t="s">
        <v>163</v>
      </c>
      <c r="B148" s="134" t="s">
        <v>164</v>
      </c>
      <c r="C148" s="318"/>
      <c r="D148" s="1243"/>
      <c r="E148" s="1139"/>
      <c r="F148" s="1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220" t="str">
        <f>INDEX(PT_DIFFERENTIATION_NTAR,MATCH(B148,PT_DIFFERENTIATION_NTAR_ID,0))</f>
        <v/>
      </c>
      <c r="H148" s="337"/>
      <c r="I148" s="741"/>
      <c r="J148" s="742"/>
      <c r="K148" s="350"/>
      <c r="L148" s="337" t="s">
        <v>293</v>
      </c>
      <c r="M148" s="735"/>
      <c r="N148" s="603"/>
      <c r="O148" s="121"/>
      <c r="P148" s="121"/>
    </row>
    <row r="149" spans="1:16" s="46" customFormat="1" ht="18.75" hidden="1" customHeight="1">
      <c r="A149" s="134"/>
      <c r="B149" s="134"/>
      <c r="C149" s="318" t="s">
        <v>1041</v>
      </c>
      <c r="D149" s="1243"/>
      <c r="E149" s="1139"/>
      <c r="F149" s="1202"/>
      <c r="G149" s="1220"/>
      <c r="H149" s="527"/>
      <c r="I149" s="168" t="s">
        <v>1040</v>
      </c>
      <c r="J149" s="199"/>
      <c r="K149" s="527"/>
      <c r="L149" s="729"/>
      <c r="M149" s="735"/>
      <c r="N149" s="603"/>
      <c r="O149" s="121"/>
      <c r="P149" s="121"/>
    </row>
    <row r="150" spans="1:16" s="46" customFormat="1" ht="0.75" hidden="1" customHeight="1">
      <c r="A150" s="134"/>
      <c r="B150" s="134"/>
      <c r="C150" s="318" t="s">
        <v>1048</v>
      </c>
      <c r="D150" s="1243"/>
      <c r="E150" s="1139"/>
      <c r="F150" s="1202"/>
      <c r="G150" s="746"/>
      <c r="H150" s="527"/>
      <c r="I150" s="168"/>
      <c r="J150" s="199"/>
      <c r="K150" s="527"/>
      <c r="L150" s="729"/>
      <c r="M150" s="735"/>
      <c r="N150" s="603"/>
      <c r="O150" s="121"/>
      <c r="P150" s="121"/>
    </row>
    <row r="151" spans="1:16" s="46" customFormat="1" ht="45" hidden="1" customHeight="1">
      <c r="A151" s="134" t="s">
        <v>169</v>
      </c>
      <c r="B151" s="134" t="s">
        <v>170</v>
      </c>
      <c r="C151" s="318"/>
      <c r="D151" s="1243"/>
      <c r="E151" s="1139"/>
      <c r="F151" s="1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220" t="str">
        <f>INDEX(PT_DIFFERENTIATION_NTAR,MATCH(B151,PT_DIFFERENTIATION_NTAR_ID,0))</f>
        <v/>
      </c>
      <c r="H151" s="337"/>
      <c r="I151" s="741"/>
      <c r="J151" s="742"/>
      <c r="K151" s="350"/>
      <c r="L151" s="337" t="s">
        <v>293</v>
      </c>
      <c r="M151" s="735"/>
      <c r="N151" s="603"/>
      <c r="O151" s="121"/>
      <c r="P151" s="121"/>
    </row>
    <row r="152" spans="1:16" s="46" customFormat="1" ht="18.75" hidden="1" customHeight="1">
      <c r="A152" s="134"/>
      <c r="B152" s="134"/>
      <c r="C152" s="318" t="s">
        <v>1041</v>
      </c>
      <c r="D152" s="1243"/>
      <c r="E152" s="1139"/>
      <c r="F152" s="1202"/>
      <c r="G152" s="1220"/>
      <c r="H152" s="527"/>
      <c r="I152" s="168" t="s">
        <v>1040</v>
      </c>
      <c r="J152" s="199"/>
      <c r="K152" s="527"/>
      <c r="L152" s="729"/>
      <c r="M152" s="735"/>
      <c r="N152" s="603"/>
      <c r="O152" s="121"/>
      <c r="P152" s="121"/>
    </row>
    <row r="153" spans="1:16" s="46" customFormat="1" ht="0.75" hidden="1" customHeight="1">
      <c r="A153" s="134"/>
      <c r="B153" s="134"/>
      <c r="C153" s="318" t="s">
        <v>1048</v>
      </c>
      <c r="D153" s="1243"/>
      <c r="E153" s="1139"/>
      <c r="F153" s="1202"/>
      <c r="G153" s="746"/>
      <c r="H153" s="527"/>
      <c r="I153" s="168"/>
      <c r="J153" s="199"/>
      <c r="K153" s="527"/>
      <c r="L153" s="729"/>
      <c r="M153" s="735"/>
      <c r="N153" s="603"/>
      <c r="O153" s="121"/>
      <c r="P153" s="121"/>
    </row>
    <row r="154" spans="1:16" s="46" customFormat="1" ht="18.75" hidden="1" customHeight="1">
      <c r="A154" s="134" t="s">
        <v>175</v>
      </c>
      <c r="B154" s="134" t="s">
        <v>176</v>
      </c>
      <c r="C154" s="318"/>
      <c r="D154" s="1243"/>
      <c r="E154" s="1139"/>
      <c r="F154" s="1202" t="str">
        <f>INDEX(PT_DIFFERENTIATION_VTAR,MATCH(A154,PT_DIFFERENTIATION_VTAR_ID,0))</f>
        <v>Тарифы на услуги по передаче тепловой энергии</v>
      </c>
      <c r="G154" s="1220" t="str">
        <f>INDEX(PT_DIFFERENTIATION_NTAR,MATCH(B154,PT_DIFFERENTIATION_NTAR_ID,0))</f>
        <v/>
      </c>
      <c r="H154" s="337"/>
      <c r="I154" s="741"/>
      <c r="J154" s="742"/>
      <c r="K154" s="350"/>
      <c r="L154" s="337" t="s">
        <v>293</v>
      </c>
      <c r="M154" s="735"/>
      <c r="N154" s="603"/>
      <c r="O154" s="121"/>
      <c r="P154" s="121"/>
    </row>
    <row r="155" spans="1:16" s="46" customFormat="1" ht="18.75" hidden="1" customHeight="1">
      <c r="A155" s="134"/>
      <c r="B155" s="134"/>
      <c r="C155" s="318" t="s">
        <v>1041</v>
      </c>
      <c r="D155" s="1243"/>
      <c r="E155" s="1139"/>
      <c r="F155" s="1202"/>
      <c r="G155" s="1220"/>
      <c r="H155" s="527"/>
      <c r="I155" s="168" t="s">
        <v>1040</v>
      </c>
      <c r="J155" s="199"/>
      <c r="K155" s="527"/>
      <c r="L155" s="729"/>
      <c r="M155" s="735"/>
      <c r="N155" s="603"/>
      <c r="O155" s="121"/>
      <c r="P155" s="121"/>
    </row>
    <row r="156" spans="1:16" s="46" customFormat="1" ht="0.75" hidden="1" customHeight="1">
      <c r="A156" s="134"/>
      <c r="B156" s="134"/>
      <c r="C156" s="318" t="s">
        <v>1048</v>
      </c>
      <c r="D156" s="1243"/>
      <c r="E156" s="1139"/>
      <c r="F156" s="1202"/>
      <c r="G156" s="746"/>
      <c r="H156" s="527"/>
      <c r="I156" s="168"/>
      <c r="J156" s="199"/>
      <c r="K156" s="527"/>
      <c r="L156" s="729"/>
      <c r="M156" s="735"/>
      <c r="N156" s="603"/>
      <c r="O156" s="121"/>
      <c r="P156" s="121"/>
    </row>
    <row r="157" spans="1:16" s="46" customFormat="1" ht="18.75" hidden="1" customHeight="1">
      <c r="A157" s="134" t="s">
        <v>181</v>
      </c>
      <c r="B157" s="134" t="s">
        <v>182</v>
      </c>
      <c r="C157" s="318"/>
      <c r="D157" s="1243"/>
      <c r="E157" s="1139"/>
      <c r="F157" s="1202" t="str">
        <f>INDEX(PT_DIFFERENTIATION_VTAR,MATCH(A157,PT_DIFFERENTIATION_VTAR_ID,0))</f>
        <v>Тарифы на услуги по передаче теплоносителя</v>
      </c>
      <c r="G157" s="1220" t="str">
        <f>INDEX(PT_DIFFERENTIATION_NTAR,MATCH(B157,PT_DIFFERENTIATION_NTAR_ID,0))</f>
        <v/>
      </c>
      <c r="H157" s="337"/>
      <c r="I157" s="741"/>
      <c r="J157" s="742"/>
      <c r="K157" s="350"/>
      <c r="L157" s="337" t="s">
        <v>293</v>
      </c>
      <c r="M157" s="735"/>
      <c r="N157" s="603"/>
      <c r="O157" s="121"/>
      <c r="P157" s="121"/>
    </row>
    <row r="158" spans="1:16" s="46" customFormat="1" ht="18.75" hidden="1" customHeight="1">
      <c r="A158" s="134"/>
      <c r="B158" s="134"/>
      <c r="C158" s="318" t="s">
        <v>1041</v>
      </c>
      <c r="D158" s="1243"/>
      <c r="E158" s="1139"/>
      <c r="F158" s="1202"/>
      <c r="G158" s="1220"/>
      <c r="H158" s="527"/>
      <c r="I158" s="168" t="s">
        <v>1040</v>
      </c>
      <c r="J158" s="199"/>
      <c r="K158" s="527"/>
      <c r="L158" s="729"/>
      <c r="M158" s="735"/>
      <c r="N158" s="603"/>
      <c r="O158" s="121"/>
      <c r="P158" s="121"/>
    </row>
    <row r="159" spans="1:16" s="46" customFormat="1" ht="0.75" hidden="1" customHeight="1">
      <c r="A159" s="134"/>
      <c r="B159" s="134"/>
      <c r="C159" s="318" t="s">
        <v>1048</v>
      </c>
      <c r="D159" s="1243"/>
      <c r="E159" s="1139"/>
      <c r="F159" s="1202"/>
      <c r="G159" s="746"/>
      <c r="H159" s="527"/>
      <c r="I159" s="168"/>
      <c r="J159" s="199"/>
      <c r="K159" s="527"/>
      <c r="L159" s="729"/>
      <c r="M159" s="735"/>
      <c r="N159" s="603"/>
      <c r="O159" s="121"/>
      <c r="P159" s="121"/>
    </row>
    <row r="160" spans="1:16" s="46" customFormat="1" ht="18.75" hidden="1" customHeight="1">
      <c r="A160" s="134" t="s">
        <v>187</v>
      </c>
      <c r="B160" s="134" t="s">
        <v>188</v>
      </c>
      <c r="C160" s="318"/>
      <c r="D160" s="1243"/>
      <c r="E160" s="1139"/>
      <c r="F160" s="1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220" t="str">
        <f>INDEX(PT_DIFFERENTIATION_NTAR,MATCH(B160,PT_DIFFERENTIATION_NTAR_ID,0))</f>
        <v/>
      </c>
      <c r="H160" s="337"/>
      <c r="I160" s="741"/>
      <c r="J160" s="742"/>
      <c r="K160" s="350"/>
      <c r="L160" s="337" t="s">
        <v>293</v>
      </c>
      <c r="M160" s="735"/>
      <c r="N160" s="603"/>
      <c r="O160" s="121"/>
      <c r="P160" s="121"/>
    </row>
    <row r="161" spans="1:16" s="46" customFormat="1" ht="18.75" hidden="1" customHeight="1">
      <c r="A161" s="134"/>
      <c r="B161" s="134"/>
      <c r="C161" s="318" t="s">
        <v>1041</v>
      </c>
      <c r="D161" s="1243"/>
      <c r="E161" s="1139"/>
      <c r="F161" s="1202"/>
      <c r="G161" s="1220"/>
      <c r="H161" s="527"/>
      <c r="I161" s="168" t="s">
        <v>1040</v>
      </c>
      <c r="J161" s="199"/>
      <c r="K161" s="527"/>
      <c r="L161" s="729"/>
      <c r="M161" s="735"/>
      <c r="N161" s="603"/>
      <c r="O161" s="121"/>
      <c r="P161" s="121"/>
    </row>
    <row r="162" spans="1:16" s="46" customFormat="1" ht="0.75" hidden="1" customHeight="1">
      <c r="A162" s="134"/>
      <c r="B162" s="134"/>
      <c r="C162" s="318" t="s">
        <v>1048</v>
      </c>
      <c r="D162" s="1243"/>
      <c r="E162" s="1139"/>
      <c r="F162" s="1202"/>
      <c r="G162" s="746"/>
      <c r="H162" s="527"/>
      <c r="I162" s="168"/>
      <c r="J162" s="199"/>
      <c r="K162" s="527"/>
      <c r="L162" s="729"/>
      <c r="M162" s="735"/>
      <c r="N162" s="603"/>
      <c r="O162" s="121"/>
      <c r="P162" s="121"/>
    </row>
    <row r="163" spans="1:16" s="46" customFormat="1" ht="18.75" hidden="1" customHeight="1">
      <c r="A163" s="134" t="s">
        <v>193</v>
      </c>
      <c r="B163" s="134" t="s">
        <v>194</v>
      </c>
      <c r="C163" s="318"/>
      <c r="D163" s="1243"/>
      <c r="E163" s="1139"/>
      <c r="F163" s="1202" t="str">
        <f>INDEX(PT_DIFFERENTIATION_VTAR,MATCH(A163,PT_DIFFERENTIATION_VTAR_ID,0))</f>
        <v>Плата за подключение (технологическое присоединение) к системе теплоснабжения</v>
      </c>
      <c r="G163" s="1220" t="str">
        <f>INDEX(PT_DIFFERENTIATION_NTAR,MATCH(B163,PT_DIFFERENTIATION_NTAR_ID,0))</f>
        <v/>
      </c>
      <c r="H163" s="337"/>
      <c r="I163" s="741"/>
      <c r="J163" s="742"/>
      <c r="K163" s="350"/>
      <c r="L163" s="337" t="s">
        <v>293</v>
      </c>
      <c r="M163" s="735"/>
      <c r="N163" s="603"/>
      <c r="O163" s="121"/>
      <c r="P163" s="121"/>
    </row>
    <row r="164" spans="1:16" s="46" customFormat="1" ht="18.75" hidden="1" customHeight="1">
      <c r="A164" s="134"/>
      <c r="B164" s="134"/>
      <c r="C164" s="318" t="s">
        <v>1041</v>
      </c>
      <c r="D164" s="1243"/>
      <c r="E164" s="1139"/>
      <c r="F164" s="1202"/>
      <c r="G164" s="1220"/>
      <c r="H164" s="527"/>
      <c r="I164" s="168" t="s">
        <v>1040</v>
      </c>
      <c r="J164" s="199"/>
      <c r="K164" s="527"/>
      <c r="L164" s="729"/>
      <c r="M164" s="735"/>
      <c r="N164" s="603"/>
      <c r="O164" s="121"/>
      <c r="P164" s="121"/>
    </row>
    <row r="165" spans="1:16" s="46" customFormat="1" ht="0.75" hidden="1" customHeight="1">
      <c r="A165" s="134"/>
      <c r="B165" s="134"/>
      <c r="C165" s="318" t="s">
        <v>1048</v>
      </c>
      <c r="D165" s="1243"/>
      <c r="E165" s="1139"/>
      <c r="F165" s="1202"/>
      <c r="G165" s="746"/>
      <c r="H165" s="527"/>
      <c r="I165" s="168"/>
      <c r="J165" s="199"/>
      <c r="K165" s="527"/>
      <c r="L165" s="729"/>
      <c r="M165" s="735"/>
      <c r="N165" s="603"/>
      <c r="O165" s="121"/>
      <c r="P165" s="121"/>
    </row>
    <row r="166" spans="1:16" s="46" customFormat="1" ht="18.75" hidden="1" customHeight="1">
      <c r="A166" s="134" t="s">
        <v>207</v>
      </c>
      <c r="B166" s="134" t="s">
        <v>208</v>
      </c>
      <c r="C166" s="318"/>
      <c r="D166" s="1243"/>
      <c r="E166" s="1139"/>
      <c r="F166" s="1202" t="str">
        <f>INDEX(PT_DIFFERENTIATION_VTAR,MATCH(A166,PT_DIFFERENTIATION_VTAR_ID,0))</f>
        <v>Тариф на питьевую воду (питьевое водоснабжение)</v>
      </c>
      <c r="G166" s="1220" t="str">
        <f>INDEX(PT_DIFFERENTIATION_NTAR,MATCH(B166,PT_DIFFERENTIATION_NTAR_ID,0))</f>
        <v/>
      </c>
      <c r="H166" s="337"/>
      <c r="I166" s="741"/>
      <c r="J166" s="742"/>
      <c r="K166" s="350"/>
      <c r="L166" s="337" t="s">
        <v>293</v>
      </c>
      <c r="M166" s="735"/>
      <c r="N166" s="603"/>
      <c r="O166" s="121"/>
      <c r="P166" s="121"/>
    </row>
    <row r="167" spans="1:16" s="46" customFormat="1" ht="18.75" hidden="1" customHeight="1">
      <c r="A167" s="134"/>
      <c r="B167" s="134"/>
      <c r="C167" s="318" t="s">
        <v>1041</v>
      </c>
      <c r="D167" s="1243"/>
      <c r="E167" s="1139"/>
      <c r="F167" s="1202"/>
      <c r="G167" s="1220"/>
      <c r="H167" s="527"/>
      <c r="I167" s="168" t="s">
        <v>1040</v>
      </c>
      <c r="J167" s="199"/>
      <c r="K167" s="527"/>
      <c r="L167" s="729"/>
      <c r="M167" s="735"/>
      <c r="N167" s="603"/>
      <c r="O167" s="121"/>
      <c r="P167" s="121"/>
    </row>
    <row r="168" spans="1:16" s="46" customFormat="1" ht="0.75" hidden="1" customHeight="1">
      <c r="A168" s="134"/>
      <c r="B168" s="134"/>
      <c r="C168" s="318" t="s">
        <v>1048</v>
      </c>
      <c r="D168" s="1243"/>
      <c r="E168" s="1139"/>
      <c r="F168" s="1202"/>
      <c r="G168" s="746"/>
      <c r="H168" s="527"/>
      <c r="I168" s="168"/>
      <c r="J168" s="199"/>
      <c r="K168" s="527"/>
      <c r="L168" s="729"/>
      <c r="M168" s="735"/>
      <c r="N168" s="603"/>
      <c r="O168" s="121"/>
      <c r="P168" s="121"/>
    </row>
    <row r="169" spans="1:16" s="46" customFormat="1" ht="18.75" hidden="1" customHeight="1">
      <c r="A169" s="134" t="s">
        <v>212</v>
      </c>
      <c r="B169" s="134" t="s">
        <v>213</v>
      </c>
      <c r="C169" s="318"/>
      <c r="D169" s="1243"/>
      <c r="E169" s="1139"/>
      <c r="F169" s="1202" t="str">
        <f>INDEX(PT_DIFFERENTIATION_VTAR,MATCH(A169,PT_DIFFERENTIATION_VTAR_ID,0))</f>
        <v>Тариф на техническую воду</v>
      </c>
      <c r="G169" s="1220" t="str">
        <f>INDEX(PT_DIFFERENTIATION_NTAR,MATCH(B169,PT_DIFFERENTIATION_NTAR_ID,0))</f>
        <v/>
      </c>
      <c r="H169" s="337"/>
      <c r="I169" s="741"/>
      <c r="J169" s="742"/>
      <c r="K169" s="350"/>
      <c r="L169" s="337" t="s">
        <v>293</v>
      </c>
      <c r="M169" s="735"/>
      <c r="N169" s="603"/>
      <c r="O169" s="121"/>
      <c r="P169" s="121"/>
    </row>
    <row r="170" spans="1:16" s="46" customFormat="1" ht="18.75" hidden="1" customHeight="1">
      <c r="A170" s="134"/>
      <c r="B170" s="134"/>
      <c r="C170" s="318" t="s">
        <v>1041</v>
      </c>
      <c r="D170" s="1243"/>
      <c r="E170" s="1139"/>
      <c r="F170" s="1202"/>
      <c r="G170" s="1220"/>
      <c r="H170" s="527"/>
      <c r="I170" s="168" t="s">
        <v>1040</v>
      </c>
      <c r="J170" s="199"/>
      <c r="K170" s="527"/>
      <c r="L170" s="729"/>
      <c r="M170" s="735"/>
      <c r="N170" s="603"/>
      <c r="O170" s="121"/>
      <c r="P170" s="121"/>
    </row>
    <row r="171" spans="1:16" s="46" customFormat="1" ht="0.75" hidden="1" customHeight="1">
      <c r="A171" s="134"/>
      <c r="B171" s="134"/>
      <c r="C171" s="318" t="s">
        <v>1048</v>
      </c>
      <c r="D171" s="1243"/>
      <c r="E171" s="1139"/>
      <c r="F171" s="1202"/>
      <c r="G171" s="746"/>
      <c r="H171" s="527"/>
      <c r="I171" s="168"/>
      <c r="J171" s="199"/>
      <c r="K171" s="527"/>
      <c r="L171" s="729"/>
      <c r="M171" s="735"/>
      <c r="N171" s="603"/>
      <c r="O171" s="121"/>
      <c r="P171" s="121"/>
    </row>
    <row r="172" spans="1:16" s="46" customFormat="1" ht="18.75" hidden="1" customHeight="1">
      <c r="A172" s="134" t="s">
        <v>217</v>
      </c>
      <c r="B172" s="134" t="s">
        <v>218</v>
      </c>
      <c r="C172" s="318"/>
      <c r="D172" s="1243"/>
      <c r="E172" s="1139"/>
      <c r="F172" s="1202" t="str">
        <f>INDEX(PT_DIFFERENTIATION_VTAR,MATCH(A172,PT_DIFFERENTIATION_VTAR_ID,0))</f>
        <v>Тариф на транспортировку воды</v>
      </c>
      <c r="G172" s="1220" t="str">
        <f>INDEX(PT_DIFFERENTIATION_NTAR,MATCH(B172,PT_DIFFERENTIATION_NTAR_ID,0))</f>
        <v/>
      </c>
      <c r="H172" s="337"/>
      <c r="I172" s="741"/>
      <c r="J172" s="742"/>
      <c r="K172" s="350"/>
      <c r="L172" s="337" t="s">
        <v>293</v>
      </c>
      <c r="M172" s="735"/>
      <c r="N172" s="603"/>
      <c r="O172" s="121"/>
      <c r="P172" s="121"/>
    </row>
    <row r="173" spans="1:16" s="46" customFormat="1" ht="18.75" hidden="1" customHeight="1">
      <c r="A173" s="134"/>
      <c r="B173" s="134"/>
      <c r="C173" s="318" t="s">
        <v>1041</v>
      </c>
      <c r="D173" s="1243"/>
      <c r="E173" s="1139"/>
      <c r="F173" s="1202"/>
      <c r="G173" s="1220"/>
      <c r="H173" s="527"/>
      <c r="I173" s="168" t="s">
        <v>1040</v>
      </c>
      <c r="J173" s="199"/>
      <c r="K173" s="527"/>
      <c r="L173" s="729"/>
      <c r="M173" s="735"/>
      <c r="N173" s="603"/>
      <c r="O173" s="121"/>
      <c r="P173" s="121"/>
    </row>
    <row r="174" spans="1:16" s="46" customFormat="1" ht="0.75" hidden="1" customHeight="1">
      <c r="A174" s="134"/>
      <c r="B174" s="134"/>
      <c r="C174" s="318" t="s">
        <v>1048</v>
      </c>
      <c r="D174" s="1243"/>
      <c r="E174" s="1139"/>
      <c r="F174" s="1202"/>
      <c r="G174" s="746"/>
      <c r="H174" s="527"/>
      <c r="I174" s="168"/>
      <c r="J174" s="199"/>
      <c r="K174" s="527"/>
      <c r="L174" s="729"/>
      <c r="M174" s="735"/>
      <c r="N174" s="603"/>
      <c r="O174" s="121"/>
      <c r="P174" s="121"/>
    </row>
    <row r="175" spans="1:16" s="46" customFormat="1" ht="18.75" hidden="1" customHeight="1">
      <c r="A175" s="134" t="s">
        <v>222</v>
      </c>
      <c r="B175" s="134" t="s">
        <v>223</v>
      </c>
      <c r="C175" s="318"/>
      <c r="D175" s="1243"/>
      <c r="E175" s="1139"/>
      <c r="F175" s="1202" t="str">
        <f>INDEX(PT_DIFFERENTIATION_VTAR,MATCH(A175,PT_DIFFERENTIATION_VTAR_ID,0))</f>
        <v>Тариф на подвоз воды</v>
      </c>
      <c r="G175" s="1220" t="str">
        <f>INDEX(PT_DIFFERENTIATION_NTAR,MATCH(B175,PT_DIFFERENTIATION_NTAR_ID,0))</f>
        <v/>
      </c>
      <c r="H175" s="337"/>
      <c r="I175" s="741"/>
      <c r="J175" s="742"/>
      <c r="K175" s="350"/>
      <c r="L175" s="337" t="s">
        <v>293</v>
      </c>
      <c r="M175" s="735"/>
      <c r="N175" s="603"/>
      <c r="O175" s="121"/>
      <c r="P175" s="121"/>
    </row>
    <row r="176" spans="1:16" s="46" customFormat="1" ht="18.75" hidden="1" customHeight="1">
      <c r="A176" s="134"/>
      <c r="B176" s="134"/>
      <c r="C176" s="318" t="s">
        <v>1041</v>
      </c>
      <c r="D176" s="1243"/>
      <c r="E176" s="1139"/>
      <c r="F176" s="1202"/>
      <c r="G176" s="1220"/>
      <c r="H176" s="527"/>
      <c r="I176" s="168" t="s">
        <v>1040</v>
      </c>
      <c r="J176" s="199"/>
      <c r="K176" s="527"/>
      <c r="L176" s="729"/>
      <c r="M176" s="735"/>
      <c r="N176" s="603"/>
      <c r="O176" s="121"/>
      <c r="P176" s="121"/>
    </row>
    <row r="177" spans="1:16" s="46" customFormat="1" ht="0.75" hidden="1" customHeight="1">
      <c r="A177" s="134"/>
      <c r="B177" s="134"/>
      <c r="C177" s="318" t="s">
        <v>1048</v>
      </c>
      <c r="D177" s="1243"/>
      <c r="E177" s="1139"/>
      <c r="F177" s="1202"/>
      <c r="G177" s="746"/>
      <c r="H177" s="527"/>
      <c r="I177" s="168"/>
      <c r="J177" s="199"/>
      <c r="K177" s="527"/>
      <c r="L177" s="729"/>
      <c r="M177" s="735"/>
      <c r="N177" s="603"/>
      <c r="O177" s="121"/>
      <c r="P177" s="121"/>
    </row>
    <row r="178" spans="1:16" s="46" customFormat="1" ht="18.75" hidden="1" customHeight="1">
      <c r="A178" s="134" t="s">
        <v>227</v>
      </c>
      <c r="B178" s="134" t="s">
        <v>228</v>
      </c>
      <c r="C178" s="318"/>
      <c r="D178" s="1243"/>
      <c r="E178" s="1139"/>
      <c r="F178" s="1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1220" t="str">
        <f>INDEX(PT_DIFFERENTIATION_NTAR,MATCH(B178,PT_DIFFERENTIATION_NTAR_ID,0))</f>
        <v/>
      </c>
      <c r="H178" s="337"/>
      <c r="I178" s="741"/>
      <c r="J178" s="742"/>
      <c r="K178" s="350"/>
      <c r="L178" s="337" t="s">
        <v>293</v>
      </c>
      <c r="M178" s="735"/>
      <c r="N178" s="603"/>
      <c r="O178" s="121"/>
      <c r="P178" s="121"/>
    </row>
    <row r="179" spans="1:16" s="46" customFormat="1" ht="18.75" hidden="1" customHeight="1">
      <c r="A179" s="134"/>
      <c r="B179" s="134"/>
      <c r="C179" s="318" t="s">
        <v>1041</v>
      </c>
      <c r="D179" s="1243"/>
      <c r="E179" s="1139"/>
      <c r="F179" s="1202"/>
      <c r="G179" s="1220"/>
      <c r="H179" s="527"/>
      <c r="I179" s="168" t="s">
        <v>1040</v>
      </c>
      <c r="J179" s="199"/>
      <c r="K179" s="527"/>
      <c r="L179" s="729"/>
      <c r="M179" s="735"/>
      <c r="N179" s="603"/>
      <c r="O179" s="121"/>
      <c r="P179" s="121"/>
    </row>
    <row r="180" spans="1:16" s="46" customFormat="1" ht="0.75" hidden="1" customHeight="1">
      <c r="A180" s="134"/>
      <c r="B180" s="134"/>
      <c r="C180" s="318" t="s">
        <v>1048</v>
      </c>
      <c r="D180" s="1243"/>
      <c r="E180" s="1139"/>
      <c r="F180" s="1202"/>
      <c r="G180" s="746"/>
      <c r="H180" s="527"/>
      <c r="I180" s="168"/>
      <c r="J180" s="199"/>
      <c r="K180" s="527"/>
      <c r="L180" s="729"/>
      <c r="M180" s="735"/>
      <c r="N180" s="603"/>
      <c r="O180" s="121"/>
      <c r="P180" s="121"/>
    </row>
    <row r="181" spans="1:16" s="46" customFormat="1" ht="18.75" hidden="1" customHeight="1">
      <c r="A181" s="134" t="s">
        <v>232</v>
      </c>
      <c r="B181" s="134" t="s">
        <v>233</v>
      </c>
      <c r="C181" s="318"/>
      <c r="D181" s="1243"/>
      <c r="E181" s="1139"/>
      <c r="F181" s="1202" t="str">
        <f>INDEX(PT_DIFFERENTIATION_VTAR,MATCH(A181,PT_DIFFERENTIATION_VTAR_ID,0))</f>
        <v>Тариф на горячую воду (горячее водоснабжение)</v>
      </c>
      <c r="G181" s="1220" t="str">
        <f>INDEX(PT_DIFFERENTIATION_NTAR,MATCH(B181,PT_DIFFERENTIATION_NTAR_ID,0))</f>
        <v/>
      </c>
      <c r="H181" s="337"/>
      <c r="I181" s="741"/>
      <c r="J181" s="742"/>
      <c r="K181" s="350"/>
      <c r="L181" s="337" t="s">
        <v>293</v>
      </c>
      <c r="M181" s="735"/>
      <c r="N181" s="603"/>
      <c r="O181" s="121"/>
      <c r="P181" s="121"/>
    </row>
    <row r="182" spans="1:16" s="46" customFormat="1" ht="18.75" hidden="1" customHeight="1">
      <c r="A182" s="134"/>
      <c r="B182" s="134"/>
      <c r="C182" s="318" t="s">
        <v>1041</v>
      </c>
      <c r="D182" s="1243"/>
      <c r="E182" s="1139"/>
      <c r="F182" s="1202"/>
      <c r="G182" s="1220"/>
      <c r="H182" s="527"/>
      <c r="I182" s="168" t="s">
        <v>1040</v>
      </c>
      <c r="J182" s="199"/>
      <c r="K182" s="527"/>
      <c r="L182" s="729"/>
      <c r="M182" s="735"/>
      <c r="N182" s="603"/>
      <c r="O182" s="121"/>
      <c r="P182" s="121"/>
    </row>
    <row r="183" spans="1:16" s="46" customFormat="1" ht="0.75" hidden="1" customHeight="1">
      <c r="A183" s="134"/>
      <c r="B183" s="134"/>
      <c r="C183" s="318" t="s">
        <v>1048</v>
      </c>
      <c r="D183" s="1243"/>
      <c r="E183" s="1139"/>
      <c r="F183" s="1202"/>
      <c r="G183" s="746"/>
      <c r="H183" s="527"/>
      <c r="I183" s="168"/>
      <c r="J183" s="199"/>
      <c r="K183" s="527"/>
      <c r="L183" s="729"/>
      <c r="M183" s="735"/>
      <c r="N183" s="603"/>
      <c r="O183" s="121"/>
      <c r="P183" s="121"/>
    </row>
    <row r="184" spans="1:16" s="46" customFormat="1" ht="18.75" hidden="1" customHeight="1">
      <c r="A184" s="134" t="s">
        <v>237</v>
      </c>
      <c r="B184" s="134" t="s">
        <v>238</v>
      </c>
      <c r="C184" s="318"/>
      <c r="D184" s="1243"/>
      <c r="E184" s="1139"/>
      <c r="F184" s="1202" t="str">
        <f>INDEX(PT_DIFFERENTIATION_VTAR,MATCH(A184,PT_DIFFERENTIATION_VTAR_ID,0))</f>
        <v>Тариф на транспортировку горячей воды</v>
      </c>
      <c r="G184" s="1220" t="str">
        <f>INDEX(PT_DIFFERENTIATION_NTAR,MATCH(B184,PT_DIFFERENTIATION_NTAR_ID,0))</f>
        <v/>
      </c>
      <c r="H184" s="337"/>
      <c r="I184" s="741"/>
      <c r="J184" s="742"/>
      <c r="K184" s="350"/>
      <c r="L184" s="337" t="s">
        <v>293</v>
      </c>
      <c r="M184" s="735"/>
      <c r="N184" s="603"/>
      <c r="O184" s="121"/>
      <c r="P184" s="121"/>
    </row>
    <row r="185" spans="1:16" s="46" customFormat="1" ht="18.75" hidden="1" customHeight="1">
      <c r="A185" s="134"/>
      <c r="B185" s="134"/>
      <c r="C185" s="318" t="s">
        <v>1041</v>
      </c>
      <c r="D185" s="1243"/>
      <c r="E185" s="1139"/>
      <c r="F185" s="1202"/>
      <c r="G185" s="1220"/>
      <c r="H185" s="527"/>
      <c r="I185" s="168" t="s">
        <v>1040</v>
      </c>
      <c r="J185" s="199"/>
      <c r="K185" s="527"/>
      <c r="L185" s="729"/>
      <c r="M185" s="735"/>
      <c r="N185" s="603"/>
      <c r="O185" s="121"/>
      <c r="P185" s="121"/>
    </row>
    <row r="186" spans="1:16" s="46" customFormat="1" ht="0.75" hidden="1" customHeight="1">
      <c r="A186" s="134"/>
      <c r="B186" s="134"/>
      <c r="C186" s="318" t="s">
        <v>1048</v>
      </c>
      <c r="D186" s="1243"/>
      <c r="E186" s="1139"/>
      <c r="F186" s="1202"/>
      <c r="G186" s="746"/>
      <c r="H186" s="527"/>
      <c r="I186" s="168"/>
      <c r="J186" s="199"/>
      <c r="K186" s="527"/>
      <c r="L186" s="729"/>
      <c r="M186" s="735"/>
      <c r="N186" s="603"/>
      <c r="O186" s="121"/>
      <c r="P186" s="121"/>
    </row>
    <row r="187" spans="1:16" s="46" customFormat="1" ht="18.75" hidden="1" customHeight="1">
      <c r="A187" s="134" t="s">
        <v>242</v>
      </c>
      <c r="B187" s="134" t="s">
        <v>243</v>
      </c>
      <c r="C187" s="318"/>
      <c r="D187" s="1243"/>
      <c r="E187" s="1139"/>
      <c r="F187" s="1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1220" t="str">
        <f>INDEX(PT_DIFFERENTIATION_NTAR,MATCH(B187,PT_DIFFERENTIATION_NTAR_ID,0))</f>
        <v/>
      </c>
      <c r="H187" s="337"/>
      <c r="I187" s="741"/>
      <c r="J187" s="742"/>
      <c r="K187" s="350"/>
      <c r="L187" s="337" t="s">
        <v>293</v>
      </c>
      <c r="M187" s="735"/>
      <c r="N187" s="603"/>
      <c r="O187" s="121"/>
      <c r="P187" s="121"/>
    </row>
    <row r="188" spans="1:16" s="46" customFormat="1" ht="18.75" hidden="1" customHeight="1">
      <c r="A188" s="134"/>
      <c r="B188" s="134"/>
      <c r="C188" s="318" t="s">
        <v>1041</v>
      </c>
      <c r="D188" s="1243"/>
      <c r="E188" s="1139"/>
      <c r="F188" s="1202"/>
      <c r="G188" s="1220"/>
      <c r="H188" s="527"/>
      <c r="I188" s="168" t="s">
        <v>1040</v>
      </c>
      <c r="J188" s="199"/>
      <c r="K188" s="527"/>
      <c r="L188" s="729"/>
      <c r="M188" s="735"/>
      <c r="N188" s="603"/>
      <c r="O188" s="121"/>
      <c r="P188" s="121"/>
    </row>
    <row r="189" spans="1:16" s="46" customFormat="1" ht="0.75" hidden="1" customHeight="1">
      <c r="A189" s="134"/>
      <c r="B189" s="134"/>
      <c r="C189" s="318" t="s">
        <v>1048</v>
      </c>
      <c r="D189" s="1243"/>
      <c r="E189" s="1139"/>
      <c r="F189" s="1202"/>
      <c r="G189" s="746"/>
      <c r="H189" s="527"/>
      <c r="I189" s="168"/>
      <c r="J189" s="199"/>
      <c r="K189" s="527"/>
      <c r="L189" s="729"/>
      <c r="M189" s="735"/>
      <c r="N189" s="603"/>
      <c r="O189" s="121"/>
      <c r="P189" s="121"/>
    </row>
    <row r="190" spans="1:16" s="46" customFormat="1" ht="18.75" hidden="1" customHeight="1">
      <c r="A190" s="134" t="s">
        <v>249</v>
      </c>
      <c r="B190" s="134" t="s">
        <v>250</v>
      </c>
      <c r="C190" s="318"/>
      <c r="D190" s="1243"/>
      <c r="E190" s="1139"/>
      <c r="F190" s="1202" t="str">
        <f>INDEX(PT_DIFFERENTIATION_VTAR,MATCH(A190,PT_DIFFERENTIATION_VTAR_ID,0))</f>
        <v>Тариф на водоотведение</v>
      </c>
      <c r="G190" s="1220" t="str">
        <f>INDEX(PT_DIFFERENTIATION_NTAR,MATCH(B190,PT_DIFFERENTIATION_NTAR_ID,0))</f>
        <v>Водоотведение</v>
      </c>
      <c r="H190" s="337"/>
      <c r="I190" s="741"/>
      <c r="J190" s="742"/>
      <c r="K190" s="350"/>
      <c r="L190" s="337" t="s">
        <v>293</v>
      </c>
      <c r="M190" s="735"/>
      <c r="N190" s="603"/>
      <c r="O190" s="121"/>
      <c r="P190" s="121"/>
    </row>
    <row r="191" spans="1:16" s="46" customFormat="1" ht="18.75" hidden="1" customHeight="1">
      <c r="A191" s="134"/>
      <c r="B191" s="134"/>
      <c r="C191" s="318" t="s">
        <v>1041</v>
      </c>
      <c r="D191" s="1243"/>
      <c r="E191" s="1139"/>
      <c r="F191" s="1202"/>
      <c r="G191" s="1220"/>
      <c r="H191" s="527"/>
      <c r="I191" s="168" t="s">
        <v>1040</v>
      </c>
      <c r="J191" s="199"/>
      <c r="K191" s="527"/>
      <c r="L191" s="729"/>
      <c r="M191" s="735"/>
      <c r="N191" s="603"/>
      <c r="O191" s="121"/>
      <c r="P191" s="121"/>
    </row>
    <row r="192" spans="1:16" s="46" customFormat="1" ht="0.75" hidden="1" customHeight="1">
      <c r="A192" s="134"/>
      <c r="B192" s="134"/>
      <c r="C192" s="318" t="s">
        <v>1048</v>
      </c>
      <c r="D192" s="1243"/>
      <c r="E192" s="1139"/>
      <c r="F192" s="1202"/>
      <c r="G192" s="746"/>
      <c r="H192" s="527"/>
      <c r="I192" s="168"/>
      <c r="J192" s="199"/>
      <c r="K192" s="527"/>
      <c r="L192" s="729"/>
      <c r="M192" s="735"/>
      <c r="N192" s="603"/>
      <c r="O192" s="121"/>
      <c r="P192" s="121"/>
    </row>
    <row r="193" spans="1:16" s="46" customFormat="1" ht="18.75" hidden="1" customHeight="1">
      <c r="A193" s="134" t="s">
        <v>257</v>
      </c>
      <c r="B193" s="134" t="s">
        <v>258</v>
      </c>
      <c r="C193" s="318"/>
      <c r="D193" s="1243"/>
      <c r="E193" s="1139"/>
      <c r="F193" s="1202" t="str">
        <f>INDEX(PT_DIFFERENTIATION_VTAR,MATCH(A193,PT_DIFFERENTIATION_VTAR_ID,0))</f>
        <v>Тариф на транспортировку сточных вод</v>
      </c>
      <c r="G193" s="1220" t="str">
        <f>INDEX(PT_DIFFERENTIATION_NTAR,MATCH(B193,PT_DIFFERENTIATION_NTAR_ID,0))</f>
        <v/>
      </c>
      <c r="H193" s="337"/>
      <c r="I193" s="741"/>
      <c r="J193" s="742"/>
      <c r="K193" s="350"/>
      <c r="L193" s="337" t="s">
        <v>293</v>
      </c>
      <c r="M193" s="735"/>
      <c r="N193" s="603"/>
      <c r="O193" s="121"/>
      <c r="P193" s="121"/>
    </row>
    <row r="194" spans="1:16" s="46" customFormat="1" ht="18.75" hidden="1" customHeight="1">
      <c r="A194" s="134"/>
      <c r="B194" s="134"/>
      <c r="C194" s="318" t="s">
        <v>1041</v>
      </c>
      <c r="D194" s="1243"/>
      <c r="E194" s="1139"/>
      <c r="F194" s="1202"/>
      <c r="G194" s="1220"/>
      <c r="H194" s="527"/>
      <c r="I194" s="168" t="s">
        <v>1040</v>
      </c>
      <c r="J194" s="199"/>
      <c r="K194" s="527"/>
      <c r="L194" s="729"/>
      <c r="M194" s="735"/>
      <c r="N194" s="603"/>
      <c r="O194" s="121"/>
      <c r="P194" s="121"/>
    </row>
    <row r="195" spans="1:16" s="46" customFormat="1" ht="0.75" hidden="1" customHeight="1">
      <c r="A195" s="134"/>
      <c r="B195" s="134"/>
      <c r="C195" s="318" t="s">
        <v>1048</v>
      </c>
      <c r="D195" s="1243"/>
      <c r="E195" s="1139"/>
      <c r="F195" s="1202"/>
      <c r="G195" s="746"/>
      <c r="H195" s="527"/>
      <c r="I195" s="168"/>
      <c r="J195" s="199"/>
      <c r="K195" s="527"/>
      <c r="L195" s="729"/>
      <c r="M195" s="735"/>
      <c r="N195" s="603"/>
      <c r="O195" s="121"/>
      <c r="P195" s="121"/>
    </row>
    <row r="196" spans="1:16" s="46" customFormat="1" ht="18.75" hidden="1" customHeight="1">
      <c r="A196" s="134" t="s">
        <v>262</v>
      </c>
      <c r="B196" s="134" t="s">
        <v>263</v>
      </c>
      <c r="C196" s="318"/>
      <c r="D196" s="1243"/>
      <c r="E196" s="1139"/>
      <c r="F196" s="1202" t="str">
        <f>INDEX(PT_DIFFERENTIATION_VTAR,MATCH(A196,PT_DIFFERENTIATION_VTAR_ID,0))</f>
        <v>Тариф на подключение (технологическое присоединение) к централизованной системе водоотведения</v>
      </c>
      <c r="G196" s="1220" t="str">
        <f>INDEX(PT_DIFFERENTIATION_NTAR,MATCH(B196,PT_DIFFERENTIATION_NTAR_ID,0))</f>
        <v/>
      </c>
      <c r="H196" s="337"/>
      <c r="I196" s="741"/>
      <c r="J196" s="742"/>
      <c r="K196" s="350"/>
      <c r="L196" s="337" t="s">
        <v>293</v>
      </c>
      <c r="M196" s="735"/>
      <c r="N196" s="603"/>
      <c r="O196" s="121"/>
      <c r="P196" s="121"/>
    </row>
    <row r="197" spans="1:16" s="46" customFormat="1" ht="18.75" hidden="1" customHeight="1">
      <c r="A197" s="134"/>
      <c r="B197" s="134"/>
      <c r="C197" s="318" t="s">
        <v>1041</v>
      </c>
      <c r="D197" s="1243"/>
      <c r="E197" s="1139"/>
      <c r="F197" s="1202"/>
      <c r="G197" s="1220"/>
      <c r="H197" s="527"/>
      <c r="I197" s="168" t="s">
        <v>1040</v>
      </c>
      <c r="J197" s="199"/>
      <c r="K197" s="527"/>
      <c r="L197" s="729"/>
      <c r="M197" s="735"/>
      <c r="N197" s="603"/>
      <c r="O197" s="121"/>
      <c r="P197" s="121"/>
    </row>
    <row r="198" spans="1:16" s="46" customFormat="1" ht="0.75" customHeight="1">
      <c r="A198" s="134"/>
      <c r="B198" s="134"/>
      <c r="C198" s="318" t="s">
        <v>1048</v>
      </c>
      <c r="D198" s="1243"/>
      <c r="E198" s="1139"/>
      <c r="F198" s="1202"/>
      <c r="G198" s="746"/>
      <c r="H198" s="527"/>
      <c r="I198" s="168"/>
      <c r="J198" s="199"/>
      <c r="K198" s="527"/>
      <c r="L198" s="729"/>
      <c r="M198" s="735"/>
      <c r="N198" s="603"/>
      <c r="O198" s="121"/>
      <c r="P198" s="121"/>
    </row>
    <row r="199" spans="1:16" ht="26.25" customHeight="1">
      <c r="A199" s="134"/>
      <c r="B199" s="134"/>
      <c r="D199" s="437"/>
      <c r="E199" s="274" t="s">
        <v>107</v>
      </c>
      <c r="F199" s="12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1236"/>
      <c r="H199" s="1236"/>
      <c r="I199" s="1236"/>
      <c r="J199" s="1236"/>
      <c r="K199" s="1236"/>
      <c r="L199" s="1236"/>
      <c r="M199" s="718"/>
      <c r="N199" s="603"/>
    </row>
    <row r="200" spans="1:16" s="46" customFormat="1" ht="60.75" hidden="1" customHeight="1">
      <c r="A200" s="134" t="s">
        <v>151</v>
      </c>
      <c r="B200" s="134" t="s">
        <v>152</v>
      </c>
      <c r="C200" s="318"/>
      <c r="D200" s="1243"/>
      <c r="E200" s="1139"/>
      <c r="F200" s="1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220" t="str">
        <f>INDEX(PT_DIFFERENTIATION_NTAR,MATCH(B200,PT_DIFFERENTIATION_NTAR_ID,0))</f>
        <v/>
      </c>
      <c r="H200" s="337"/>
      <c r="I200" s="741"/>
      <c r="J200" s="742"/>
      <c r="K200" s="350"/>
      <c r="L200" s="337" t="s">
        <v>293</v>
      </c>
      <c r="M200" s="1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603"/>
      <c r="O200" s="121"/>
      <c r="P200" s="121"/>
    </row>
    <row r="201" spans="1:16" s="46" customFormat="1" ht="18.75" hidden="1" customHeight="1">
      <c r="A201" s="134"/>
      <c r="B201" s="134"/>
      <c r="C201" s="318" t="s">
        <v>1041</v>
      </c>
      <c r="D201" s="1243"/>
      <c r="E201" s="1139"/>
      <c r="F201" s="1202"/>
      <c r="G201" s="1220"/>
      <c r="H201" s="527"/>
      <c r="I201" s="168" t="s">
        <v>1040</v>
      </c>
      <c r="J201" s="199"/>
      <c r="K201" s="527"/>
      <c r="L201" s="729"/>
      <c r="M201" s="1111"/>
      <c r="N201" s="603"/>
      <c r="O201" s="121"/>
      <c r="P201" s="121"/>
    </row>
    <row r="202" spans="1:16" s="46" customFormat="1" ht="0.75" hidden="1" customHeight="1">
      <c r="A202" s="134"/>
      <c r="B202" s="134"/>
      <c r="C202" s="318" t="s">
        <v>1048</v>
      </c>
      <c r="D202" s="1243"/>
      <c r="E202" s="1139"/>
      <c r="F202" s="1202"/>
      <c r="G202" s="746"/>
      <c r="H202" s="527"/>
      <c r="I202" s="168"/>
      <c r="J202" s="199"/>
      <c r="K202" s="527"/>
      <c r="L202" s="729"/>
      <c r="M202" s="1111"/>
      <c r="N202" s="603"/>
      <c r="O202" s="121"/>
      <c r="P202" s="121"/>
    </row>
    <row r="203" spans="1:16" s="46" customFormat="1" ht="45" hidden="1" customHeight="1">
      <c r="A203" s="134" t="s">
        <v>157</v>
      </c>
      <c r="B203" s="134" t="s">
        <v>158</v>
      </c>
      <c r="C203" s="318"/>
      <c r="D203" s="1243"/>
      <c r="E203" s="1139"/>
      <c r="F203" s="1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220" t="str">
        <f>INDEX(PT_DIFFERENTIATION_NTAR,MATCH(B203,PT_DIFFERENTIATION_NTAR_ID,0))</f>
        <v/>
      </c>
      <c r="H203" s="337"/>
      <c r="I203" s="741"/>
      <c r="J203" s="742"/>
      <c r="K203" s="350"/>
      <c r="L203" s="337" t="s">
        <v>293</v>
      </c>
      <c r="M203" s="1111"/>
      <c r="N203" s="603"/>
      <c r="O203" s="121"/>
      <c r="P203" s="121"/>
    </row>
    <row r="204" spans="1:16" s="46" customFormat="1" ht="18.75" hidden="1" customHeight="1">
      <c r="A204" s="134"/>
      <c r="B204" s="134"/>
      <c r="C204" s="318" t="s">
        <v>1041</v>
      </c>
      <c r="D204" s="1243"/>
      <c r="E204" s="1139"/>
      <c r="F204" s="1202"/>
      <c r="G204" s="1220"/>
      <c r="H204" s="527"/>
      <c r="I204" s="168" t="s">
        <v>1040</v>
      </c>
      <c r="J204" s="199"/>
      <c r="K204" s="527"/>
      <c r="L204" s="729"/>
      <c r="M204" s="748"/>
      <c r="N204" s="603"/>
      <c r="O204" s="121"/>
      <c r="P204" s="121"/>
    </row>
    <row r="205" spans="1:16" s="46" customFormat="1" ht="0.75" hidden="1" customHeight="1">
      <c r="A205" s="134"/>
      <c r="B205" s="134"/>
      <c r="C205" s="318" t="s">
        <v>1048</v>
      </c>
      <c r="D205" s="1243"/>
      <c r="E205" s="1139"/>
      <c r="F205" s="1202"/>
      <c r="G205" s="746"/>
      <c r="H205" s="527"/>
      <c r="I205" s="168"/>
      <c r="J205" s="199"/>
      <c r="K205" s="527"/>
      <c r="L205" s="729"/>
      <c r="M205" s="735"/>
      <c r="N205" s="603"/>
      <c r="O205" s="121"/>
      <c r="P205" s="121"/>
    </row>
    <row r="206" spans="1:16" s="46" customFormat="1" ht="45" hidden="1" customHeight="1">
      <c r="A206" s="134" t="s">
        <v>163</v>
      </c>
      <c r="B206" s="134" t="s">
        <v>164</v>
      </c>
      <c r="C206" s="318"/>
      <c r="D206" s="1243"/>
      <c r="E206" s="1139"/>
      <c r="F206" s="1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220" t="str">
        <f>INDEX(PT_DIFFERENTIATION_NTAR,MATCH(B206,PT_DIFFERENTIATION_NTAR_ID,0))</f>
        <v/>
      </c>
      <c r="H206" s="337"/>
      <c r="I206" s="741"/>
      <c r="J206" s="742"/>
      <c r="K206" s="350"/>
      <c r="L206" s="337" t="s">
        <v>293</v>
      </c>
      <c r="M206" s="735"/>
      <c r="N206" s="603"/>
      <c r="O206" s="121"/>
      <c r="P206" s="121"/>
    </row>
    <row r="207" spans="1:16" s="46" customFormat="1" ht="18.75" hidden="1" customHeight="1">
      <c r="A207" s="134"/>
      <c r="B207" s="134"/>
      <c r="C207" s="318" t="s">
        <v>1041</v>
      </c>
      <c r="D207" s="1243"/>
      <c r="E207" s="1139"/>
      <c r="F207" s="1202"/>
      <c r="G207" s="1220"/>
      <c r="H207" s="527"/>
      <c r="I207" s="168" t="s">
        <v>1040</v>
      </c>
      <c r="J207" s="199"/>
      <c r="K207" s="527"/>
      <c r="L207" s="729"/>
      <c r="M207" s="735"/>
      <c r="N207" s="603"/>
      <c r="O207" s="121"/>
      <c r="P207" s="121"/>
    </row>
    <row r="208" spans="1:16" s="46" customFormat="1" ht="0.75" hidden="1" customHeight="1">
      <c r="A208" s="134"/>
      <c r="B208" s="134"/>
      <c r="C208" s="318" t="s">
        <v>1048</v>
      </c>
      <c r="D208" s="1243"/>
      <c r="E208" s="1139"/>
      <c r="F208" s="1202"/>
      <c r="G208" s="746"/>
      <c r="H208" s="527"/>
      <c r="I208" s="168"/>
      <c r="J208" s="199"/>
      <c r="K208" s="527"/>
      <c r="L208" s="729"/>
      <c r="M208" s="735"/>
      <c r="N208" s="603"/>
      <c r="O208" s="121"/>
      <c r="P208" s="121"/>
    </row>
    <row r="209" spans="1:16" s="46" customFormat="1" ht="45" hidden="1" customHeight="1">
      <c r="A209" s="134" t="s">
        <v>169</v>
      </c>
      <c r="B209" s="134" t="s">
        <v>170</v>
      </c>
      <c r="C209" s="318"/>
      <c r="D209" s="1243"/>
      <c r="E209" s="1139"/>
      <c r="F209" s="1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220" t="str">
        <f>INDEX(PT_DIFFERENTIATION_NTAR,MATCH(B209,PT_DIFFERENTIATION_NTAR_ID,0))</f>
        <v/>
      </c>
      <c r="H209" s="337"/>
      <c r="I209" s="741"/>
      <c r="J209" s="742"/>
      <c r="K209" s="350"/>
      <c r="L209" s="337" t="s">
        <v>293</v>
      </c>
      <c r="M209" s="735"/>
      <c r="N209" s="603"/>
      <c r="O209" s="121"/>
      <c r="P209" s="121"/>
    </row>
    <row r="210" spans="1:16" s="46" customFormat="1" ht="18.75" hidden="1" customHeight="1">
      <c r="A210" s="134"/>
      <c r="B210" s="134"/>
      <c r="C210" s="318" t="s">
        <v>1041</v>
      </c>
      <c r="D210" s="1243"/>
      <c r="E210" s="1139"/>
      <c r="F210" s="1202"/>
      <c r="G210" s="1220"/>
      <c r="H210" s="527"/>
      <c r="I210" s="168" t="s">
        <v>1040</v>
      </c>
      <c r="J210" s="199"/>
      <c r="K210" s="527"/>
      <c r="L210" s="729"/>
      <c r="M210" s="735"/>
      <c r="N210" s="603"/>
      <c r="O210" s="121"/>
      <c r="P210" s="121"/>
    </row>
    <row r="211" spans="1:16" s="46" customFormat="1" ht="0.75" hidden="1" customHeight="1">
      <c r="A211" s="134"/>
      <c r="B211" s="134"/>
      <c r="C211" s="318" t="s">
        <v>1048</v>
      </c>
      <c r="D211" s="1243"/>
      <c r="E211" s="1139"/>
      <c r="F211" s="1202"/>
      <c r="G211" s="746"/>
      <c r="H211" s="527"/>
      <c r="I211" s="168"/>
      <c r="J211" s="199"/>
      <c r="K211" s="527"/>
      <c r="L211" s="729"/>
      <c r="M211" s="735"/>
      <c r="N211" s="603"/>
      <c r="O211" s="121"/>
      <c r="P211" s="121"/>
    </row>
    <row r="212" spans="1:16" s="46" customFormat="1" ht="18.75" hidden="1" customHeight="1">
      <c r="A212" s="134" t="s">
        <v>175</v>
      </c>
      <c r="B212" s="134" t="s">
        <v>176</v>
      </c>
      <c r="C212" s="318"/>
      <c r="D212" s="1243"/>
      <c r="E212" s="1139"/>
      <c r="F212" s="1202" t="str">
        <f>INDEX(PT_DIFFERENTIATION_VTAR,MATCH(A212,PT_DIFFERENTIATION_VTAR_ID,0))</f>
        <v>Тарифы на услуги по передаче тепловой энергии</v>
      </c>
      <c r="G212" s="1220" t="str">
        <f>INDEX(PT_DIFFERENTIATION_NTAR,MATCH(B212,PT_DIFFERENTIATION_NTAR_ID,0))</f>
        <v/>
      </c>
      <c r="H212" s="337"/>
      <c r="I212" s="741"/>
      <c r="J212" s="742"/>
      <c r="K212" s="350"/>
      <c r="L212" s="337" t="s">
        <v>293</v>
      </c>
      <c r="M212" s="735"/>
      <c r="N212" s="603"/>
      <c r="O212" s="121"/>
      <c r="P212" s="121"/>
    </row>
    <row r="213" spans="1:16" s="46" customFormat="1" ht="18.75" hidden="1" customHeight="1">
      <c r="A213" s="134"/>
      <c r="B213" s="134"/>
      <c r="C213" s="318" t="s">
        <v>1041</v>
      </c>
      <c r="D213" s="1243"/>
      <c r="E213" s="1139"/>
      <c r="F213" s="1202"/>
      <c r="G213" s="1220"/>
      <c r="H213" s="527"/>
      <c r="I213" s="168" t="s">
        <v>1040</v>
      </c>
      <c r="J213" s="199"/>
      <c r="K213" s="527"/>
      <c r="L213" s="729"/>
      <c r="M213" s="735"/>
      <c r="N213" s="603"/>
      <c r="O213" s="121"/>
      <c r="P213" s="121"/>
    </row>
    <row r="214" spans="1:16" s="46" customFormat="1" ht="0.75" hidden="1" customHeight="1">
      <c r="A214" s="134"/>
      <c r="B214" s="134"/>
      <c r="C214" s="318" t="s">
        <v>1048</v>
      </c>
      <c r="D214" s="1243"/>
      <c r="E214" s="1139"/>
      <c r="F214" s="1202"/>
      <c r="G214" s="746"/>
      <c r="H214" s="527"/>
      <c r="I214" s="168"/>
      <c r="J214" s="199"/>
      <c r="K214" s="527"/>
      <c r="L214" s="729"/>
      <c r="M214" s="735"/>
      <c r="N214" s="603"/>
      <c r="O214" s="121"/>
      <c r="P214" s="121"/>
    </row>
    <row r="215" spans="1:16" s="46" customFormat="1" ht="18.75" hidden="1" customHeight="1">
      <c r="A215" s="134" t="s">
        <v>181</v>
      </c>
      <c r="B215" s="134" t="s">
        <v>182</v>
      </c>
      <c r="C215" s="318"/>
      <c r="D215" s="1243"/>
      <c r="E215" s="1139"/>
      <c r="F215" s="1202" t="str">
        <f>INDEX(PT_DIFFERENTIATION_VTAR,MATCH(A215,PT_DIFFERENTIATION_VTAR_ID,0))</f>
        <v>Тарифы на услуги по передаче теплоносителя</v>
      </c>
      <c r="G215" s="1220" t="str">
        <f>INDEX(PT_DIFFERENTIATION_NTAR,MATCH(B215,PT_DIFFERENTIATION_NTAR_ID,0))</f>
        <v/>
      </c>
      <c r="H215" s="337"/>
      <c r="I215" s="741"/>
      <c r="J215" s="742"/>
      <c r="K215" s="350"/>
      <c r="L215" s="337" t="s">
        <v>293</v>
      </c>
      <c r="M215" s="735"/>
      <c r="N215" s="603"/>
      <c r="O215" s="121"/>
      <c r="P215" s="121"/>
    </row>
    <row r="216" spans="1:16" s="46" customFormat="1" ht="18.75" hidden="1" customHeight="1">
      <c r="A216" s="134"/>
      <c r="B216" s="134"/>
      <c r="C216" s="318" t="s">
        <v>1041</v>
      </c>
      <c r="D216" s="1243"/>
      <c r="E216" s="1139"/>
      <c r="F216" s="1202"/>
      <c r="G216" s="1220"/>
      <c r="H216" s="527"/>
      <c r="I216" s="168" t="s">
        <v>1040</v>
      </c>
      <c r="J216" s="199"/>
      <c r="K216" s="527"/>
      <c r="L216" s="729"/>
      <c r="M216" s="735"/>
      <c r="N216" s="603"/>
      <c r="O216" s="121"/>
      <c r="P216" s="121"/>
    </row>
    <row r="217" spans="1:16" s="46" customFormat="1" ht="0.75" hidden="1" customHeight="1">
      <c r="A217" s="134"/>
      <c r="B217" s="134"/>
      <c r="C217" s="318" t="s">
        <v>1048</v>
      </c>
      <c r="D217" s="1243"/>
      <c r="E217" s="1139"/>
      <c r="F217" s="1202"/>
      <c r="G217" s="746"/>
      <c r="H217" s="527"/>
      <c r="I217" s="168"/>
      <c r="J217" s="199"/>
      <c r="K217" s="527"/>
      <c r="L217" s="729"/>
      <c r="M217" s="735"/>
      <c r="N217" s="603"/>
      <c r="O217" s="121"/>
      <c r="P217" s="121"/>
    </row>
    <row r="218" spans="1:16" s="46" customFormat="1" ht="18.75" hidden="1" customHeight="1">
      <c r="A218" s="134" t="s">
        <v>187</v>
      </c>
      <c r="B218" s="134" t="s">
        <v>188</v>
      </c>
      <c r="C218" s="318"/>
      <c r="D218" s="1243"/>
      <c r="E218" s="1139"/>
      <c r="F218" s="1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220" t="str">
        <f>INDEX(PT_DIFFERENTIATION_NTAR,MATCH(B218,PT_DIFFERENTIATION_NTAR_ID,0))</f>
        <v/>
      </c>
      <c r="H218" s="337"/>
      <c r="I218" s="741"/>
      <c r="J218" s="742"/>
      <c r="K218" s="350"/>
      <c r="L218" s="337" t="s">
        <v>293</v>
      </c>
      <c r="M218" s="735"/>
      <c r="N218" s="603"/>
      <c r="O218" s="121"/>
      <c r="P218" s="121"/>
    </row>
    <row r="219" spans="1:16" s="46" customFormat="1" ht="18.75" hidden="1" customHeight="1">
      <c r="A219" s="134"/>
      <c r="B219" s="134"/>
      <c r="C219" s="318" t="s">
        <v>1041</v>
      </c>
      <c r="D219" s="1243"/>
      <c r="E219" s="1139"/>
      <c r="F219" s="1202"/>
      <c r="G219" s="1220"/>
      <c r="H219" s="527"/>
      <c r="I219" s="168" t="s">
        <v>1040</v>
      </c>
      <c r="J219" s="199"/>
      <c r="K219" s="527"/>
      <c r="L219" s="729"/>
      <c r="M219" s="735"/>
      <c r="N219" s="603"/>
      <c r="O219" s="121"/>
      <c r="P219" s="121"/>
    </row>
    <row r="220" spans="1:16" s="46" customFormat="1" ht="0.75" hidden="1" customHeight="1">
      <c r="A220" s="134"/>
      <c r="B220" s="134"/>
      <c r="C220" s="318" t="s">
        <v>1048</v>
      </c>
      <c r="D220" s="1243"/>
      <c r="E220" s="1139"/>
      <c r="F220" s="1202"/>
      <c r="G220" s="746"/>
      <c r="H220" s="527"/>
      <c r="I220" s="168"/>
      <c r="J220" s="199"/>
      <c r="K220" s="527"/>
      <c r="L220" s="729"/>
      <c r="M220" s="735"/>
      <c r="N220" s="603"/>
      <c r="O220" s="121"/>
      <c r="P220" s="121"/>
    </row>
    <row r="221" spans="1:16" s="46" customFormat="1" ht="18.75" hidden="1" customHeight="1">
      <c r="A221" s="134" t="s">
        <v>193</v>
      </c>
      <c r="B221" s="134" t="s">
        <v>194</v>
      </c>
      <c r="C221" s="318"/>
      <c r="D221" s="1243"/>
      <c r="E221" s="1139"/>
      <c r="F221" s="1202" t="str">
        <f>INDEX(PT_DIFFERENTIATION_VTAR,MATCH(A221,PT_DIFFERENTIATION_VTAR_ID,0))</f>
        <v>Плата за подключение (технологическое присоединение) к системе теплоснабжения</v>
      </c>
      <c r="G221" s="1220" t="str">
        <f>INDEX(PT_DIFFERENTIATION_NTAR,MATCH(B221,PT_DIFFERENTIATION_NTAR_ID,0))</f>
        <v/>
      </c>
      <c r="H221" s="337"/>
      <c r="I221" s="741"/>
      <c r="J221" s="742"/>
      <c r="K221" s="350"/>
      <c r="L221" s="337" t="s">
        <v>293</v>
      </c>
      <c r="M221" s="735"/>
      <c r="N221" s="603"/>
      <c r="O221" s="121"/>
      <c r="P221" s="121"/>
    </row>
    <row r="222" spans="1:16" s="46" customFormat="1" ht="18.75" hidden="1" customHeight="1">
      <c r="A222" s="134"/>
      <c r="B222" s="134"/>
      <c r="C222" s="318" t="s">
        <v>1041</v>
      </c>
      <c r="D222" s="1243"/>
      <c r="E222" s="1139"/>
      <c r="F222" s="1202"/>
      <c r="G222" s="1220"/>
      <c r="H222" s="527"/>
      <c r="I222" s="168" t="s">
        <v>1040</v>
      </c>
      <c r="J222" s="199"/>
      <c r="K222" s="527"/>
      <c r="L222" s="729"/>
      <c r="M222" s="735"/>
      <c r="N222" s="603"/>
      <c r="O222" s="121"/>
      <c r="P222" s="121"/>
    </row>
    <row r="223" spans="1:16" s="46" customFormat="1" ht="0.75" hidden="1" customHeight="1">
      <c r="A223" s="134"/>
      <c r="B223" s="134"/>
      <c r="C223" s="318" t="s">
        <v>1048</v>
      </c>
      <c r="D223" s="1243"/>
      <c r="E223" s="1139"/>
      <c r="F223" s="1202"/>
      <c r="G223" s="746"/>
      <c r="H223" s="527"/>
      <c r="I223" s="168"/>
      <c r="J223" s="199"/>
      <c r="K223" s="527"/>
      <c r="L223" s="729"/>
      <c r="M223" s="735"/>
      <c r="N223" s="603"/>
      <c r="O223" s="121"/>
      <c r="P223" s="121"/>
    </row>
    <row r="224" spans="1:16" s="46" customFormat="1" ht="18.75" hidden="1" customHeight="1">
      <c r="A224" s="134" t="s">
        <v>207</v>
      </c>
      <c r="B224" s="134" t="s">
        <v>208</v>
      </c>
      <c r="C224" s="318"/>
      <c r="D224" s="1243"/>
      <c r="E224" s="1139"/>
      <c r="F224" s="1202" t="str">
        <f>INDEX(PT_DIFFERENTIATION_VTAR,MATCH(A224,PT_DIFFERENTIATION_VTAR_ID,0))</f>
        <v>Тариф на питьевую воду (питьевое водоснабжение)</v>
      </c>
      <c r="G224" s="1220" t="str">
        <f>INDEX(PT_DIFFERENTIATION_NTAR,MATCH(B224,PT_DIFFERENTIATION_NTAR_ID,0))</f>
        <v/>
      </c>
      <c r="H224" s="337"/>
      <c r="I224" s="741"/>
      <c r="J224" s="742"/>
      <c r="K224" s="350"/>
      <c r="L224" s="337" t="s">
        <v>293</v>
      </c>
      <c r="M224" s="735"/>
      <c r="N224" s="603"/>
      <c r="O224" s="121"/>
      <c r="P224" s="121"/>
    </row>
    <row r="225" spans="1:16" s="46" customFormat="1" ht="18.75" hidden="1" customHeight="1">
      <c r="A225" s="134"/>
      <c r="B225" s="134"/>
      <c r="C225" s="318" t="s">
        <v>1041</v>
      </c>
      <c r="D225" s="1243"/>
      <c r="E225" s="1139"/>
      <c r="F225" s="1202"/>
      <c r="G225" s="1220"/>
      <c r="H225" s="527"/>
      <c r="I225" s="168" t="s">
        <v>1040</v>
      </c>
      <c r="J225" s="199"/>
      <c r="K225" s="527"/>
      <c r="L225" s="729"/>
      <c r="M225" s="735"/>
      <c r="N225" s="603"/>
      <c r="O225" s="121"/>
      <c r="P225" s="121"/>
    </row>
    <row r="226" spans="1:16" s="46" customFormat="1" ht="0.75" hidden="1" customHeight="1">
      <c r="A226" s="134"/>
      <c r="B226" s="134"/>
      <c r="C226" s="318" t="s">
        <v>1048</v>
      </c>
      <c r="D226" s="1243"/>
      <c r="E226" s="1139"/>
      <c r="F226" s="1202"/>
      <c r="G226" s="746"/>
      <c r="H226" s="527"/>
      <c r="I226" s="168"/>
      <c r="J226" s="199"/>
      <c r="K226" s="527"/>
      <c r="L226" s="729"/>
      <c r="M226" s="735"/>
      <c r="N226" s="603"/>
      <c r="O226" s="121"/>
      <c r="P226" s="121"/>
    </row>
    <row r="227" spans="1:16" s="46" customFormat="1" ht="18.75" hidden="1" customHeight="1">
      <c r="A227" s="134" t="s">
        <v>212</v>
      </c>
      <c r="B227" s="134" t="s">
        <v>213</v>
      </c>
      <c r="C227" s="318"/>
      <c r="D227" s="1243"/>
      <c r="E227" s="1139"/>
      <c r="F227" s="1202" t="str">
        <f>INDEX(PT_DIFFERENTIATION_VTAR,MATCH(A227,PT_DIFFERENTIATION_VTAR_ID,0))</f>
        <v>Тариф на техническую воду</v>
      </c>
      <c r="G227" s="1220" t="str">
        <f>INDEX(PT_DIFFERENTIATION_NTAR,MATCH(B227,PT_DIFFERENTIATION_NTAR_ID,0))</f>
        <v/>
      </c>
      <c r="H227" s="337"/>
      <c r="I227" s="741"/>
      <c r="J227" s="742"/>
      <c r="K227" s="350"/>
      <c r="L227" s="337" t="s">
        <v>293</v>
      </c>
      <c r="M227" s="735"/>
      <c r="N227" s="603"/>
      <c r="O227" s="121"/>
      <c r="P227" s="121"/>
    </row>
    <row r="228" spans="1:16" s="46" customFormat="1" ht="18.75" hidden="1" customHeight="1">
      <c r="A228" s="134"/>
      <c r="B228" s="134"/>
      <c r="C228" s="318" t="s">
        <v>1041</v>
      </c>
      <c r="D228" s="1243"/>
      <c r="E228" s="1139"/>
      <c r="F228" s="1202"/>
      <c r="G228" s="1220"/>
      <c r="H228" s="527"/>
      <c r="I228" s="168" t="s">
        <v>1040</v>
      </c>
      <c r="J228" s="199"/>
      <c r="K228" s="527"/>
      <c r="L228" s="729"/>
      <c r="M228" s="735"/>
      <c r="N228" s="603"/>
      <c r="O228" s="121"/>
      <c r="P228" s="121"/>
    </row>
    <row r="229" spans="1:16" s="46" customFormat="1" ht="0.75" hidden="1" customHeight="1">
      <c r="A229" s="134"/>
      <c r="B229" s="134"/>
      <c r="C229" s="318" t="s">
        <v>1048</v>
      </c>
      <c r="D229" s="1243"/>
      <c r="E229" s="1139"/>
      <c r="F229" s="1202"/>
      <c r="G229" s="746"/>
      <c r="H229" s="527"/>
      <c r="I229" s="168"/>
      <c r="J229" s="199"/>
      <c r="K229" s="527"/>
      <c r="L229" s="729"/>
      <c r="M229" s="735"/>
      <c r="N229" s="603"/>
      <c r="O229" s="121"/>
      <c r="P229" s="121"/>
    </row>
    <row r="230" spans="1:16" s="46" customFormat="1" ht="18.75" hidden="1" customHeight="1">
      <c r="A230" s="134" t="s">
        <v>217</v>
      </c>
      <c r="B230" s="134" t="s">
        <v>218</v>
      </c>
      <c r="C230" s="318"/>
      <c r="D230" s="1243"/>
      <c r="E230" s="1139"/>
      <c r="F230" s="1202" t="str">
        <f>INDEX(PT_DIFFERENTIATION_VTAR,MATCH(A230,PT_DIFFERENTIATION_VTAR_ID,0))</f>
        <v>Тариф на транспортировку воды</v>
      </c>
      <c r="G230" s="1220" t="str">
        <f>INDEX(PT_DIFFERENTIATION_NTAR,MATCH(B230,PT_DIFFERENTIATION_NTAR_ID,0))</f>
        <v/>
      </c>
      <c r="H230" s="337"/>
      <c r="I230" s="741"/>
      <c r="J230" s="742"/>
      <c r="K230" s="350"/>
      <c r="L230" s="337" t="s">
        <v>293</v>
      </c>
      <c r="M230" s="735"/>
      <c r="N230" s="603"/>
      <c r="O230" s="121"/>
      <c r="P230" s="121"/>
    </row>
    <row r="231" spans="1:16" s="46" customFormat="1" ht="18.75" hidden="1" customHeight="1">
      <c r="A231" s="134"/>
      <c r="B231" s="134"/>
      <c r="C231" s="318" t="s">
        <v>1041</v>
      </c>
      <c r="D231" s="1243"/>
      <c r="E231" s="1139"/>
      <c r="F231" s="1202"/>
      <c r="G231" s="1220"/>
      <c r="H231" s="527"/>
      <c r="I231" s="168" t="s">
        <v>1040</v>
      </c>
      <c r="J231" s="199"/>
      <c r="K231" s="527"/>
      <c r="L231" s="729"/>
      <c r="M231" s="735"/>
      <c r="N231" s="603"/>
      <c r="O231" s="121"/>
      <c r="P231" s="121"/>
    </row>
    <row r="232" spans="1:16" s="46" customFormat="1" ht="0.75" hidden="1" customHeight="1">
      <c r="A232" s="134"/>
      <c r="B232" s="134"/>
      <c r="C232" s="318" t="s">
        <v>1048</v>
      </c>
      <c r="D232" s="1243"/>
      <c r="E232" s="1139"/>
      <c r="F232" s="1202"/>
      <c r="G232" s="746"/>
      <c r="H232" s="527"/>
      <c r="I232" s="168"/>
      <c r="J232" s="199"/>
      <c r="K232" s="527"/>
      <c r="L232" s="729"/>
      <c r="M232" s="735"/>
      <c r="N232" s="603"/>
      <c r="O232" s="121"/>
      <c r="P232" s="121"/>
    </row>
    <row r="233" spans="1:16" s="46" customFormat="1" ht="18.75" hidden="1" customHeight="1">
      <c r="A233" s="134" t="s">
        <v>222</v>
      </c>
      <c r="B233" s="134" t="s">
        <v>223</v>
      </c>
      <c r="C233" s="318"/>
      <c r="D233" s="1243"/>
      <c r="E233" s="1139"/>
      <c r="F233" s="1202" t="str">
        <f>INDEX(PT_DIFFERENTIATION_VTAR,MATCH(A233,PT_DIFFERENTIATION_VTAR_ID,0))</f>
        <v>Тариф на подвоз воды</v>
      </c>
      <c r="G233" s="1220" t="str">
        <f>INDEX(PT_DIFFERENTIATION_NTAR,MATCH(B233,PT_DIFFERENTIATION_NTAR_ID,0))</f>
        <v/>
      </c>
      <c r="H233" s="337"/>
      <c r="I233" s="741"/>
      <c r="J233" s="742"/>
      <c r="K233" s="350"/>
      <c r="L233" s="337" t="s">
        <v>293</v>
      </c>
      <c r="M233" s="735"/>
      <c r="N233" s="603"/>
      <c r="O233" s="121"/>
      <c r="P233" s="121"/>
    </row>
    <row r="234" spans="1:16" s="46" customFormat="1" ht="18.75" hidden="1" customHeight="1">
      <c r="A234" s="134"/>
      <c r="B234" s="134"/>
      <c r="C234" s="318" t="s">
        <v>1041</v>
      </c>
      <c r="D234" s="1243"/>
      <c r="E234" s="1139"/>
      <c r="F234" s="1202"/>
      <c r="G234" s="1220"/>
      <c r="H234" s="527"/>
      <c r="I234" s="168" t="s">
        <v>1040</v>
      </c>
      <c r="J234" s="199"/>
      <c r="K234" s="527"/>
      <c r="L234" s="729"/>
      <c r="M234" s="735"/>
      <c r="N234" s="603"/>
      <c r="O234" s="121"/>
      <c r="P234" s="121"/>
    </row>
    <row r="235" spans="1:16" s="46" customFormat="1" ht="0.75" hidden="1" customHeight="1">
      <c r="A235" s="134"/>
      <c r="B235" s="134"/>
      <c r="C235" s="318" t="s">
        <v>1048</v>
      </c>
      <c r="D235" s="1243"/>
      <c r="E235" s="1139"/>
      <c r="F235" s="1202"/>
      <c r="G235" s="746"/>
      <c r="H235" s="527"/>
      <c r="I235" s="168"/>
      <c r="J235" s="199"/>
      <c r="K235" s="527"/>
      <c r="L235" s="729"/>
      <c r="M235" s="735"/>
      <c r="N235" s="603"/>
      <c r="O235" s="121"/>
      <c r="P235" s="121"/>
    </row>
    <row r="236" spans="1:16" s="46" customFormat="1" ht="18.75" hidden="1" customHeight="1">
      <c r="A236" s="134" t="s">
        <v>227</v>
      </c>
      <c r="B236" s="134" t="s">
        <v>228</v>
      </c>
      <c r="C236" s="318"/>
      <c r="D236" s="1243"/>
      <c r="E236" s="1139"/>
      <c r="F236" s="1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1220" t="str">
        <f>INDEX(PT_DIFFERENTIATION_NTAR,MATCH(B236,PT_DIFFERENTIATION_NTAR_ID,0))</f>
        <v/>
      </c>
      <c r="H236" s="337"/>
      <c r="I236" s="741"/>
      <c r="J236" s="742"/>
      <c r="K236" s="350"/>
      <c r="L236" s="337" t="s">
        <v>293</v>
      </c>
      <c r="M236" s="735"/>
      <c r="N236" s="603"/>
      <c r="O236" s="121"/>
      <c r="P236" s="121"/>
    </row>
    <row r="237" spans="1:16" s="46" customFormat="1" ht="18.75" hidden="1" customHeight="1">
      <c r="A237" s="134"/>
      <c r="B237" s="134"/>
      <c r="C237" s="318" t="s">
        <v>1041</v>
      </c>
      <c r="D237" s="1243"/>
      <c r="E237" s="1139"/>
      <c r="F237" s="1202"/>
      <c r="G237" s="1220"/>
      <c r="H237" s="527"/>
      <c r="I237" s="168" t="s">
        <v>1040</v>
      </c>
      <c r="J237" s="199"/>
      <c r="K237" s="527"/>
      <c r="L237" s="729"/>
      <c r="M237" s="735"/>
      <c r="N237" s="603"/>
      <c r="O237" s="121"/>
      <c r="P237" s="121"/>
    </row>
    <row r="238" spans="1:16" s="46" customFormat="1" ht="0.75" hidden="1" customHeight="1">
      <c r="A238" s="134"/>
      <c r="B238" s="134"/>
      <c r="C238" s="318" t="s">
        <v>1048</v>
      </c>
      <c r="D238" s="1243"/>
      <c r="E238" s="1139"/>
      <c r="F238" s="1202"/>
      <c r="G238" s="746"/>
      <c r="H238" s="527"/>
      <c r="I238" s="168"/>
      <c r="J238" s="199"/>
      <c r="K238" s="527"/>
      <c r="L238" s="729"/>
      <c r="M238" s="735"/>
      <c r="N238" s="603"/>
      <c r="O238" s="121"/>
      <c r="P238" s="121"/>
    </row>
    <row r="239" spans="1:16" s="46" customFormat="1" ht="18.75" hidden="1" customHeight="1">
      <c r="A239" s="134" t="s">
        <v>232</v>
      </c>
      <c r="B239" s="134" t="s">
        <v>233</v>
      </c>
      <c r="C239" s="318"/>
      <c r="D239" s="1243"/>
      <c r="E239" s="1139"/>
      <c r="F239" s="1202" t="str">
        <f>INDEX(PT_DIFFERENTIATION_VTAR,MATCH(A239,PT_DIFFERENTIATION_VTAR_ID,0))</f>
        <v>Тариф на горячую воду (горячее водоснабжение)</v>
      </c>
      <c r="G239" s="1220" t="str">
        <f>INDEX(PT_DIFFERENTIATION_NTAR,MATCH(B239,PT_DIFFERENTIATION_NTAR_ID,0))</f>
        <v/>
      </c>
      <c r="H239" s="337"/>
      <c r="I239" s="741"/>
      <c r="J239" s="742"/>
      <c r="K239" s="350"/>
      <c r="L239" s="337" t="s">
        <v>293</v>
      </c>
      <c r="M239" s="735"/>
      <c r="N239" s="603"/>
      <c r="O239" s="121"/>
      <c r="P239" s="121"/>
    </row>
    <row r="240" spans="1:16" s="46" customFormat="1" ht="18.75" hidden="1" customHeight="1">
      <c r="A240" s="134"/>
      <c r="B240" s="134"/>
      <c r="C240" s="318" t="s">
        <v>1041</v>
      </c>
      <c r="D240" s="1243"/>
      <c r="E240" s="1139"/>
      <c r="F240" s="1202"/>
      <c r="G240" s="1220"/>
      <c r="H240" s="527"/>
      <c r="I240" s="168" t="s">
        <v>1040</v>
      </c>
      <c r="J240" s="199"/>
      <c r="K240" s="527"/>
      <c r="L240" s="729"/>
      <c r="M240" s="735"/>
      <c r="N240" s="603"/>
      <c r="O240" s="121"/>
      <c r="P240" s="121"/>
    </row>
    <row r="241" spans="1:16" s="46" customFormat="1" ht="0.75" hidden="1" customHeight="1">
      <c r="A241" s="134"/>
      <c r="B241" s="134"/>
      <c r="C241" s="318" t="s">
        <v>1048</v>
      </c>
      <c r="D241" s="1243"/>
      <c r="E241" s="1139"/>
      <c r="F241" s="1202"/>
      <c r="G241" s="746"/>
      <c r="H241" s="527"/>
      <c r="I241" s="168"/>
      <c r="J241" s="199"/>
      <c r="K241" s="527"/>
      <c r="L241" s="729"/>
      <c r="M241" s="735"/>
      <c r="N241" s="603"/>
      <c r="O241" s="121"/>
      <c r="P241" s="121"/>
    </row>
    <row r="242" spans="1:16" s="46" customFormat="1" ht="18.75" hidden="1" customHeight="1">
      <c r="A242" s="134" t="s">
        <v>237</v>
      </c>
      <c r="B242" s="134" t="s">
        <v>238</v>
      </c>
      <c r="C242" s="318"/>
      <c r="D242" s="1243"/>
      <c r="E242" s="1139"/>
      <c r="F242" s="1202" t="str">
        <f>INDEX(PT_DIFFERENTIATION_VTAR,MATCH(A242,PT_DIFFERENTIATION_VTAR_ID,0))</f>
        <v>Тариф на транспортировку горячей воды</v>
      </c>
      <c r="G242" s="1220" t="str">
        <f>INDEX(PT_DIFFERENTIATION_NTAR,MATCH(B242,PT_DIFFERENTIATION_NTAR_ID,0))</f>
        <v/>
      </c>
      <c r="H242" s="337"/>
      <c r="I242" s="741"/>
      <c r="J242" s="742"/>
      <c r="K242" s="350"/>
      <c r="L242" s="337" t="s">
        <v>293</v>
      </c>
      <c r="M242" s="735"/>
      <c r="N242" s="603"/>
      <c r="O242" s="121"/>
      <c r="P242" s="121"/>
    </row>
    <row r="243" spans="1:16" s="46" customFormat="1" ht="18.75" hidden="1" customHeight="1">
      <c r="A243" s="134"/>
      <c r="B243" s="134"/>
      <c r="C243" s="318" t="s">
        <v>1041</v>
      </c>
      <c r="D243" s="1243"/>
      <c r="E243" s="1139"/>
      <c r="F243" s="1202"/>
      <c r="G243" s="1220"/>
      <c r="H243" s="527"/>
      <c r="I243" s="168" t="s">
        <v>1040</v>
      </c>
      <c r="J243" s="199"/>
      <c r="K243" s="527"/>
      <c r="L243" s="729"/>
      <c r="M243" s="735"/>
      <c r="N243" s="603"/>
      <c r="O243" s="121"/>
      <c r="P243" s="121"/>
    </row>
    <row r="244" spans="1:16" s="46" customFormat="1" ht="0.75" hidden="1" customHeight="1">
      <c r="A244" s="134"/>
      <c r="B244" s="134"/>
      <c r="C244" s="318" t="s">
        <v>1048</v>
      </c>
      <c r="D244" s="1243"/>
      <c r="E244" s="1139"/>
      <c r="F244" s="1202"/>
      <c r="G244" s="746"/>
      <c r="H244" s="527"/>
      <c r="I244" s="168"/>
      <c r="J244" s="199"/>
      <c r="K244" s="527"/>
      <c r="L244" s="729"/>
      <c r="M244" s="735"/>
      <c r="N244" s="603"/>
      <c r="O244" s="121"/>
      <c r="P244" s="121"/>
    </row>
    <row r="245" spans="1:16" s="46" customFormat="1" ht="18.75" hidden="1" customHeight="1">
      <c r="A245" s="134" t="s">
        <v>242</v>
      </c>
      <c r="B245" s="134" t="s">
        <v>243</v>
      </c>
      <c r="C245" s="318"/>
      <c r="D245" s="1243"/>
      <c r="E245" s="1139"/>
      <c r="F245" s="1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1220" t="str">
        <f>INDEX(PT_DIFFERENTIATION_NTAR,MATCH(B245,PT_DIFFERENTIATION_NTAR_ID,0))</f>
        <v/>
      </c>
      <c r="H245" s="337"/>
      <c r="I245" s="741"/>
      <c r="J245" s="742"/>
      <c r="K245" s="350"/>
      <c r="L245" s="337" t="s">
        <v>293</v>
      </c>
      <c r="M245" s="735"/>
      <c r="N245" s="603"/>
      <c r="O245" s="121"/>
      <c r="P245" s="121"/>
    </row>
    <row r="246" spans="1:16" s="46" customFormat="1" ht="18.75" hidden="1" customHeight="1">
      <c r="A246" s="134"/>
      <c r="B246" s="134"/>
      <c r="C246" s="318" t="s">
        <v>1041</v>
      </c>
      <c r="D246" s="1243"/>
      <c r="E246" s="1139"/>
      <c r="F246" s="1202"/>
      <c r="G246" s="1220"/>
      <c r="H246" s="527"/>
      <c r="I246" s="168" t="s">
        <v>1040</v>
      </c>
      <c r="J246" s="199"/>
      <c r="K246" s="527"/>
      <c r="L246" s="729"/>
      <c r="M246" s="735"/>
      <c r="N246" s="603"/>
      <c r="O246" s="121"/>
      <c r="P246" s="121"/>
    </row>
    <row r="247" spans="1:16" s="46" customFormat="1" ht="0.75" hidden="1" customHeight="1">
      <c r="A247" s="134"/>
      <c r="B247" s="134"/>
      <c r="C247" s="318" t="s">
        <v>1048</v>
      </c>
      <c r="D247" s="1243"/>
      <c r="E247" s="1139"/>
      <c r="F247" s="1202"/>
      <c r="G247" s="746"/>
      <c r="H247" s="527"/>
      <c r="I247" s="168"/>
      <c r="J247" s="199"/>
      <c r="K247" s="527"/>
      <c r="L247" s="729"/>
      <c r="M247" s="735"/>
      <c r="N247" s="603"/>
      <c r="O247" s="121"/>
      <c r="P247" s="121"/>
    </row>
    <row r="248" spans="1:16" s="46" customFormat="1" ht="18.75" hidden="1" customHeight="1">
      <c r="A248" s="134" t="s">
        <v>249</v>
      </c>
      <c r="B248" s="134" t="s">
        <v>250</v>
      </c>
      <c r="C248" s="318"/>
      <c r="D248" s="1243"/>
      <c r="E248" s="1139"/>
      <c r="F248" s="1202" t="str">
        <f>INDEX(PT_DIFFERENTIATION_VTAR,MATCH(A248,PT_DIFFERENTIATION_VTAR_ID,0))</f>
        <v>Тариф на водоотведение</v>
      </c>
      <c r="G248" s="1220" t="str">
        <f>INDEX(PT_DIFFERENTIATION_NTAR,MATCH(B248,PT_DIFFERENTIATION_NTAR_ID,0))</f>
        <v>Водоотведение</v>
      </c>
      <c r="H248" s="337"/>
      <c r="I248" s="741"/>
      <c r="J248" s="742"/>
      <c r="K248" s="350"/>
      <c r="L248" s="337" t="s">
        <v>293</v>
      </c>
      <c r="M248" s="735"/>
      <c r="N248" s="603"/>
      <c r="O248" s="121"/>
      <c r="P248" s="121"/>
    </row>
    <row r="249" spans="1:16" s="46" customFormat="1" ht="18.75" hidden="1" customHeight="1">
      <c r="A249" s="134"/>
      <c r="B249" s="134"/>
      <c r="C249" s="318" t="s">
        <v>1041</v>
      </c>
      <c r="D249" s="1243"/>
      <c r="E249" s="1139"/>
      <c r="F249" s="1202"/>
      <c r="G249" s="1220"/>
      <c r="H249" s="527"/>
      <c r="I249" s="168" t="s">
        <v>1040</v>
      </c>
      <c r="J249" s="199"/>
      <c r="K249" s="527"/>
      <c r="L249" s="729"/>
      <c r="M249" s="735"/>
      <c r="N249" s="603"/>
      <c r="O249" s="121"/>
      <c r="P249" s="121"/>
    </row>
    <row r="250" spans="1:16" s="46" customFormat="1" ht="0.75" hidden="1" customHeight="1">
      <c r="A250" s="134"/>
      <c r="B250" s="134"/>
      <c r="C250" s="318" t="s">
        <v>1048</v>
      </c>
      <c r="D250" s="1243"/>
      <c r="E250" s="1139"/>
      <c r="F250" s="1202"/>
      <c r="G250" s="746"/>
      <c r="H250" s="527"/>
      <c r="I250" s="168"/>
      <c r="J250" s="199"/>
      <c r="K250" s="527"/>
      <c r="L250" s="729"/>
      <c r="M250" s="735"/>
      <c r="N250" s="603"/>
      <c r="O250" s="121"/>
      <c r="P250" s="121"/>
    </row>
    <row r="251" spans="1:16" s="46" customFormat="1" ht="18.75" hidden="1" customHeight="1">
      <c r="A251" s="134" t="s">
        <v>257</v>
      </c>
      <c r="B251" s="134" t="s">
        <v>258</v>
      </c>
      <c r="C251" s="318"/>
      <c r="D251" s="1243"/>
      <c r="E251" s="1139"/>
      <c r="F251" s="1202" t="str">
        <f>INDEX(PT_DIFFERENTIATION_VTAR,MATCH(A251,PT_DIFFERENTIATION_VTAR_ID,0))</f>
        <v>Тариф на транспортировку сточных вод</v>
      </c>
      <c r="G251" s="1220" t="str">
        <f>INDEX(PT_DIFFERENTIATION_NTAR,MATCH(B251,PT_DIFFERENTIATION_NTAR_ID,0))</f>
        <v/>
      </c>
      <c r="H251" s="337"/>
      <c r="I251" s="741"/>
      <c r="J251" s="742"/>
      <c r="K251" s="350"/>
      <c r="L251" s="337" t="s">
        <v>293</v>
      </c>
      <c r="M251" s="735"/>
      <c r="N251" s="603"/>
      <c r="O251" s="121"/>
      <c r="P251" s="121"/>
    </row>
    <row r="252" spans="1:16" s="46" customFormat="1" ht="18.75" hidden="1" customHeight="1">
      <c r="A252" s="134"/>
      <c r="B252" s="134"/>
      <c r="C252" s="318" t="s">
        <v>1041</v>
      </c>
      <c r="D252" s="1243"/>
      <c r="E252" s="1139"/>
      <c r="F252" s="1202"/>
      <c r="G252" s="1220"/>
      <c r="H252" s="527"/>
      <c r="I252" s="168" t="s">
        <v>1040</v>
      </c>
      <c r="J252" s="199"/>
      <c r="K252" s="527"/>
      <c r="L252" s="729"/>
      <c r="M252" s="735"/>
      <c r="N252" s="603"/>
      <c r="O252" s="121"/>
      <c r="P252" s="121"/>
    </row>
    <row r="253" spans="1:16" s="46" customFormat="1" ht="0.75" hidden="1" customHeight="1">
      <c r="A253" s="134"/>
      <c r="B253" s="134"/>
      <c r="C253" s="318" t="s">
        <v>1048</v>
      </c>
      <c r="D253" s="1243"/>
      <c r="E253" s="1139"/>
      <c r="F253" s="1202"/>
      <c r="G253" s="746"/>
      <c r="H253" s="527"/>
      <c r="I253" s="168"/>
      <c r="J253" s="199"/>
      <c r="K253" s="527"/>
      <c r="L253" s="729"/>
      <c r="M253" s="735"/>
      <c r="N253" s="603"/>
      <c r="O253" s="121"/>
      <c r="P253" s="121"/>
    </row>
    <row r="254" spans="1:16" s="46" customFormat="1" ht="18.75" hidden="1" customHeight="1">
      <c r="A254" s="134" t="s">
        <v>262</v>
      </c>
      <c r="B254" s="134" t="s">
        <v>263</v>
      </c>
      <c r="C254" s="318"/>
      <c r="D254" s="1243"/>
      <c r="E254" s="1139"/>
      <c r="F254" s="1202" t="str">
        <f>INDEX(PT_DIFFERENTIATION_VTAR,MATCH(A254,PT_DIFFERENTIATION_VTAR_ID,0))</f>
        <v>Тариф на подключение (технологическое присоединение) к централизованной системе водоотведения</v>
      </c>
      <c r="G254" s="1220" t="str">
        <f>INDEX(PT_DIFFERENTIATION_NTAR,MATCH(B254,PT_DIFFERENTIATION_NTAR_ID,0))</f>
        <v/>
      </c>
      <c r="H254" s="337"/>
      <c r="I254" s="741"/>
      <c r="J254" s="742"/>
      <c r="K254" s="350"/>
      <c r="L254" s="337" t="s">
        <v>293</v>
      </c>
      <c r="M254" s="735"/>
      <c r="N254" s="603"/>
      <c r="O254" s="121"/>
      <c r="P254" s="121"/>
    </row>
    <row r="255" spans="1:16" s="46" customFormat="1" ht="18.75" hidden="1" customHeight="1">
      <c r="A255" s="134"/>
      <c r="B255" s="134"/>
      <c r="C255" s="318" t="s">
        <v>1041</v>
      </c>
      <c r="D255" s="1243"/>
      <c r="E255" s="1139"/>
      <c r="F255" s="1202"/>
      <c r="G255" s="1220"/>
      <c r="H255" s="527"/>
      <c r="I255" s="168" t="s">
        <v>1040</v>
      </c>
      <c r="J255" s="199"/>
      <c r="K255" s="527"/>
      <c r="L255" s="729"/>
      <c r="M255" s="735"/>
      <c r="N255" s="603"/>
      <c r="O255" s="121"/>
      <c r="P255" s="121"/>
    </row>
    <row r="256" spans="1:16" s="46" customFormat="1" ht="0.75" customHeight="1">
      <c r="A256" s="134"/>
      <c r="B256" s="134"/>
      <c r="C256" s="318" t="s">
        <v>1048</v>
      </c>
      <c r="D256" s="1243"/>
      <c r="E256" s="1139"/>
      <c r="F256" s="1202"/>
      <c r="G256" s="746"/>
      <c r="H256" s="527"/>
      <c r="I256" s="168"/>
      <c r="J256" s="199"/>
      <c r="K256" s="527"/>
      <c r="L256" s="729"/>
      <c r="M256" s="735"/>
      <c r="N256" s="603"/>
      <c r="O256" s="121"/>
      <c r="P256" s="121"/>
    </row>
    <row r="257" spans="1:16" ht="25.5" customHeight="1">
      <c r="A257" s="134"/>
      <c r="B257" s="134"/>
      <c r="D257" s="437"/>
      <c r="E257" s="274" t="s">
        <v>88</v>
      </c>
      <c r="F257" s="12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1236"/>
      <c r="H257" s="1236"/>
      <c r="I257" s="1236"/>
      <c r="J257" s="1236"/>
      <c r="K257" s="1236"/>
      <c r="L257" s="1236"/>
      <c r="M257" s="718"/>
      <c r="N257" s="603"/>
    </row>
    <row r="258" spans="1:16" s="46" customFormat="1" ht="60.75" hidden="1" customHeight="1">
      <c r="A258" s="134" t="s">
        <v>151</v>
      </c>
      <c r="B258" s="134" t="s">
        <v>152</v>
      </c>
      <c r="C258" s="318"/>
      <c r="D258" s="1243"/>
      <c r="E258" s="1139"/>
      <c r="F258" s="1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220" t="str">
        <f>INDEX(PT_DIFFERENTIATION_NTAR,MATCH(B258,PT_DIFFERENTIATION_NTAR_ID,0))</f>
        <v/>
      </c>
      <c r="H258" s="337"/>
      <c r="I258" s="741"/>
      <c r="J258" s="742"/>
      <c r="K258" s="350"/>
      <c r="L258" s="337" t="s">
        <v>293</v>
      </c>
      <c r="M258" s="1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03"/>
      <c r="O258" s="121"/>
      <c r="P258" s="121"/>
    </row>
    <row r="259" spans="1:16" s="46" customFormat="1" ht="18.75" hidden="1" customHeight="1">
      <c r="A259" s="134"/>
      <c r="B259" s="134"/>
      <c r="C259" s="318" t="s">
        <v>1041</v>
      </c>
      <c r="D259" s="1243"/>
      <c r="E259" s="1139"/>
      <c r="F259" s="1202"/>
      <c r="G259" s="1220"/>
      <c r="H259" s="527"/>
      <c r="I259" s="168" t="s">
        <v>1040</v>
      </c>
      <c r="J259" s="199"/>
      <c r="K259" s="527"/>
      <c r="L259" s="729"/>
      <c r="M259" s="1111"/>
      <c r="N259" s="603"/>
      <c r="O259" s="121"/>
      <c r="P259" s="121"/>
    </row>
    <row r="260" spans="1:16" s="46" customFormat="1" ht="0.75" hidden="1" customHeight="1">
      <c r="A260" s="134"/>
      <c r="B260" s="134"/>
      <c r="C260" s="318" t="s">
        <v>1048</v>
      </c>
      <c r="D260" s="1243"/>
      <c r="E260" s="1139"/>
      <c r="F260" s="1202"/>
      <c r="G260" s="746"/>
      <c r="H260" s="527"/>
      <c r="I260" s="168"/>
      <c r="J260" s="199"/>
      <c r="K260" s="527"/>
      <c r="L260" s="729"/>
      <c r="M260" s="1111"/>
      <c r="N260" s="603"/>
      <c r="O260" s="121"/>
      <c r="P260" s="121"/>
    </row>
    <row r="261" spans="1:16" s="46" customFormat="1" ht="45" hidden="1" customHeight="1">
      <c r="A261" s="134" t="s">
        <v>157</v>
      </c>
      <c r="B261" s="134" t="s">
        <v>158</v>
      </c>
      <c r="C261" s="318"/>
      <c r="D261" s="1243"/>
      <c r="E261" s="1139"/>
      <c r="F261" s="1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220" t="str">
        <f>INDEX(PT_DIFFERENTIATION_NTAR,MATCH(B261,PT_DIFFERENTIATION_NTAR_ID,0))</f>
        <v/>
      </c>
      <c r="H261" s="337"/>
      <c r="I261" s="741"/>
      <c r="J261" s="742"/>
      <c r="K261" s="350"/>
      <c r="L261" s="337" t="s">
        <v>293</v>
      </c>
      <c r="M261" s="1111"/>
      <c r="N261" s="603"/>
      <c r="O261" s="121"/>
      <c r="P261" s="121"/>
    </row>
    <row r="262" spans="1:16" s="46" customFormat="1" ht="18.75" hidden="1" customHeight="1">
      <c r="A262" s="134"/>
      <c r="B262" s="134"/>
      <c r="C262" s="318" t="s">
        <v>1041</v>
      </c>
      <c r="D262" s="1243"/>
      <c r="E262" s="1139"/>
      <c r="F262" s="1202"/>
      <c r="G262" s="1220"/>
      <c r="H262" s="527"/>
      <c r="I262" s="168" t="s">
        <v>1040</v>
      </c>
      <c r="J262" s="199"/>
      <c r="K262" s="527"/>
      <c r="L262" s="729"/>
      <c r="M262" s="748"/>
      <c r="N262" s="603"/>
      <c r="O262" s="121"/>
      <c r="P262" s="121"/>
    </row>
    <row r="263" spans="1:16" s="46" customFormat="1" ht="0.75" hidden="1" customHeight="1">
      <c r="A263" s="134"/>
      <c r="B263" s="134"/>
      <c r="C263" s="318" t="s">
        <v>1048</v>
      </c>
      <c r="D263" s="1243"/>
      <c r="E263" s="1139"/>
      <c r="F263" s="1202"/>
      <c r="G263" s="746"/>
      <c r="H263" s="527"/>
      <c r="I263" s="168"/>
      <c r="J263" s="199"/>
      <c r="K263" s="527"/>
      <c r="L263" s="729"/>
      <c r="M263" s="735"/>
      <c r="N263" s="603"/>
      <c r="O263" s="121"/>
      <c r="P263" s="121"/>
    </row>
    <row r="264" spans="1:16" s="46" customFormat="1" ht="45" hidden="1" customHeight="1">
      <c r="A264" s="134" t="s">
        <v>163</v>
      </c>
      <c r="B264" s="134" t="s">
        <v>164</v>
      </c>
      <c r="C264" s="318"/>
      <c r="D264" s="1243"/>
      <c r="E264" s="1139"/>
      <c r="F264" s="1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220" t="str">
        <f>INDEX(PT_DIFFERENTIATION_NTAR,MATCH(B264,PT_DIFFERENTIATION_NTAR_ID,0))</f>
        <v/>
      </c>
      <c r="H264" s="337"/>
      <c r="I264" s="741"/>
      <c r="J264" s="742"/>
      <c r="K264" s="350"/>
      <c r="L264" s="337" t="s">
        <v>293</v>
      </c>
      <c r="M264" s="735"/>
      <c r="N264" s="603"/>
      <c r="O264" s="121"/>
      <c r="P264" s="121"/>
    </row>
    <row r="265" spans="1:16" s="46" customFormat="1" ht="18.75" hidden="1" customHeight="1">
      <c r="A265" s="134"/>
      <c r="B265" s="134"/>
      <c r="C265" s="318" t="s">
        <v>1041</v>
      </c>
      <c r="D265" s="1243"/>
      <c r="E265" s="1139"/>
      <c r="F265" s="1202"/>
      <c r="G265" s="1220"/>
      <c r="H265" s="527"/>
      <c r="I265" s="168" t="s">
        <v>1040</v>
      </c>
      <c r="J265" s="199"/>
      <c r="K265" s="527"/>
      <c r="L265" s="729"/>
      <c r="M265" s="735"/>
      <c r="N265" s="603"/>
      <c r="O265" s="121"/>
      <c r="P265" s="121"/>
    </row>
    <row r="266" spans="1:16" s="46" customFormat="1" ht="0.75" hidden="1" customHeight="1">
      <c r="A266" s="134"/>
      <c r="B266" s="134"/>
      <c r="C266" s="318" t="s">
        <v>1048</v>
      </c>
      <c r="D266" s="1243"/>
      <c r="E266" s="1139"/>
      <c r="F266" s="1202"/>
      <c r="G266" s="746"/>
      <c r="H266" s="527"/>
      <c r="I266" s="168"/>
      <c r="J266" s="199"/>
      <c r="K266" s="527"/>
      <c r="L266" s="729"/>
      <c r="M266" s="735"/>
      <c r="N266" s="603"/>
      <c r="O266" s="121"/>
      <c r="P266" s="121"/>
    </row>
    <row r="267" spans="1:16" s="46" customFormat="1" ht="45" hidden="1" customHeight="1">
      <c r="A267" s="134" t="s">
        <v>169</v>
      </c>
      <c r="B267" s="134" t="s">
        <v>170</v>
      </c>
      <c r="C267" s="318"/>
      <c r="D267" s="1243"/>
      <c r="E267" s="1139"/>
      <c r="F267" s="1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220" t="str">
        <f>INDEX(PT_DIFFERENTIATION_NTAR,MATCH(B267,PT_DIFFERENTIATION_NTAR_ID,0))</f>
        <v/>
      </c>
      <c r="H267" s="337"/>
      <c r="I267" s="741"/>
      <c r="J267" s="742"/>
      <c r="K267" s="350"/>
      <c r="L267" s="337" t="s">
        <v>293</v>
      </c>
      <c r="M267" s="735"/>
      <c r="N267" s="603"/>
      <c r="O267" s="121"/>
      <c r="P267" s="121"/>
    </row>
    <row r="268" spans="1:16" s="46" customFormat="1" ht="18.75" hidden="1" customHeight="1">
      <c r="A268" s="134"/>
      <c r="B268" s="134"/>
      <c r="C268" s="318" t="s">
        <v>1041</v>
      </c>
      <c r="D268" s="1243"/>
      <c r="E268" s="1139"/>
      <c r="F268" s="1202"/>
      <c r="G268" s="1220"/>
      <c r="H268" s="527"/>
      <c r="I268" s="168" t="s">
        <v>1040</v>
      </c>
      <c r="J268" s="199"/>
      <c r="K268" s="527"/>
      <c r="L268" s="729"/>
      <c r="M268" s="735"/>
      <c r="N268" s="603"/>
      <c r="O268" s="121"/>
      <c r="P268" s="121"/>
    </row>
    <row r="269" spans="1:16" s="46" customFormat="1" ht="0.75" hidden="1" customHeight="1">
      <c r="A269" s="134"/>
      <c r="B269" s="134"/>
      <c r="C269" s="318" t="s">
        <v>1048</v>
      </c>
      <c r="D269" s="1243"/>
      <c r="E269" s="1139"/>
      <c r="F269" s="1202"/>
      <c r="G269" s="746"/>
      <c r="H269" s="527"/>
      <c r="I269" s="168"/>
      <c r="J269" s="199"/>
      <c r="K269" s="527"/>
      <c r="L269" s="729"/>
      <c r="M269" s="735"/>
      <c r="N269" s="603"/>
      <c r="O269" s="121"/>
      <c r="P269" s="121"/>
    </row>
    <row r="270" spans="1:16" s="46" customFormat="1" ht="18.75" hidden="1" customHeight="1">
      <c r="A270" s="134" t="s">
        <v>175</v>
      </c>
      <c r="B270" s="134" t="s">
        <v>176</v>
      </c>
      <c r="C270" s="318"/>
      <c r="D270" s="1243"/>
      <c r="E270" s="1139"/>
      <c r="F270" s="1202" t="str">
        <f>INDEX(PT_DIFFERENTIATION_VTAR,MATCH(A270,PT_DIFFERENTIATION_VTAR_ID,0))</f>
        <v>Тарифы на услуги по передаче тепловой энергии</v>
      </c>
      <c r="G270" s="1220" t="str">
        <f>INDEX(PT_DIFFERENTIATION_NTAR,MATCH(B270,PT_DIFFERENTIATION_NTAR_ID,0))</f>
        <v/>
      </c>
      <c r="H270" s="337"/>
      <c r="I270" s="741"/>
      <c r="J270" s="742"/>
      <c r="K270" s="350"/>
      <c r="L270" s="337" t="s">
        <v>293</v>
      </c>
      <c r="M270" s="735"/>
      <c r="N270" s="603"/>
      <c r="O270" s="121"/>
      <c r="P270" s="121"/>
    </row>
    <row r="271" spans="1:16" s="46" customFormat="1" ht="18.75" hidden="1" customHeight="1">
      <c r="A271" s="134"/>
      <c r="B271" s="134"/>
      <c r="C271" s="318" t="s">
        <v>1041</v>
      </c>
      <c r="D271" s="1243"/>
      <c r="E271" s="1139"/>
      <c r="F271" s="1202"/>
      <c r="G271" s="1220"/>
      <c r="H271" s="527"/>
      <c r="I271" s="168" t="s">
        <v>1040</v>
      </c>
      <c r="J271" s="199"/>
      <c r="K271" s="527"/>
      <c r="L271" s="729"/>
      <c r="M271" s="735"/>
      <c r="N271" s="603"/>
      <c r="O271" s="121"/>
      <c r="P271" s="121"/>
    </row>
    <row r="272" spans="1:16" s="46" customFormat="1" ht="0.75" hidden="1" customHeight="1">
      <c r="A272" s="134"/>
      <c r="B272" s="134"/>
      <c r="C272" s="318" t="s">
        <v>1048</v>
      </c>
      <c r="D272" s="1243"/>
      <c r="E272" s="1139"/>
      <c r="F272" s="1202"/>
      <c r="G272" s="746"/>
      <c r="H272" s="527"/>
      <c r="I272" s="168"/>
      <c r="J272" s="199"/>
      <c r="K272" s="527"/>
      <c r="L272" s="729"/>
      <c r="M272" s="735"/>
      <c r="N272" s="603"/>
      <c r="O272" s="121"/>
      <c r="P272" s="121"/>
    </row>
    <row r="273" spans="1:16" s="46" customFormat="1" ht="18.75" hidden="1" customHeight="1">
      <c r="A273" s="134" t="s">
        <v>181</v>
      </c>
      <c r="B273" s="134" t="s">
        <v>182</v>
      </c>
      <c r="C273" s="318"/>
      <c r="D273" s="1243"/>
      <c r="E273" s="1139"/>
      <c r="F273" s="1202" t="str">
        <f>INDEX(PT_DIFFERENTIATION_VTAR,MATCH(A273,PT_DIFFERENTIATION_VTAR_ID,0))</f>
        <v>Тарифы на услуги по передаче теплоносителя</v>
      </c>
      <c r="G273" s="1220" t="str">
        <f>INDEX(PT_DIFFERENTIATION_NTAR,MATCH(B273,PT_DIFFERENTIATION_NTAR_ID,0))</f>
        <v/>
      </c>
      <c r="H273" s="337"/>
      <c r="I273" s="741"/>
      <c r="J273" s="742"/>
      <c r="K273" s="350"/>
      <c r="L273" s="337" t="s">
        <v>293</v>
      </c>
      <c r="M273" s="735"/>
      <c r="N273" s="603"/>
      <c r="O273" s="121"/>
      <c r="P273" s="121"/>
    </row>
    <row r="274" spans="1:16" s="46" customFormat="1" ht="18.75" hidden="1" customHeight="1">
      <c r="A274" s="134"/>
      <c r="B274" s="134"/>
      <c r="C274" s="318" t="s">
        <v>1041</v>
      </c>
      <c r="D274" s="1243"/>
      <c r="E274" s="1139"/>
      <c r="F274" s="1202"/>
      <c r="G274" s="1220"/>
      <c r="H274" s="527"/>
      <c r="I274" s="168" t="s">
        <v>1040</v>
      </c>
      <c r="J274" s="199"/>
      <c r="K274" s="527"/>
      <c r="L274" s="729"/>
      <c r="M274" s="735"/>
      <c r="N274" s="603"/>
      <c r="O274" s="121"/>
      <c r="P274" s="121"/>
    </row>
    <row r="275" spans="1:16" s="46" customFormat="1" ht="0.75" hidden="1" customHeight="1">
      <c r="A275" s="134"/>
      <c r="B275" s="134"/>
      <c r="C275" s="318" t="s">
        <v>1048</v>
      </c>
      <c r="D275" s="1243"/>
      <c r="E275" s="1139"/>
      <c r="F275" s="1202"/>
      <c r="G275" s="746"/>
      <c r="H275" s="527"/>
      <c r="I275" s="168"/>
      <c r="J275" s="199"/>
      <c r="K275" s="527"/>
      <c r="L275" s="729"/>
      <c r="M275" s="735"/>
      <c r="N275" s="603"/>
      <c r="O275" s="121"/>
      <c r="P275" s="121"/>
    </row>
    <row r="276" spans="1:16" s="46" customFormat="1" ht="18.75" hidden="1" customHeight="1">
      <c r="A276" s="134" t="s">
        <v>187</v>
      </c>
      <c r="B276" s="134" t="s">
        <v>188</v>
      </c>
      <c r="C276" s="318"/>
      <c r="D276" s="1243"/>
      <c r="E276" s="1139"/>
      <c r="F276" s="1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220" t="str">
        <f>INDEX(PT_DIFFERENTIATION_NTAR,MATCH(B276,PT_DIFFERENTIATION_NTAR_ID,0))</f>
        <v/>
      </c>
      <c r="H276" s="337"/>
      <c r="I276" s="741"/>
      <c r="J276" s="742"/>
      <c r="K276" s="350"/>
      <c r="L276" s="337" t="s">
        <v>293</v>
      </c>
      <c r="M276" s="735"/>
      <c r="N276" s="603"/>
      <c r="O276" s="121"/>
      <c r="P276" s="121"/>
    </row>
    <row r="277" spans="1:16" s="46" customFormat="1" ht="18.75" hidden="1" customHeight="1">
      <c r="A277" s="134"/>
      <c r="B277" s="134"/>
      <c r="C277" s="318" t="s">
        <v>1041</v>
      </c>
      <c r="D277" s="1243"/>
      <c r="E277" s="1139"/>
      <c r="F277" s="1202"/>
      <c r="G277" s="1220"/>
      <c r="H277" s="527"/>
      <c r="I277" s="168" t="s">
        <v>1040</v>
      </c>
      <c r="J277" s="199"/>
      <c r="K277" s="527"/>
      <c r="L277" s="729"/>
      <c r="M277" s="735"/>
      <c r="N277" s="603"/>
      <c r="O277" s="121"/>
      <c r="P277" s="121"/>
    </row>
    <row r="278" spans="1:16" s="46" customFormat="1" ht="0.75" hidden="1" customHeight="1">
      <c r="A278" s="134"/>
      <c r="B278" s="134"/>
      <c r="C278" s="318" t="s">
        <v>1048</v>
      </c>
      <c r="D278" s="1243"/>
      <c r="E278" s="1139"/>
      <c r="F278" s="1202"/>
      <c r="G278" s="746"/>
      <c r="H278" s="527"/>
      <c r="I278" s="168"/>
      <c r="J278" s="199"/>
      <c r="K278" s="527"/>
      <c r="L278" s="729"/>
      <c r="M278" s="735"/>
      <c r="N278" s="603"/>
      <c r="O278" s="121"/>
      <c r="P278" s="121"/>
    </row>
    <row r="279" spans="1:16" s="46" customFormat="1" ht="18.75" hidden="1" customHeight="1">
      <c r="A279" s="134" t="s">
        <v>193</v>
      </c>
      <c r="B279" s="134" t="s">
        <v>194</v>
      </c>
      <c r="C279" s="318"/>
      <c r="D279" s="1243"/>
      <c r="E279" s="1139"/>
      <c r="F279" s="1202" t="str">
        <f>INDEX(PT_DIFFERENTIATION_VTAR,MATCH(A279,PT_DIFFERENTIATION_VTAR_ID,0))</f>
        <v>Плата за подключение (технологическое присоединение) к системе теплоснабжения</v>
      </c>
      <c r="G279" s="1220" t="str">
        <f>INDEX(PT_DIFFERENTIATION_NTAR,MATCH(B279,PT_DIFFERENTIATION_NTAR_ID,0))</f>
        <v/>
      </c>
      <c r="H279" s="337"/>
      <c r="I279" s="741"/>
      <c r="J279" s="742"/>
      <c r="K279" s="350"/>
      <c r="L279" s="337" t="s">
        <v>293</v>
      </c>
      <c r="M279" s="735"/>
      <c r="N279" s="603"/>
      <c r="O279" s="121"/>
      <c r="P279" s="121"/>
    </row>
    <row r="280" spans="1:16" s="46" customFormat="1" ht="18.75" hidden="1" customHeight="1">
      <c r="A280" s="134"/>
      <c r="B280" s="134"/>
      <c r="C280" s="318" t="s">
        <v>1041</v>
      </c>
      <c r="D280" s="1243"/>
      <c r="E280" s="1139"/>
      <c r="F280" s="1202"/>
      <c r="G280" s="1220"/>
      <c r="H280" s="527"/>
      <c r="I280" s="168" t="s">
        <v>1040</v>
      </c>
      <c r="J280" s="199"/>
      <c r="K280" s="527"/>
      <c r="L280" s="729"/>
      <c r="M280" s="735"/>
      <c r="N280" s="603"/>
      <c r="O280" s="121"/>
      <c r="P280" s="121"/>
    </row>
    <row r="281" spans="1:16" s="46" customFormat="1" ht="0.75" hidden="1" customHeight="1">
      <c r="A281" s="134"/>
      <c r="B281" s="134"/>
      <c r="C281" s="318" t="s">
        <v>1048</v>
      </c>
      <c r="D281" s="1243"/>
      <c r="E281" s="1139"/>
      <c r="F281" s="1202"/>
      <c r="G281" s="746"/>
      <c r="H281" s="527"/>
      <c r="I281" s="168"/>
      <c r="J281" s="199"/>
      <c r="K281" s="527"/>
      <c r="L281" s="729"/>
      <c r="M281" s="735"/>
      <c r="N281" s="603"/>
      <c r="O281" s="121"/>
      <c r="P281" s="121"/>
    </row>
    <row r="282" spans="1:16" s="46" customFormat="1" ht="18.75" hidden="1" customHeight="1">
      <c r="A282" s="134" t="s">
        <v>207</v>
      </c>
      <c r="B282" s="134" t="s">
        <v>208</v>
      </c>
      <c r="C282" s="318"/>
      <c r="D282" s="1243"/>
      <c r="E282" s="1139"/>
      <c r="F282" s="1202" t="str">
        <f>INDEX(PT_DIFFERENTIATION_VTAR,MATCH(A282,PT_DIFFERENTIATION_VTAR_ID,0))</f>
        <v>Тариф на питьевую воду (питьевое водоснабжение)</v>
      </c>
      <c r="G282" s="1220" t="str">
        <f>INDEX(PT_DIFFERENTIATION_NTAR,MATCH(B282,PT_DIFFERENTIATION_NTAR_ID,0))</f>
        <v/>
      </c>
      <c r="H282" s="337"/>
      <c r="I282" s="741"/>
      <c r="J282" s="742"/>
      <c r="K282" s="350"/>
      <c r="L282" s="337" t="s">
        <v>293</v>
      </c>
      <c r="M282" s="735"/>
      <c r="N282" s="603"/>
      <c r="O282" s="121"/>
      <c r="P282" s="121"/>
    </row>
    <row r="283" spans="1:16" s="46" customFormat="1" ht="18.75" hidden="1" customHeight="1">
      <c r="A283" s="134"/>
      <c r="B283" s="134"/>
      <c r="C283" s="318" t="s">
        <v>1041</v>
      </c>
      <c r="D283" s="1243"/>
      <c r="E283" s="1139"/>
      <c r="F283" s="1202"/>
      <c r="G283" s="1220"/>
      <c r="H283" s="527"/>
      <c r="I283" s="168" t="s">
        <v>1040</v>
      </c>
      <c r="J283" s="199"/>
      <c r="K283" s="527"/>
      <c r="L283" s="729"/>
      <c r="M283" s="735"/>
      <c r="N283" s="603"/>
      <c r="O283" s="121"/>
      <c r="P283" s="121"/>
    </row>
    <row r="284" spans="1:16" s="46" customFormat="1" ht="0.75" hidden="1" customHeight="1">
      <c r="A284" s="134"/>
      <c r="B284" s="134"/>
      <c r="C284" s="318" t="s">
        <v>1048</v>
      </c>
      <c r="D284" s="1243"/>
      <c r="E284" s="1139"/>
      <c r="F284" s="1202"/>
      <c r="G284" s="746"/>
      <c r="H284" s="527"/>
      <c r="I284" s="168"/>
      <c r="J284" s="199"/>
      <c r="K284" s="527"/>
      <c r="L284" s="729"/>
      <c r="M284" s="735"/>
      <c r="N284" s="603"/>
      <c r="O284" s="121"/>
      <c r="P284" s="121"/>
    </row>
    <row r="285" spans="1:16" s="46" customFormat="1" ht="18.75" hidden="1" customHeight="1">
      <c r="A285" s="134" t="s">
        <v>212</v>
      </c>
      <c r="B285" s="134" t="s">
        <v>213</v>
      </c>
      <c r="C285" s="318"/>
      <c r="D285" s="1243"/>
      <c r="E285" s="1139"/>
      <c r="F285" s="1202" t="str">
        <f>INDEX(PT_DIFFERENTIATION_VTAR,MATCH(A285,PT_DIFFERENTIATION_VTAR_ID,0))</f>
        <v>Тариф на техническую воду</v>
      </c>
      <c r="G285" s="1220" t="str">
        <f>INDEX(PT_DIFFERENTIATION_NTAR,MATCH(B285,PT_DIFFERENTIATION_NTAR_ID,0))</f>
        <v/>
      </c>
      <c r="H285" s="337"/>
      <c r="I285" s="741"/>
      <c r="J285" s="742"/>
      <c r="K285" s="350"/>
      <c r="L285" s="337" t="s">
        <v>293</v>
      </c>
      <c r="M285" s="735"/>
      <c r="N285" s="603"/>
      <c r="O285" s="121"/>
      <c r="P285" s="121"/>
    </row>
    <row r="286" spans="1:16" s="46" customFormat="1" ht="18.75" hidden="1" customHeight="1">
      <c r="A286" s="134"/>
      <c r="B286" s="134"/>
      <c r="C286" s="318" t="s">
        <v>1041</v>
      </c>
      <c r="D286" s="1243"/>
      <c r="E286" s="1139"/>
      <c r="F286" s="1202"/>
      <c r="G286" s="1220"/>
      <c r="H286" s="527"/>
      <c r="I286" s="168" t="s">
        <v>1040</v>
      </c>
      <c r="J286" s="199"/>
      <c r="K286" s="527"/>
      <c r="L286" s="729"/>
      <c r="M286" s="735"/>
      <c r="N286" s="603"/>
      <c r="O286" s="121"/>
      <c r="P286" s="121"/>
    </row>
    <row r="287" spans="1:16" s="46" customFormat="1" ht="0.75" hidden="1" customHeight="1">
      <c r="A287" s="134"/>
      <c r="B287" s="134"/>
      <c r="C287" s="318" t="s">
        <v>1048</v>
      </c>
      <c r="D287" s="1243"/>
      <c r="E287" s="1139"/>
      <c r="F287" s="1202"/>
      <c r="G287" s="746"/>
      <c r="H287" s="527"/>
      <c r="I287" s="168"/>
      <c r="J287" s="199"/>
      <c r="K287" s="527"/>
      <c r="L287" s="729"/>
      <c r="M287" s="735"/>
      <c r="N287" s="603"/>
      <c r="O287" s="121"/>
      <c r="P287" s="121"/>
    </row>
    <row r="288" spans="1:16" s="46" customFormat="1" ht="18.75" hidden="1" customHeight="1">
      <c r="A288" s="134" t="s">
        <v>217</v>
      </c>
      <c r="B288" s="134" t="s">
        <v>218</v>
      </c>
      <c r="C288" s="318"/>
      <c r="D288" s="1243"/>
      <c r="E288" s="1139"/>
      <c r="F288" s="1202" t="str">
        <f>INDEX(PT_DIFFERENTIATION_VTAR,MATCH(A288,PT_DIFFERENTIATION_VTAR_ID,0))</f>
        <v>Тариф на транспортировку воды</v>
      </c>
      <c r="G288" s="1220" t="str">
        <f>INDEX(PT_DIFFERENTIATION_NTAR,MATCH(B288,PT_DIFFERENTIATION_NTAR_ID,0))</f>
        <v/>
      </c>
      <c r="H288" s="337"/>
      <c r="I288" s="741"/>
      <c r="J288" s="742"/>
      <c r="K288" s="350"/>
      <c r="L288" s="337" t="s">
        <v>293</v>
      </c>
      <c r="M288" s="735"/>
      <c r="N288" s="603"/>
      <c r="O288" s="121"/>
      <c r="P288" s="121"/>
    </row>
    <row r="289" spans="1:16" s="46" customFormat="1" ht="18.75" hidden="1" customHeight="1">
      <c r="A289" s="134"/>
      <c r="B289" s="134"/>
      <c r="C289" s="318" t="s">
        <v>1041</v>
      </c>
      <c r="D289" s="1243"/>
      <c r="E289" s="1139"/>
      <c r="F289" s="1202"/>
      <c r="G289" s="1220"/>
      <c r="H289" s="527"/>
      <c r="I289" s="168" t="s">
        <v>1040</v>
      </c>
      <c r="J289" s="199"/>
      <c r="K289" s="527"/>
      <c r="L289" s="729"/>
      <c r="M289" s="735"/>
      <c r="N289" s="603"/>
      <c r="O289" s="121"/>
      <c r="P289" s="121"/>
    </row>
    <row r="290" spans="1:16" s="46" customFormat="1" ht="0.75" hidden="1" customHeight="1">
      <c r="A290" s="134"/>
      <c r="B290" s="134"/>
      <c r="C290" s="318" t="s">
        <v>1048</v>
      </c>
      <c r="D290" s="1243"/>
      <c r="E290" s="1139"/>
      <c r="F290" s="1202"/>
      <c r="G290" s="746"/>
      <c r="H290" s="527"/>
      <c r="I290" s="168"/>
      <c r="J290" s="199"/>
      <c r="K290" s="527"/>
      <c r="L290" s="729"/>
      <c r="M290" s="735"/>
      <c r="N290" s="603"/>
      <c r="O290" s="121"/>
      <c r="P290" s="121"/>
    </row>
    <row r="291" spans="1:16" s="46" customFormat="1" ht="18.75" hidden="1" customHeight="1">
      <c r="A291" s="134" t="s">
        <v>222</v>
      </c>
      <c r="B291" s="134" t="s">
        <v>223</v>
      </c>
      <c r="C291" s="318"/>
      <c r="D291" s="1243"/>
      <c r="E291" s="1139"/>
      <c r="F291" s="1202" t="str">
        <f>INDEX(PT_DIFFERENTIATION_VTAR,MATCH(A291,PT_DIFFERENTIATION_VTAR_ID,0))</f>
        <v>Тариф на подвоз воды</v>
      </c>
      <c r="G291" s="1220" t="str">
        <f>INDEX(PT_DIFFERENTIATION_NTAR,MATCH(B291,PT_DIFFERENTIATION_NTAR_ID,0))</f>
        <v/>
      </c>
      <c r="H291" s="337"/>
      <c r="I291" s="741"/>
      <c r="J291" s="742"/>
      <c r="K291" s="350"/>
      <c r="L291" s="337" t="s">
        <v>293</v>
      </c>
      <c r="M291" s="735"/>
      <c r="N291" s="603"/>
      <c r="O291" s="121"/>
      <c r="P291" s="121"/>
    </row>
    <row r="292" spans="1:16" s="46" customFormat="1" ht="18.75" hidden="1" customHeight="1">
      <c r="A292" s="134"/>
      <c r="B292" s="134"/>
      <c r="C292" s="318" t="s">
        <v>1041</v>
      </c>
      <c r="D292" s="1243"/>
      <c r="E292" s="1139"/>
      <c r="F292" s="1202"/>
      <c r="G292" s="1220"/>
      <c r="H292" s="527"/>
      <c r="I292" s="168" t="s">
        <v>1040</v>
      </c>
      <c r="J292" s="199"/>
      <c r="K292" s="527"/>
      <c r="L292" s="729"/>
      <c r="M292" s="735"/>
      <c r="N292" s="603"/>
      <c r="O292" s="121"/>
      <c r="P292" s="121"/>
    </row>
    <row r="293" spans="1:16" s="46" customFormat="1" ht="0.75" hidden="1" customHeight="1">
      <c r="A293" s="134"/>
      <c r="B293" s="134"/>
      <c r="C293" s="318" t="s">
        <v>1048</v>
      </c>
      <c r="D293" s="1243"/>
      <c r="E293" s="1139"/>
      <c r="F293" s="1202"/>
      <c r="G293" s="746"/>
      <c r="H293" s="527"/>
      <c r="I293" s="168"/>
      <c r="J293" s="199"/>
      <c r="K293" s="527"/>
      <c r="L293" s="729"/>
      <c r="M293" s="735"/>
      <c r="N293" s="603"/>
      <c r="O293" s="121"/>
      <c r="P293" s="121"/>
    </row>
    <row r="294" spans="1:16" s="46" customFormat="1" ht="18.75" hidden="1" customHeight="1">
      <c r="A294" s="134" t="s">
        <v>227</v>
      </c>
      <c r="B294" s="134" t="s">
        <v>228</v>
      </c>
      <c r="C294" s="318"/>
      <c r="D294" s="1243"/>
      <c r="E294" s="1139"/>
      <c r="F294" s="1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1220" t="str">
        <f>INDEX(PT_DIFFERENTIATION_NTAR,MATCH(B294,PT_DIFFERENTIATION_NTAR_ID,0))</f>
        <v/>
      </c>
      <c r="H294" s="337"/>
      <c r="I294" s="741"/>
      <c r="J294" s="742"/>
      <c r="K294" s="350"/>
      <c r="L294" s="337" t="s">
        <v>293</v>
      </c>
      <c r="M294" s="735"/>
      <c r="N294" s="603"/>
      <c r="O294" s="121"/>
      <c r="P294" s="121"/>
    </row>
    <row r="295" spans="1:16" s="46" customFormat="1" ht="18.75" hidden="1" customHeight="1">
      <c r="A295" s="134"/>
      <c r="B295" s="134"/>
      <c r="C295" s="318" t="s">
        <v>1041</v>
      </c>
      <c r="D295" s="1243"/>
      <c r="E295" s="1139"/>
      <c r="F295" s="1202"/>
      <c r="G295" s="1220"/>
      <c r="H295" s="527"/>
      <c r="I295" s="168" t="s">
        <v>1040</v>
      </c>
      <c r="J295" s="199"/>
      <c r="K295" s="527"/>
      <c r="L295" s="729"/>
      <c r="M295" s="735"/>
      <c r="N295" s="603"/>
      <c r="O295" s="121"/>
      <c r="P295" s="121"/>
    </row>
    <row r="296" spans="1:16" s="46" customFormat="1" ht="0.75" hidden="1" customHeight="1">
      <c r="A296" s="134"/>
      <c r="B296" s="134"/>
      <c r="C296" s="318" t="s">
        <v>1048</v>
      </c>
      <c r="D296" s="1243"/>
      <c r="E296" s="1139"/>
      <c r="F296" s="1202"/>
      <c r="G296" s="746"/>
      <c r="H296" s="527"/>
      <c r="I296" s="168"/>
      <c r="J296" s="199"/>
      <c r="K296" s="527"/>
      <c r="L296" s="729"/>
      <c r="M296" s="735"/>
      <c r="N296" s="603"/>
      <c r="O296" s="121"/>
      <c r="P296" s="121"/>
    </row>
    <row r="297" spans="1:16" s="46" customFormat="1" ht="18.75" hidden="1" customHeight="1">
      <c r="A297" s="134" t="s">
        <v>232</v>
      </c>
      <c r="B297" s="134" t="s">
        <v>233</v>
      </c>
      <c r="C297" s="318"/>
      <c r="D297" s="1243"/>
      <c r="E297" s="1139"/>
      <c r="F297" s="1202" t="str">
        <f>INDEX(PT_DIFFERENTIATION_VTAR,MATCH(A297,PT_DIFFERENTIATION_VTAR_ID,0))</f>
        <v>Тариф на горячую воду (горячее водоснабжение)</v>
      </c>
      <c r="G297" s="1220" t="str">
        <f>INDEX(PT_DIFFERENTIATION_NTAR,MATCH(B297,PT_DIFFERENTIATION_NTAR_ID,0))</f>
        <v/>
      </c>
      <c r="H297" s="337"/>
      <c r="I297" s="741"/>
      <c r="J297" s="742"/>
      <c r="K297" s="350"/>
      <c r="L297" s="337" t="s">
        <v>293</v>
      </c>
      <c r="M297" s="735"/>
      <c r="N297" s="603"/>
      <c r="O297" s="121"/>
      <c r="P297" s="121"/>
    </row>
    <row r="298" spans="1:16" s="46" customFormat="1" ht="18.75" hidden="1" customHeight="1">
      <c r="A298" s="134"/>
      <c r="B298" s="134"/>
      <c r="C298" s="318" t="s">
        <v>1041</v>
      </c>
      <c r="D298" s="1243"/>
      <c r="E298" s="1139"/>
      <c r="F298" s="1202"/>
      <c r="G298" s="1220"/>
      <c r="H298" s="527"/>
      <c r="I298" s="168" t="s">
        <v>1040</v>
      </c>
      <c r="J298" s="199"/>
      <c r="K298" s="527"/>
      <c r="L298" s="729"/>
      <c r="M298" s="735"/>
      <c r="N298" s="603"/>
      <c r="O298" s="121"/>
      <c r="P298" s="121"/>
    </row>
    <row r="299" spans="1:16" s="46" customFormat="1" ht="0.75" hidden="1" customHeight="1">
      <c r="A299" s="134"/>
      <c r="B299" s="134"/>
      <c r="C299" s="318" t="s">
        <v>1048</v>
      </c>
      <c r="D299" s="1243"/>
      <c r="E299" s="1139"/>
      <c r="F299" s="1202"/>
      <c r="G299" s="746"/>
      <c r="H299" s="527"/>
      <c r="I299" s="168"/>
      <c r="J299" s="199"/>
      <c r="K299" s="527"/>
      <c r="L299" s="729"/>
      <c r="M299" s="735"/>
      <c r="N299" s="603"/>
      <c r="O299" s="121"/>
      <c r="P299" s="121"/>
    </row>
    <row r="300" spans="1:16" s="46" customFormat="1" ht="18.75" hidden="1" customHeight="1">
      <c r="A300" s="134" t="s">
        <v>237</v>
      </c>
      <c r="B300" s="134" t="s">
        <v>238</v>
      </c>
      <c r="C300" s="318"/>
      <c r="D300" s="1243"/>
      <c r="E300" s="1139"/>
      <c r="F300" s="1202" t="str">
        <f>INDEX(PT_DIFFERENTIATION_VTAR,MATCH(A300,PT_DIFFERENTIATION_VTAR_ID,0))</f>
        <v>Тариф на транспортировку горячей воды</v>
      </c>
      <c r="G300" s="1220" t="str">
        <f>INDEX(PT_DIFFERENTIATION_NTAR,MATCH(B300,PT_DIFFERENTIATION_NTAR_ID,0))</f>
        <v/>
      </c>
      <c r="H300" s="337"/>
      <c r="I300" s="741"/>
      <c r="J300" s="742"/>
      <c r="K300" s="350"/>
      <c r="L300" s="337" t="s">
        <v>293</v>
      </c>
      <c r="M300" s="735"/>
      <c r="N300" s="603"/>
      <c r="O300" s="121"/>
      <c r="P300" s="121"/>
    </row>
    <row r="301" spans="1:16" s="46" customFormat="1" ht="18.75" hidden="1" customHeight="1">
      <c r="A301" s="134"/>
      <c r="B301" s="134"/>
      <c r="C301" s="318" t="s">
        <v>1041</v>
      </c>
      <c r="D301" s="1243"/>
      <c r="E301" s="1139"/>
      <c r="F301" s="1202"/>
      <c r="G301" s="1220"/>
      <c r="H301" s="527"/>
      <c r="I301" s="168" t="s">
        <v>1040</v>
      </c>
      <c r="J301" s="199"/>
      <c r="K301" s="527"/>
      <c r="L301" s="729"/>
      <c r="M301" s="735"/>
      <c r="N301" s="603"/>
      <c r="O301" s="121"/>
      <c r="P301" s="121"/>
    </row>
    <row r="302" spans="1:16" s="46" customFormat="1" ht="0.75" hidden="1" customHeight="1">
      <c r="A302" s="134"/>
      <c r="B302" s="134"/>
      <c r="C302" s="318" t="s">
        <v>1048</v>
      </c>
      <c r="D302" s="1243"/>
      <c r="E302" s="1139"/>
      <c r="F302" s="1202"/>
      <c r="G302" s="746"/>
      <c r="H302" s="527"/>
      <c r="I302" s="168"/>
      <c r="J302" s="199"/>
      <c r="K302" s="527"/>
      <c r="L302" s="729"/>
      <c r="M302" s="735"/>
      <c r="N302" s="603"/>
      <c r="O302" s="121"/>
      <c r="P302" s="121"/>
    </row>
    <row r="303" spans="1:16" s="46" customFormat="1" ht="18.75" hidden="1" customHeight="1">
      <c r="A303" s="134" t="s">
        <v>242</v>
      </c>
      <c r="B303" s="134" t="s">
        <v>243</v>
      </c>
      <c r="C303" s="318"/>
      <c r="D303" s="1243"/>
      <c r="E303" s="1139"/>
      <c r="F303" s="1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1220" t="str">
        <f>INDEX(PT_DIFFERENTIATION_NTAR,MATCH(B303,PT_DIFFERENTIATION_NTAR_ID,0))</f>
        <v/>
      </c>
      <c r="H303" s="337"/>
      <c r="I303" s="741"/>
      <c r="J303" s="742"/>
      <c r="K303" s="350"/>
      <c r="L303" s="337" t="s">
        <v>293</v>
      </c>
      <c r="M303" s="735"/>
      <c r="N303" s="603"/>
      <c r="O303" s="121"/>
      <c r="P303" s="121"/>
    </row>
    <row r="304" spans="1:16" s="46" customFormat="1" ht="18.75" hidden="1" customHeight="1">
      <c r="A304" s="134"/>
      <c r="B304" s="134"/>
      <c r="C304" s="318" t="s">
        <v>1041</v>
      </c>
      <c r="D304" s="1243"/>
      <c r="E304" s="1139"/>
      <c r="F304" s="1202"/>
      <c r="G304" s="1220"/>
      <c r="H304" s="527"/>
      <c r="I304" s="168" t="s">
        <v>1040</v>
      </c>
      <c r="J304" s="199"/>
      <c r="K304" s="527"/>
      <c r="L304" s="729"/>
      <c r="M304" s="735"/>
      <c r="N304" s="603"/>
      <c r="O304" s="121"/>
      <c r="P304" s="121"/>
    </row>
    <row r="305" spans="1:16" s="46" customFormat="1" ht="0.75" hidden="1" customHeight="1">
      <c r="A305" s="134"/>
      <c r="B305" s="134"/>
      <c r="C305" s="318" t="s">
        <v>1048</v>
      </c>
      <c r="D305" s="1243"/>
      <c r="E305" s="1139"/>
      <c r="F305" s="1202"/>
      <c r="G305" s="746"/>
      <c r="H305" s="527"/>
      <c r="I305" s="168"/>
      <c r="J305" s="199"/>
      <c r="K305" s="527"/>
      <c r="L305" s="729"/>
      <c r="M305" s="735"/>
      <c r="N305" s="603"/>
      <c r="O305" s="121"/>
      <c r="P305" s="121"/>
    </row>
    <row r="306" spans="1:16" s="46" customFormat="1" ht="18.75" hidden="1" customHeight="1">
      <c r="A306" s="134" t="s">
        <v>249</v>
      </c>
      <c r="B306" s="134" t="s">
        <v>250</v>
      </c>
      <c r="C306" s="318"/>
      <c r="D306" s="1243"/>
      <c r="E306" s="1139"/>
      <c r="F306" s="1202" t="str">
        <f>INDEX(PT_DIFFERENTIATION_VTAR,MATCH(A306,PT_DIFFERENTIATION_VTAR_ID,0))</f>
        <v>Тариф на водоотведение</v>
      </c>
      <c r="G306" s="1220" t="str">
        <f>INDEX(PT_DIFFERENTIATION_NTAR,MATCH(B306,PT_DIFFERENTIATION_NTAR_ID,0))</f>
        <v>Водоотведение</v>
      </c>
      <c r="H306" s="337"/>
      <c r="I306" s="741"/>
      <c r="J306" s="742"/>
      <c r="K306" s="350"/>
      <c r="L306" s="337" t="s">
        <v>293</v>
      </c>
      <c r="M306" s="735"/>
      <c r="N306" s="603"/>
      <c r="O306" s="121"/>
      <c r="P306" s="121"/>
    </row>
    <row r="307" spans="1:16" s="46" customFormat="1" ht="18.75" hidden="1" customHeight="1">
      <c r="A307" s="134"/>
      <c r="B307" s="134"/>
      <c r="C307" s="318" t="s">
        <v>1041</v>
      </c>
      <c r="D307" s="1243"/>
      <c r="E307" s="1139"/>
      <c r="F307" s="1202"/>
      <c r="G307" s="1220"/>
      <c r="H307" s="527"/>
      <c r="I307" s="168" t="s">
        <v>1040</v>
      </c>
      <c r="J307" s="199"/>
      <c r="K307" s="527"/>
      <c r="L307" s="729"/>
      <c r="M307" s="735"/>
      <c r="N307" s="603"/>
      <c r="O307" s="121"/>
      <c r="P307" s="121"/>
    </row>
    <row r="308" spans="1:16" s="46" customFormat="1" ht="0.75" hidden="1" customHeight="1">
      <c r="A308" s="134"/>
      <c r="B308" s="134"/>
      <c r="C308" s="318" t="s">
        <v>1048</v>
      </c>
      <c r="D308" s="1243"/>
      <c r="E308" s="1139"/>
      <c r="F308" s="1202"/>
      <c r="G308" s="746"/>
      <c r="H308" s="527"/>
      <c r="I308" s="168"/>
      <c r="J308" s="199"/>
      <c r="K308" s="527"/>
      <c r="L308" s="729"/>
      <c r="M308" s="735"/>
      <c r="N308" s="603"/>
      <c r="O308" s="121"/>
      <c r="P308" s="121"/>
    </row>
    <row r="309" spans="1:16" s="46" customFormat="1" ht="18.75" hidden="1" customHeight="1">
      <c r="A309" s="134" t="s">
        <v>257</v>
      </c>
      <c r="B309" s="134" t="s">
        <v>258</v>
      </c>
      <c r="C309" s="318"/>
      <c r="D309" s="1243"/>
      <c r="E309" s="1139"/>
      <c r="F309" s="1202" t="str">
        <f>INDEX(PT_DIFFERENTIATION_VTAR,MATCH(A309,PT_DIFFERENTIATION_VTAR_ID,0))</f>
        <v>Тариф на транспортировку сточных вод</v>
      </c>
      <c r="G309" s="1220" t="str">
        <f>INDEX(PT_DIFFERENTIATION_NTAR,MATCH(B309,PT_DIFFERENTIATION_NTAR_ID,0))</f>
        <v/>
      </c>
      <c r="H309" s="337"/>
      <c r="I309" s="741"/>
      <c r="J309" s="742"/>
      <c r="K309" s="350"/>
      <c r="L309" s="337" t="s">
        <v>293</v>
      </c>
      <c r="M309" s="735"/>
      <c r="N309" s="603"/>
      <c r="O309" s="121"/>
      <c r="P309" s="121"/>
    </row>
    <row r="310" spans="1:16" s="46" customFormat="1" ht="18.75" hidden="1" customHeight="1">
      <c r="A310" s="134"/>
      <c r="B310" s="134"/>
      <c r="C310" s="318" t="s">
        <v>1041</v>
      </c>
      <c r="D310" s="1243"/>
      <c r="E310" s="1139"/>
      <c r="F310" s="1202"/>
      <c r="G310" s="1220"/>
      <c r="H310" s="527"/>
      <c r="I310" s="168" t="s">
        <v>1040</v>
      </c>
      <c r="J310" s="199"/>
      <c r="K310" s="527"/>
      <c r="L310" s="729"/>
      <c r="M310" s="735"/>
      <c r="N310" s="603"/>
      <c r="O310" s="121"/>
      <c r="P310" s="121"/>
    </row>
    <row r="311" spans="1:16" s="46" customFormat="1" ht="0.75" hidden="1" customHeight="1">
      <c r="A311" s="134"/>
      <c r="B311" s="134"/>
      <c r="C311" s="318" t="s">
        <v>1048</v>
      </c>
      <c r="D311" s="1243"/>
      <c r="E311" s="1139"/>
      <c r="F311" s="1202"/>
      <c r="G311" s="746"/>
      <c r="H311" s="527"/>
      <c r="I311" s="168"/>
      <c r="J311" s="199"/>
      <c r="K311" s="527"/>
      <c r="L311" s="729"/>
      <c r="M311" s="735"/>
      <c r="N311" s="603"/>
      <c r="O311" s="121"/>
      <c r="P311" s="121"/>
    </row>
    <row r="312" spans="1:16" s="46" customFormat="1" ht="18.75" hidden="1" customHeight="1">
      <c r="A312" s="134" t="s">
        <v>262</v>
      </c>
      <c r="B312" s="134" t="s">
        <v>263</v>
      </c>
      <c r="C312" s="318"/>
      <c r="D312" s="1243"/>
      <c r="E312" s="1139"/>
      <c r="F312" s="1202" t="str">
        <f>INDEX(PT_DIFFERENTIATION_VTAR,MATCH(A312,PT_DIFFERENTIATION_VTAR_ID,0))</f>
        <v>Тариф на подключение (технологическое присоединение) к централизованной системе водоотведения</v>
      </c>
      <c r="G312" s="1220" t="str">
        <f>INDEX(PT_DIFFERENTIATION_NTAR,MATCH(B312,PT_DIFFERENTIATION_NTAR_ID,0))</f>
        <v/>
      </c>
      <c r="H312" s="337"/>
      <c r="I312" s="741"/>
      <c r="J312" s="742"/>
      <c r="K312" s="350"/>
      <c r="L312" s="337" t="s">
        <v>293</v>
      </c>
      <c r="M312" s="735"/>
      <c r="N312" s="603"/>
      <c r="O312" s="121"/>
      <c r="P312" s="121"/>
    </row>
    <row r="313" spans="1:16" s="46" customFormat="1" ht="18.75" hidden="1" customHeight="1">
      <c r="A313" s="134"/>
      <c r="B313" s="134"/>
      <c r="C313" s="318" t="s">
        <v>1041</v>
      </c>
      <c r="D313" s="1243"/>
      <c r="E313" s="1139"/>
      <c r="F313" s="1202"/>
      <c r="G313" s="1220"/>
      <c r="H313" s="527"/>
      <c r="I313" s="168" t="s">
        <v>1040</v>
      </c>
      <c r="J313" s="199"/>
      <c r="K313" s="527"/>
      <c r="L313" s="729"/>
      <c r="M313" s="735"/>
      <c r="N313" s="603"/>
      <c r="O313" s="121"/>
      <c r="P313" s="121"/>
    </row>
    <row r="314" spans="1:16" s="46" customFormat="1" ht="0.75" customHeight="1">
      <c r="A314" s="134"/>
      <c r="B314" s="134"/>
      <c r="C314" s="318" t="s">
        <v>1048</v>
      </c>
      <c r="D314" s="1243"/>
      <c r="E314" s="1139"/>
      <c r="F314" s="1202"/>
      <c r="G314" s="746"/>
      <c r="H314" s="527"/>
      <c r="I314" s="168"/>
      <c r="J314" s="199"/>
      <c r="K314" s="527"/>
      <c r="L314" s="729"/>
      <c r="M314" s="735"/>
      <c r="N314" s="603"/>
      <c r="O314" s="121"/>
      <c r="P314" s="121"/>
    </row>
    <row r="315" spans="1:16" s="134" customFormat="1" ht="3" customHeight="1">
      <c r="E315" s="749"/>
      <c r="F315" s="749"/>
      <c r="G315" s="749"/>
      <c r="H315" s="749"/>
      <c r="I315" s="749"/>
      <c r="J315" s="749"/>
      <c r="K315" s="749"/>
      <c r="L315" s="749"/>
      <c r="M315" s="749"/>
      <c r="O315" s="158"/>
      <c r="P315" s="158"/>
    </row>
    <row r="316" spans="1:16" ht="24.75" customHeight="1">
      <c r="E316" s="750"/>
      <c r="F316" s="1171"/>
      <c r="G316" s="1171"/>
      <c r="H316" s="1171"/>
      <c r="I316" s="1171"/>
      <c r="J316" s="1171"/>
      <c r="K316" s="1171"/>
      <c r="L316" s="1171"/>
      <c r="M316" s="1171"/>
    </row>
  </sheetData>
  <mergeCells count="408">
    <mergeCell ref="D309:D311"/>
    <mergeCell ref="E309:E311"/>
    <mergeCell ref="F309:F311"/>
    <mergeCell ref="G309:G310"/>
    <mergeCell ref="D312:D314"/>
    <mergeCell ref="E312:E314"/>
    <mergeCell ref="F312:F314"/>
    <mergeCell ref="G312:G313"/>
    <mergeCell ref="F316:M316"/>
    <mergeCell ref="D300:D302"/>
    <mergeCell ref="E300:E302"/>
    <mergeCell ref="F300:F302"/>
    <mergeCell ref="G300:G301"/>
    <mergeCell ref="D303:D305"/>
    <mergeCell ref="E303:E305"/>
    <mergeCell ref="F303:F305"/>
    <mergeCell ref="G303:G304"/>
    <mergeCell ref="D306:D308"/>
    <mergeCell ref="E306:E308"/>
    <mergeCell ref="F306:F308"/>
    <mergeCell ref="G306:G307"/>
    <mergeCell ref="D291:D293"/>
    <mergeCell ref="E291:E293"/>
    <mergeCell ref="F291:F293"/>
    <mergeCell ref="G291:G292"/>
    <mergeCell ref="D294:D296"/>
    <mergeCell ref="E294:E296"/>
    <mergeCell ref="F294:F296"/>
    <mergeCell ref="G294:G295"/>
    <mergeCell ref="D297:D299"/>
    <mergeCell ref="E297:E299"/>
    <mergeCell ref="F297:F299"/>
    <mergeCell ref="G297:G298"/>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58:D260"/>
    <mergeCell ref="E258:E260"/>
    <mergeCell ref="F258:F260"/>
    <mergeCell ref="G258:G259"/>
    <mergeCell ref="M258:M261"/>
    <mergeCell ref="D261:D263"/>
    <mergeCell ref="E261:E263"/>
    <mergeCell ref="F261:F263"/>
    <mergeCell ref="G261:G262"/>
    <mergeCell ref="D251:D253"/>
    <mergeCell ref="E251:E253"/>
    <mergeCell ref="F251:F253"/>
    <mergeCell ref="G251:G252"/>
    <mergeCell ref="D254:D256"/>
    <mergeCell ref="E254:E256"/>
    <mergeCell ref="F254:F256"/>
    <mergeCell ref="G254:G255"/>
    <mergeCell ref="F257:L257"/>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00:D202"/>
    <mergeCell ref="E200:E202"/>
    <mergeCell ref="F200:F202"/>
    <mergeCell ref="G200:G201"/>
    <mergeCell ref="M200:M203"/>
    <mergeCell ref="D203:D205"/>
    <mergeCell ref="E203:E205"/>
    <mergeCell ref="F203:F205"/>
    <mergeCell ref="G203:G204"/>
    <mergeCell ref="D193:D195"/>
    <mergeCell ref="E193:E195"/>
    <mergeCell ref="F193:F195"/>
    <mergeCell ref="G193:G194"/>
    <mergeCell ref="D196:D198"/>
    <mergeCell ref="E196:E198"/>
    <mergeCell ref="F196:F198"/>
    <mergeCell ref="G196:G197"/>
    <mergeCell ref="F199:L199"/>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42:D144"/>
    <mergeCell ref="E142:E144"/>
    <mergeCell ref="F142:F144"/>
    <mergeCell ref="G142:G143"/>
    <mergeCell ref="M142:M145"/>
    <mergeCell ref="D145:D147"/>
    <mergeCell ref="E145:E147"/>
    <mergeCell ref="F145:F147"/>
    <mergeCell ref="G145:G146"/>
    <mergeCell ref="D135:D137"/>
    <mergeCell ref="E135:E137"/>
    <mergeCell ref="F135:F137"/>
    <mergeCell ref="G135:G136"/>
    <mergeCell ref="D138:D140"/>
    <mergeCell ref="E138:E140"/>
    <mergeCell ref="F138:F140"/>
    <mergeCell ref="G138:G139"/>
    <mergeCell ref="F141:L141"/>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08:D110"/>
    <mergeCell ref="E108:E110"/>
    <mergeCell ref="F108:F110"/>
    <mergeCell ref="G108:G109"/>
    <mergeCell ref="D111:D113"/>
    <mergeCell ref="E111:E113"/>
    <mergeCell ref="F111:F113"/>
    <mergeCell ref="G111:G112"/>
    <mergeCell ref="D114:D116"/>
    <mergeCell ref="E114:E116"/>
    <mergeCell ref="F114:F116"/>
    <mergeCell ref="G114:G115"/>
    <mergeCell ref="D99:D101"/>
    <mergeCell ref="E99:E101"/>
    <mergeCell ref="F99:F101"/>
    <mergeCell ref="G99:G100"/>
    <mergeCell ref="D102:D104"/>
    <mergeCell ref="E102:E104"/>
    <mergeCell ref="F102:F104"/>
    <mergeCell ref="G102:G103"/>
    <mergeCell ref="D105:D107"/>
    <mergeCell ref="E105:E107"/>
    <mergeCell ref="F105:F107"/>
    <mergeCell ref="G105:G106"/>
    <mergeCell ref="D90:D92"/>
    <mergeCell ref="E90:E92"/>
    <mergeCell ref="F90:F92"/>
    <mergeCell ref="G90:G91"/>
    <mergeCell ref="D93:D95"/>
    <mergeCell ref="E93:E95"/>
    <mergeCell ref="F93:F95"/>
    <mergeCell ref="G93:G94"/>
    <mergeCell ref="D96:D98"/>
    <mergeCell ref="E96:E98"/>
    <mergeCell ref="F96:F98"/>
    <mergeCell ref="G96:G97"/>
    <mergeCell ref="H82:I82"/>
    <mergeCell ref="F83:L83"/>
    <mergeCell ref="D84:D86"/>
    <mergeCell ref="E84:E86"/>
    <mergeCell ref="F84:F86"/>
    <mergeCell ref="G84:G85"/>
    <mergeCell ref="M84:M87"/>
    <mergeCell ref="D87:D89"/>
    <mergeCell ref="E87:E89"/>
    <mergeCell ref="F87:F89"/>
    <mergeCell ref="G87:G88"/>
    <mergeCell ref="D75:D77"/>
    <mergeCell ref="E75:E77"/>
    <mergeCell ref="F75:F77"/>
    <mergeCell ref="G75:G76"/>
    <mergeCell ref="D78:D80"/>
    <mergeCell ref="E78:E80"/>
    <mergeCell ref="F78:F80"/>
    <mergeCell ref="G78:G79"/>
    <mergeCell ref="F81:L81"/>
    <mergeCell ref="D66:D68"/>
    <mergeCell ref="E66:E68"/>
    <mergeCell ref="F66:F68"/>
    <mergeCell ref="G66:G67"/>
    <mergeCell ref="D69:D71"/>
    <mergeCell ref="E69:E71"/>
    <mergeCell ref="F69:F71"/>
    <mergeCell ref="G69:G70"/>
    <mergeCell ref="D72:D74"/>
    <mergeCell ref="E72:E74"/>
    <mergeCell ref="F72:F74"/>
    <mergeCell ref="G72:G73"/>
    <mergeCell ref="D57:D59"/>
    <mergeCell ref="E57:E59"/>
    <mergeCell ref="F57:F59"/>
    <mergeCell ref="G57:G58"/>
    <mergeCell ref="D60:D62"/>
    <mergeCell ref="E60:E62"/>
    <mergeCell ref="F60:F62"/>
    <mergeCell ref="G60:G61"/>
    <mergeCell ref="D63:D65"/>
    <mergeCell ref="E63:E65"/>
    <mergeCell ref="F63:F65"/>
    <mergeCell ref="G63:G64"/>
    <mergeCell ref="D48:D50"/>
    <mergeCell ref="E48:E50"/>
    <mergeCell ref="F48:F50"/>
    <mergeCell ref="G48:G49"/>
    <mergeCell ref="D51:D53"/>
    <mergeCell ref="E51:E53"/>
    <mergeCell ref="F51:F53"/>
    <mergeCell ref="G51:G52"/>
    <mergeCell ref="D54:D56"/>
    <mergeCell ref="E54:E56"/>
    <mergeCell ref="F54:F56"/>
    <mergeCell ref="G54:G55"/>
    <mergeCell ref="E39:E41"/>
    <mergeCell ref="F39:F41"/>
    <mergeCell ref="G39:G40"/>
    <mergeCell ref="D42:D44"/>
    <mergeCell ref="E42:E44"/>
    <mergeCell ref="F42:F44"/>
    <mergeCell ref="G42:G43"/>
    <mergeCell ref="D45:D47"/>
    <mergeCell ref="E45:E47"/>
    <mergeCell ref="F45:F47"/>
    <mergeCell ref="G45:G46"/>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formula1>0</formula1>
      <formula2>0</formula2>
    </dataValidation>
    <dataValidation type="textLength" operator="lessThanOrEqual" allowBlank="1" showInputMessage="1" showErrorMessage="1" errorTitle="Ошибка" error="Допускается ввод не более 900 символов!" sqref="M23 M84:M85 M142:M143 M200:M201 M258:M259">
      <formula1>900</formula1>
      <formula2>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formula2>0</formula2>
    </dataValidation>
    <dataValidation type="decimal" allowBlank="1" showErrorMessage="1" errorTitle="Ошибка" error="Допускается ввод только действительных чисел!"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formula1>-9.99999999999999E+23</formula1>
      <formula2>9.99999999999999E+23</formula2>
    </dataValidation>
  </dataValidations>
  <pageMargins left="0.7" right="0.7" top="0.625" bottom="0.625" header="0.3" footer="0.3"/>
  <pageSetup paperSize="9"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Q16"/>
  <sheetViews>
    <sheetView showGridLines="0" topLeftCell="C4" zoomScale="90" zoomScaleNormal="90" workbookViewId="0"/>
  </sheetViews>
  <sheetFormatPr defaultColWidth="10.5703125" defaultRowHeight="14.25"/>
  <cols>
    <col min="1" max="1" width="9.140625" style="56" hidden="1" customWidth="1"/>
    <col min="2" max="2" width="9.140625" style="49" hidden="1" customWidth="1"/>
    <col min="3" max="3" width="3.7109375" style="389" customWidth="1"/>
    <col min="4" max="4" width="6.28515625" style="46" customWidth="1"/>
    <col min="5" max="5" width="53.85546875" style="46" customWidth="1"/>
    <col min="6" max="7" width="35.7109375" style="46" customWidth="1"/>
    <col min="8" max="8" width="89.5703125" style="46" customWidth="1"/>
    <col min="9" max="9" width="10.5703125" style="46"/>
    <col min="10" max="11" width="10.5703125" style="121"/>
    <col min="12" max="17" width="10.5703125" style="46"/>
  </cols>
  <sheetData>
    <row r="1" spans="1:17" ht="14.25" hidden="1" customHeight="1">
      <c r="N1" s="722"/>
      <c r="O1" s="722"/>
      <c r="Q1" s="722"/>
    </row>
    <row r="2" spans="1:17" s="46" customFormat="1" ht="18.75" hidden="1" customHeight="1">
      <c r="A2" s="134"/>
      <c r="B2" s="49"/>
      <c r="C2" s="736" t="s">
        <v>502</v>
      </c>
      <c r="D2" s="274"/>
      <c r="E2" s="303"/>
      <c r="F2" s="737"/>
      <c r="G2" s="381"/>
      <c r="I2" s="121"/>
      <c r="J2" s="121"/>
    </row>
    <row r="3" spans="1:17" ht="14.25" hidden="1" customHeight="1"/>
    <row r="4" spans="1:17" ht="6" customHeight="1">
      <c r="C4" s="437"/>
      <c r="D4" s="83"/>
      <c r="E4" s="83"/>
      <c r="F4" s="83"/>
      <c r="G4" s="723"/>
      <c r="H4" s="723"/>
    </row>
    <row r="5" spans="1:17" ht="33" customHeight="1">
      <c r="C5" s="437"/>
      <c r="D5" s="110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06"/>
      <c r="F5" s="1106"/>
      <c r="G5" s="1106"/>
      <c r="H5" s="200"/>
    </row>
    <row r="6" spans="1:17" s="46" customFormat="1" ht="17.25" customHeight="1">
      <c r="A6" s="56"/>
      <c r="B6" s="49"/>
      <c r="C6" s="437"/>
      <c r="D6" s="1127" t="str">
        <f>IF(org=0,"Не определено",org)</f>
        <v>Филиал ПАО "ОГК-2" - Серовская ГРЭС, г. Серов</v>
      </c>
      <c r="E6" s="1127"/>
      <c r="F6" s="1127"/>
      <c r="G6" s="1127"/>
      <c r="H6" s="200"/>
      <c r="J6" s="121"/>
      <c r="K6" s="121"/>
    </row>
    <row r="7" spans="1:17" ht="14.25" customHeight="1">
      <c r="C7" s="437"/>
      <c r="D7" s="83"/>
      <c r="E7" s="77"/>
      <c r="F7" s="77"/>
      <c r="G7" s="272"/>
      <c r="H7" s="724"/>
    </row>
    <row r="8" spans="1:17" ht="14.25" customHeight="1">
      <c r="C8" s="437"/>
      <c r="D8" s="1167" t="s">
        <v>287</v>
      </c>
      <c r="E8" s="1167"/>
      <c r="F8" s="1167"/>
      <c r="G8" s="1167"/>
      <c r="H8" s="1235" t="s">
        <v>288</v>
      </c>
    </row>
    <row r="9" spans="1:17" ht="14.25" customHeight="1">
      <c r="C9" s="437"/>
      <c r="D9" s="368" t="s">
        <v>84</v>
      </c>
      <c r="E9" s="203" t="s">
        <v>289</v>
      </c>
      <c r="F9" s="203" t="s">
        <v>290</v>
      </c>
      <c r="G9" s="203" t="s">
        <v>379</v>
      </c>
      <c r="H9" s="1235"/>
    </row>
    <row r="10" spans="1:17" ht="14.25" customHeight="1">
      <c r="A10" s="134"/>
      <c r="C10" s="437"/>
      <c r="D10" s="274" t="s">
        <v>105</v>
      </c>
      <c r="E10" s="7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737"/>
      <c r="G10" s="381"/>
      <c r="H10" s="1246" t="s">
        <v>1049</v>
      </c>
    </row>
    <row r="11" spans="1:17" ht="14.25" customHeight="1">
      <c r="A11" s="134"/>
      <c r="C11" s="437"/>
      <c r="D11" s="274" t="s">
        <v>106</v>
      </c>
      <c r="E11" s="7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737"/>
      <c r="G11" s="381"/>
      <c r="H11" s="1246"/>
    </row>
    <row r="12" spans="1:17" ht="14.25" customHeight="1">
      <c r="A12" s="134"/>
      <c r="C12" s="302"/>
      <c r="D12" s="274" t="s">
        <v>86</v>
      </c>
      <c r="E12" s="740" t="str">
        <f>"Сведения о планировании закупочных процедур"&amp;IF(TEMPLATE_SPHERE="TKO"," &lt;1&gt;","")</f>
        <v>Сведения о планировании закупочных процедур</v>
      </c>
      <c r="F12" s="737"/>
      <c r="G12" s="381"/>
      <c r="H12" s="12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1"/>
      <c r="K12" s="46"/>
    </row>
    <row r="13" spans="1:17" ht="14.25" customHeight="1">
      <c r="A13" s="134"/>
      <c r="C13" s="302"/>
      <c r="D13" s="274" t="s">
        <v>87</v>
      </c>
      <c r="E13" s="740" t="str">
        <f>"Сведения о результатах проведения закупочных процедур"&amp;IF(TEMPLATE_SPHERE="TKO"," &lt;1&gt;","")</f>
        <v>Сведения о результатах проведения закупочных процедур</v>
      </c>
      <c r="F13" s="737"/>
      <c r="G13" s="381"/>
      <c r="H13" s="1247"/>
      <c r="I13" s="121"/>
      <c r="K13" s="46"/>
    </row>
    <row r="14" spans="1:17" ht="14.25" customHeight="1">
      <c r="A14" s="134"/>
      <c r="C14" s="437"/>
      <c r="D14" s="669"/>
      <c r="E14" s="168" t="s">
        <v>1017</v>
      </c>
      <c r="F14" s="199"/>
      <c r="G14" s="729"/>
      <c r="H14" s="1247"/>
    </row>
    <row r="15" spans="1:17" s="46" customFormat="1" ht="14.25" customHeight="1">
      <c r="A15" s="134"/>
      <c r="B15" s="49"/>
      <c r="C15" s="437"/>
      <c r="D15" s="596"/>
      <c r="E15" s="752"/>
      <c r="F15" s="753"/>
      <c r="G15" s="754"/>
      <c r="H15" s="755"/>
      <c r="J15" s="121"/>
      <c r="K15" s="121"/>
    </row>
    <row r="16" spans="1:17" ht="14.25" customHeight="1">
      <c r="D16" s="387"/>
      <c r="E16" s="1171"/>
      <c r="F16" s="1171"/>
      <c r="G16" s="1171"/>
      <c r="H16" s="1171"/>
    </row>
  </sheetData>
  <mergeCells count="7">
    <mergeCell ref="H12:H14"/>
    <mergeCell ref="E16:H16"/>
    <mergeCell ref="D5:G5"/>
    <mergeCell ref="D6:G6"/>
    <mergeCell ref="D8:G8"/>
    <mergeCell ref="H8:H9"/>
    <mergeCell ref="H10:H11"/>
  </mergeCells>
  <dataValidations count="2">
    <dataValidation type="textLength" operator="lessThanOrEqual" allowBlank="1" showInputMessage="1" showErrorMessage="1" errorTitle="Ошибка" error="Допускается ввод не более 900 символов!" sqref="E2:F2 F10:F13 H10 E13">
      <formula1>900</formula1>
      <formula2>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formula2>0</formula2>
    </dataValidation>
  </dataValidations>
  <pageMargins left="0.7" right="0.7" top="0.625" bottom="0.625" header="0.3" footer="0.3"/>
  <pageSetup paperSize="9"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3"/>
  </sheetPr>
  <dimension ref="A1:U29"/>
  <sheetViews>
    <sheetView showGridLines="0" topLeftCell="C4" zoomScale="90" zoomScaleNormal="90" workbookViewId="0"/>
  </sheetViews>
  <sheetFormatPr defaultColWidth="10.5703125" defaultRowHeight="15"/>
  <cols>
    <col min="1" max="1" width="9.140625" style="52" hidden="1" customWidth="1"/>
    <col min="2" max="2" width="9.140625" style="46" hidden="1" customWidth="1"/>
    <col min="3" max="3" width="4.7109375" style="140" customWidth="1"/>
    <col min="4" max="4" width="6.28515625" style="46" customWidth="1"/>
    <col min="5" max="5" width="47.85546875" style="46" customWidth="1"/>
    <col min="6" max="6" width="9.5703125" style="46" customWidth="1"/>
    <col min="7" max="7" width="25.7109375" style="46" hidden="1" customWidth="1"/>
    <col min="8" max="8" width="34" style="46" hidden="1" customWidth="1"/>
    <col min="9" max="9" width="25.7109375" style="46" customWidth="1"/>
    <col min="10" max="10" width="34" style="46" customWidth="1"/>
    <col min="11" max="11" width="50.85546875" style="49" customWidth="1"/>
    <col min="12" max="20" width="10.5703125" style="46"/>
    <col min="21" max="21" width="10.5703125" style="108"/>
  </cols>
  <sheetData>
    <row r="1" spans="1:21" s="49" customFormat="1" ht="15" hidden="1" customHeight="1">
      <c r="C1" s="107"/>
      <c r="G1" s="49">
        <v>4</v>
      </c>
      <c r="I1" s="49">
        <v>4</v>
      </c>
      <c r="U1" s="157"/>
    </row>
    <row r="2" spans="1:21" s="46" customFormat="1" ht="15" hidden="1" customHeight="1">
      <c r="A2" s="52"/>
      <c r="C2" s="140"/>
      <c r="D2" s="117"/>
      <c r="E2" s="255"/>
      <c r="F2" s="47"/>
      <c r="G2" s="133"/>
      <c r="H2" s="133"/>
      <c r="I2" s="133"/>
      <c r="J2" s="133"/>
      <c r="U2" s="108"/>
    </row>
    <row r="3" spans="1:21" s="49" customFormat="1" ht="15" hidden="1" customHeight="1">
      <c r="C3" s="107"/>
      <c r="U3" s="157"/>
    </row>
    <row r="5" spans="1:21" ht="63" customHeight="1">
      <c r="D5" s="1106" t="s">
        <v>1050</v>
      </c>
      <c r="E5" s="1106"/>
      <c r="F5" s="1106"/>
      <c r="G5" s="1106"/>
      <c r="H5" s="1106"/>
      <c r="I5" s="1106"/>
      <c r="J5" s="1106"/>
    </row>
    <row r="6" spans="1:21" ht="15" customHeight="1">
      <c r="D6" s="1127" t="str">
        <f>IF(org=0,"Не определено",org)</f>
        <v>Филиал ПАО "ОГК-2" - Серовская ГРЭС, г. Серов</v>
      </c>
      <c r="E6" s="1127"/>
      <c r="F6" s="1127"/>
      <c r="G6" s="1127"/>
      <c r="H6" s="1127"/>
      <c r="I6" s="1127"/>
      <c r="J6" s="1127"/>
    </row>
    <row r="7" spans="1:21" ht="15" customHeight="1">
      <c r="D7" s="272"/>
      <c r="G7" s="49">
        <v>22</v>
      </c>
      <c r="I7" s="49">
        <v>1</v>
      </c>
      <c r="J7" s="272"/>
    </row>
    <row r="8" spans="1:21" s="46" customFormat="1" ht="0.75" customHeight="1">
      <c r="A8" s="52"/>
      <c r="C8" s="140"/>
      <c r="G8" s="49"/>
      <c r="H8" s="272"/>
      <c r="I8" s="49" t="s">
        <v>113</v>
      </c>
      <c r="J8" s="272"/>
      <c r="K8" s="49"/>
      <c r="U8" s="108"/>
    </row>
    <row r="9" spans="1:21" ht="15" customHeight="1">
      <c r="D9" s="545"/>
      <c r="E9" s="1197" t="s">
        <v>101</v>
      </c>
      <c r="F9" s="1197"/>
      <c r="G9" s="1211" t="str">
        <f>IF(G8="","",INDEX(DIFFERENTIATION_UNMERGE_VD,MATCH(G8,DIFFERENTIATION_ID_DIFF,0)))</f>
        <v/>
      </c>
      <c r="H9" s="1211"/>
      <c r="I9" s="1211">
        <f>IF(I8="","",INDEX(DIFFERENTIATION_UNMERGE_VD,MATCH(I8,DIFFERENTIATION_ID_DIFF,0)))</f>
        <v>0</v>
      </c>
      <c r="J9" s="1211"/>
      <c r="K9" s="1087" t="s">
        <v>288</v>
      </c>
    </row>
    <row r="10" spans="1:21" s="46" customFormat="1" ht="15" customHeight="1">
      <c r="A10" s="52"/>
      <c r="C10" s="140"/>
      <c r="D10" s="545"/>
      <c r="E10" s="1197" t="s">
        <v>544</v>
      </c>
      <c r="F10" s="1197"/>
      <c r="G10" s="1211" t="str">
        <f>IF(G8="","",INDEX(DIFFERENTIATION_UNMERGE_AREA,MATCH(G8,DIFFERENTIATION_ID_DIFF,0)))</f>
        <v/>
      </c>
      <c r="H10" s="1211"/>
      <c r="I10" s="1211" t="str">
        <f>IF(I8="","",INDEX(DIFFERENTIATION_UNMERGE_AREA,MATCH(I8,DIFFERENTIATION_ID_DIFF,0)))</f>
        <v/>
      </c>
      <c r="J10" s="1211"/>
      <c r="K10" s="1087"/>
      <c r="U10" s="108"/>
    </row>
    <row r="11" spans="1:21" s="46" customFormat="1" ht="15" customHeight="1">
      <c r="A11" s="52"/>
      <c r="C11" s="140"/>
      <c r="D11" s="545"/>
      <c r="E11" s="1197" t="s">
        <v>545</v>
      </c>
      <c r="F11" s="1197"/>
      <c r="G11" s="1211" t="str">
        <f>IF(G8="","",INDEX(DIFFERENTIATION_UNMERGE_SYSTEM,MATCH(G8,DIFFERENTIATION_ID_DIFF,0)))</f>
        <v/>
      </c>
      <c r="H11" s="1211"/>
      <c r="I11" s="1211" t="str">
        <f>IF(I8="","",INDEX(DIFFERENTIATION_UNMERGE_SYSTEM,MATCH(I8,DIFFERENTIATION_ID_DIFF,0)))</f>
        <v>без дифференциации</v>
      </c>
      <c r="J11" s="1211"/>
      <c r="K11" s="1087"/>
      <c r="U11" s="108"/>
    </row>
    <row r="12" spans="1:21" s="46" customFormat="1" ht="15" customHeight="1">
      <c r="A12" s="52"/>
      <c r="C12" s="140"/>
      <c r="D12" s="1198" t="s">
        <v>287</v>
      </c>
      <c r="E12" s="1198"/>
      <c r="F12" s="1198"/>
      <c r="G12" s="548"/>
      <c r="H12" s="548"/>
      <c r="I12" s="548"/>
      <c r="J12" s="548"/>
      <c r="K12" s="1087"/>
      <c r="U12" s="108"/>
    </row>
    <row r="13" spans="1:21" ht="33.75" customHeight="1">
      <c r="D13" s="148" t="s">
        <v>84</v>
      </c>
      <c r="E13" s="136" t="s">
        <v>289</v>
      </c>
      <c r="F13" s="148" t="s">
        <v>546</v>
      </c>
      <c r="G13" s="245" t="s">
        <v>290</v>
      </c>
      <c r="H13" s="148" t="s">
        <v>379</v>
      </c>
      <c r="I13" s="245" t="s">
        <v>290</v>
      </c>
      <c r="J13" s="148" t="s">
        <v>379</v>
      </c>
      <c r="K13" s="1087"/>
    </row>
    <row r="14" spans="1:21" ht="15" hidden="1" customHeight="1">
      <c r="D14" s="182" t="s">
        <v>105</v>
      </c>
      <c r="E14" s="182" t="s">
        <v>106</v>
      </c>
      <c r="F14" s="182" t="s">
        <v>86</v>
      </c>
      <c r="G14" s="140" t="str">
        <f>G1&amp;".1"</f>
        <v>4.1</v>
      </c>
      <c r="H14" s="140"/>
      <c r="I14" s="140" t="str">
        <f>I1&amp;".1"</f>
        <v>4.1</v>
      </c>
      <c r="J14" s="140"/>
      <c r="K14" s="395"/>
    </row>
    <row r="15" spans="1:21" ht="22.5" hidden="1" customHeight="1">
      <c r="A15" s="46"/>
      <c r="C15" s="120"/>
      <c r="D15" s="148">
        <v>1</v>
      </c>
      <c r="E15" s="549" t="s">
        <v>703</v>
      </c>
      <c r="F15" s="148" t="s">
        <v>704</v>
      </c>
      <c r="G15" s="756"/>
      <c r="H15" s="756"/>
      <c r="I15" s="756"/>
      <c r="J15" s="756"/>
      <c r="K15" s="395" t="s">
        <v>705</v>
      </c>
    </row>
    <row r="16" spans="1:21" ht="22.5" hidden="1" customHeight="1">
      <c r="A16" s="46"/>
      <c r="C16" s="120"/>
      <c r="D16" s="148">
        <v>2</v>
      </c>
      <c r="E16" s="549" t="s">
        <v>706</v>
      </c>
      <c r="F16" s="148" t="s">
        <v>707</v>
      </c>
      <c r="G16" s="756"/>
      <c r="H16" s="756"/>
      <c r="I16" s="756"/>
      <c r="J16" s="756"/>
      <c r="K16" s="395" t="s">
        <v>708</v>
      </c>
    </row>
    <row r="17" spans="1:11" ht="123.75" hidden="1" customHeight="1">
      <c r="A17" s="46"/>
      <c r="C17" s="120"/>
      <c r="D17" s="148">
        <v>3</v>
      </c>
      <c r="E17" s="549" t="s">
        <v>1051</v>
      </c>
      <c r="F17" s="148" t="s">
        <v>293</v>
      </c>
      <c r="G17" s="756"/>
      <c r="H17" s="756"/>
      <c r="I17" s="756"/>
      <c r="J17" s="756"/>
      <c r="K17" s="533" t="s">
        <v>1052</v>
      </c>
    </row>
    <row r="18" spans="1:11" ht="45" customHeight="1">
      <c r="A18" s="46"/>
      <c r="C18" s="120"/>
      <c r="D18" s="148">
        <v>4</v>
      </c>
      <c r="E18" s="549" t="s">
        <v>709</v>
      </c>
      <c r="F18" s="148" t="s">
        <v>293</v>
      </c>
      <c r="G18" s="148" t="s">
        <v>293</v>
      </c>
      <c r="H18" s="242" t="s">
        <v>293</v>
      </c>
      <c r="I18" s="148" t="s">
        <v>293</v>
      </c>
      <c r="J18" s="242" t="s">
        <v>293</v>
      </c>
      <c r="K18" s="395" t="s">
        <v>1053</v>
      </c>
    </row>
    <row r="19" spans="1:11" ht="33.75" customHeight="1">
      <c r="A19" s="46"/>
      <c r="C19" s="120"/>
      <c r="D19" s="190" t="s">
        <v>647</v>
      </c>
      <c r="E19" s="513" t="s">
        <v>711</v>
      </c>
      <c r="F19" s="148" t="s">
        <v>712</v>
      </c>
      <c r="G19" s="632"/>
      <c r="H19" s="224"/>
      <c r="I19" s="632"/>
      <c r="J19" s="577"/>
      <c r="K19" s="672"/>
    </row>
    <row r="20" spans="1:11" ht="33.75" customHeight="1">
      <c r="A20" s="46"/>
      <c r="C20" s="120"/>
      <c r="D20" s="190" t="s">
        <v>690</v>
      </c>
      <c r="E20" s="513" t="s">
        <v>713</v>
      </c>
      <c r="F20" s="148" t="s">
        <v>714</v>
      </c>
      <c r="G20" s="632"/>
      <c r="H20" s="224"/>
      <c r="I20" s="632"/>
      <c r="J20" s="224"/>
      <c r="K20" s="672"/>
    </row>
    <row r="21" spans="1:11" ht="45" customHeight="1">
      <c r="A21" s="46"/>
      <c r="C21" s="120"/>
      <c r="D21" s="190" t="s">
        <v>693</v>
      </c>
      <c r="E21" s="513" t="s">
        <v>715</v>
      </c>
      <c r="F21" s="148" t="s">
        <v>551</v>
      </c>
      <c r="G21" s="633"/>
      <c r="H21" s="224"/>
      <c r="I21" s="633"/>
      <c r="J21" s="224"/>
      <c r="K21" s="672"/>
    </row>
    <row r="22" spans="1:11" ht="67.5" hidden="1" customHeight="1">
      <c r="A22" s="46"/>
      <c r="C22" s="120"/>
      <c r="D22" s="148">
        <v>5</v>
      </c>
      <c r="E22" s="549" t="s">
        <v>1054</v>
      </c>
      <c r="F22" s="148" t="s">
        <v>538</v>
      </c>
      <c r="G22" s="757"/>
      <c r="H22" s="519"/>
      <c r="I22" s="757"/>
      <c r="J22" s="519"/>
      <c r="K22" s="533" t="s">
        <v>1055</v>
      </c>
    </row>
    <row r="23" spans="1:11" ht="33.75" hidden="1" customHeight="1">
      <c r="C23" s="120"/>
      <c r="D23" s="148">
        <v>6</v>
      </c>
      <c r="E23" s="549" t="s">
        <v>1056</v>
      </c>
      <c r="F23" s="148" t="s">
        <v>1057</v>
      </c>
      <c r="G23" s="757"/>
      <c r="H23" s="757"/>
      <c r="I23" s="757"/>
      <c r="J23" s="757"/>
      <c r="K23" s="395" t="s">
        <v>1058</v>
      </c>
    </row>
    <row r="29" spans="1:11" ht="15" customHeight="1">
      <c r="J29" s="758"/>
    </row>
  </sheetData>
  <mergeCells count="13">
    <mergeCell ref="K9:K13"/>
    <mergeCell ref="E10:F10"/>
    <mergeCell ref="G10:H10"/>
    <mergeCell ref="I10:J10"/>
    <mergeCell ref="E11:F11"/>
    <mergeCell ref="G11:H11"/>
    <mergeCell ref="I11:J11"/>
    <mergeCell ref="D12:F12"/>
    <mergeCell ref="D5:J5"/>
    <mergeCell ref="D6:J6"/>
    <mergeCell ref="E9:F9"/>
    <mergeCell ref="G9:H9"/>
    <mergeCell ref="I9:J9"/>
  </mergeCells>
  <dataValidations count="4">
    <dataValidation type="textLength" operator="lessThanOrEqual" allowBlank="1" showInputMessage="1" showErrorMessage="1" errorTitle="Ошибка" error="Допускается ввод не более 900 символов!" sqref="H19:H21 J19:J21">
      <formula1>900</formula1>
      <formula2>0</formula2>
    </dataValidation>
    <dataValidation type="decimal" allowBlank="1" showErrorMessage="1" errorTitle="Ошибка" error="Допускается ввод только неотрицательных чисел!" sqref="G21 I21">
      <formula1>0</formula1>
      <formula2>9.99999999999999E+23</formula2>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 E15">
      <formula1>0</formula1>
      <formula2>0</formula2>
    </dataValidation>
  </dataValidations>
  <pageMargins left="0.7" right="0.7" top="0.625" bottom="0.62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zoomScaleNormal="90" workbookViewId="0"/>
  </sheetViews>
  <sheetFormatPr defaultColWidth="9.140625" defaultRowHeight="14.25"/>
  <cols>
    <col min="1" max="1" width="9.140625" style="234" hidden="1"/>
    <col min="2" max="2" width="9.140625" style="134" hidden="1"/>
    <col min="3" max="3" width="3.7109375" style="759" customWidth="1"/>
    <col min="4" max="4" width="7" style="134" customWidth="1"/>
    <col min="5" max="5" width="23.140625" style="134" customWidth="1"/>
    <col min="6" max="6" width="16" style="134" customWidth="1"/>
    <col min="7" max="7" width="14.85546875" style="134" customWidth="1"/>
    <col min="8" max="8" width="47.85546875" style="134" customWidth="1"/>
    <col min="9" max="9" width="115.7109375" style="134" customWidth="1"/>
    <col min="10" max="10" width="3.7109375" style="134" customWidth="1"/>
    <col min="11" max="12" width="9.140625" style="134"/>
  </cols>
  <sheetData>
    <row r="1" spans="1:12" ht="14.25" hidden="1" customHeight="1"/>
    <row r="2" spans="1:12" ht="14.25" hidden="1" customHeight="1"/>
    <row r="3" spans="1:12" ht="14.25" hidden="1" customHeight="1"/>
    <row r="4" spans="1:12" ht="3" customHeight="1"/>
    <row r="5" spans="1:12" s="46" customFormat="1" ht="30" customHeight="1">
      <c r="A5" s="52"/>
      <c r="C5" s="302"/>
      <c r="D5" s="1248" t="s">
        <v>1059</v>
      </c>
      <c r="E5" s="1248"/>
      <c r="F5" s="1248"/>
      <c r="G5" s="1248"/>
      <c r="H5" s="1248"/>
      <c r="I5" s="200"/>
    </row>
    <row r="6" spans="1:12" ht="3" hidden="1" customHeight="1">
      <c r="D6" s="264"/>
      <c r="E6" s="264"/>
      <c r="F6" s="264"/>
      <c r="G6" s="264"/>
      <c r="H6" s="264"/>
      <c r="I6" s="264"/>
    </row>
    <row r="7" spans="1:12" s="234" customFormat="1" ht="14.25" customHeight="1">
      <c r="B7" s="134"/>
      <c r="C7" s="759"/>
      <c r="D7" s="760"/>
      <c r="E7" s="760"/>
      <c r="F7" s="760"/>
      <c r="G7" s="760"/>
      <c r="H7" s="272"/>
      <c r="I7" s="760"/>
      <c r="J7" s="761"/>
    </row>
    <row r="8" spans="1:12" ht="14.25" customHeight="1">
      <c r="D8" s="1167" t="s">
        <v>287</v>
      </c>
      <c r="E8" s="1167"/>
      <c r="F8" s="1167"/>
      <c r="G8" s="1167"/>
      <c r="H8" s="1167"/>
      <c r="I8" s="1167" t="s">
        <v>288</v>
      </c>
    </row>
    <row r="9" spans="1:12" ht="27.75" customHeight="1">
      <c r="D9" s="1167" t="s">
        <v>84</v>
      </c>
      <c r="E9" s="1167" t="s">
        <v>1060</v>
      </c>
      <c r="F9" s="1167"/>
      <c r="G9" s="1167"/>
      <c r="H9" s="1167"/>
      <c r="I9" s="1167"/>
    </row>
    <row r="10" spans="1:12" ht="22.5" customHeight="1">
      <c r="D10" s="1167"/>
      <c r="E10" s="368" t="s">
        <v>1061</v>
      </c>
      <c r="F10" s="368" t="s">
        <v>1062</v>
      </c>
      <c r="G10" s="368" t="s">
        <v>1063</v>
      </c>
      <c r="H10" s="368" t="s">
        <v>379</v>
      </c>
      <c r="I10" s="1167"/>
    </row>
    <row r="11" spans="1:12" ht="12" hidden="1" customHeight="1">
      <c r="D11" s="342" t="s">
        <v>105</v>
      </c>
      <c r="E11" s="342" t="s">
        <v>87</v>
      </c>
      <c r="F11" s="342" t="s">
        <v>107</v>
      </c>
      <c r="G11" s="342" t="s">
        <v>88</v>
      </c>
      <c r="H11" s="342" t="s">
        <v>89</v>
      </c>
      <c r="I11" s="342" t="s">
        <v>108</v>
      </c>
    </row>
    <row r="12" spans="1:12" s="134" customFormat="1" ht="24.75" customHeight="1">
      <c r="A12" s="60" t="s">
        <v>86</v>
      </c>
      <c r="C12" s="257"/>
      <c r="D12" s="190" t="s">
        <v>105</v>
      </c>
      <c r="E12" s="308"/>
      <c r="F12" s="308"/>
      <c r="G12" s="414"/>
      <c r="H12" s="381"/>
      <c r="I12" s="1152" t="s">
        <v>1064</v>
      </c>
      <c r="K12" s="762"/>
      <c r="L12" s="158"/>
    </row>
    <row r="13" spans="1:12" ht="15" customHeight="1">
      <c r="A13" s="134"/>
      <c r="C13" s="134"/>
      <c r="D13" s="669"/>
      <c r="E13" s="168" t="s">
        <v>453</v>
      </c>
      <c r="F13" s="730"/>
      <c r="G13" s="730"/>
      <c r="H13" s="729"/>
      <c r="I13" s="1152"/>
    </row>
    <row r="14" spans="1:12" ht="3" customHeight="1">
      <c r="A14" s="134"/>
      <c r="C14" s="134"/>
    </row>
    <row r="15" spans="1:12" ht="27.75" customHeight="1">
      <c r="E15" s="1249" t="s">
        <v>1065</v>
      </c>
      <c r="F15" s="1249"/>
      <c r="G15" s="1249"/>
      <c r="H15" s="1249"/>
    </row>
  </sheetData>
  <mergeCells count="7">
    <mergeCell ref="I12:I13"/>
    <mergeCell ref="E15:H15"/>
    <mergeCell ref="D5:H5"/>
    <mergeCell ref="D8:H8"/>
    <mergeCell ref="I8:I10"/>
    <mergeCell ref="D9:D10"/>
    <mergeCell ref="E9:H9"/>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formula1>0</formula1>
      <formula2>0</formula2>
    </dataValidation>
    <dataValidation type="textLength" operator="lessThanOrEqual" allowBlank="1" showInputMessage="1" showErrorMessage="1" errorTitle="Ошибка" error="Допускается ввод не более 900 символов!" sqref="E12:F12">
      <formula1>900</formula1>
      <formula2>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formula2>0</formula2>
    </dataValidation>
  </dataValidations>
  <printOptions horizontalCentered="1"/>
  <pageMargins left="0.24027777777777801" right="0.24027777777777801" top="0.24027777777777801" bottom="0.24027777777777801" header="0.24027777777777801" footer="0.24027777777777801"/>
  <pageSetup paperSize="9" fitToHeight="0" orientation="landscape"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zoomScaleNormal="90" workbookViewId="0"/>
  </sheetViews>
  <sheetFormatPr defaultColWidth="9.140625" defaultRowHeight="14.25"/>
  <cols>
    <col min="1" max="2" width="9.140625" style="763" hidden="1"/>
    <col min="3" max="3" width="3.7109375" style="764" customWidth="1"/>
    <col min="4" max="4" width="6.28515625" style="763" customWidth="1"/>
    <col min="5" max="5" width="94.85546875" style="763" customWidth="1"/>
    <col min="6" max="9" width="9.140625" style="763"/>
  </cols>
  <sheetData>
    <row r="1" spans="3:9" ht="14.25" hidden="1" customHeight="1"/>
    <row r="2" spans="3:9" ht="14.25" hidden="1" customHeight="1"/>
    <row r="3" spans="3:9" ht="14.25" hidden="1" customHeight="1"/>
    <row r="4" spans="3:9" ht="14.25" hidden="1" customHeight="1"/>
    <row r="5" spans="3:9" ht="14.25" hidden="1" customHeight="1"/>
    <row r="6" spans="3:9" ht="3" customHeight="1">
      <c r="C6" s="765"/>
      <c r="D6" s="264"/>
      <c r="E6" s="264"/>
    </row>
    <row r="7" spans="3:9" ht="22.5" customHeight="1">
      <c r="C7" s="765"/>
      <c r="D7" s="1" t="s">
        <v>1066</v>
      </c>
      <c r="E7" s="1"/>
      <c r="F7" s="766"/>
    </row>
    <row r="8" spans="3:9" ht="3" customHeight="1">
      <c r="C8" s="765"/>
      <c r="D8" s="264"/>
      <c r="E8" s="264"/>
    </row>
    <row r="9" spans="3:9" ht="15.75" customHeight="1">
      <c r="C9" s="765"/>
      <c r="D9" s="368" t="s">
        <v>84</v>
      </c>
      <c r="E9" s="148" t="s">
        <v>1067</v>
      </c>
    </row>
    <row r="10" spans="3:9" ht="0.75" customHeight="1">
      <c r="C10" s="765"/>
      <c r="D10" s="342"/>
      <c r="E10" s="342"/>
    </row>
    <row r="11" spans="3:9" ht="11.25" hidden="1" customHeight="1">
      <c r="C11" s="765"/>
      <c r="D11" s="767">
        <v>0</v>
      </c>
      <c r="E11" s="768"/>
    </row>
    <row r="12" spans="3:9" ht="15" customHeight="1">
      <c r="C12" s="302"/>
      <c r="D12" s="725">
        <v>1</v>
      </c>
      <c r="E12" s="308"/>
    </row>
    <row r="13" spans="3:9" ht="12" customHeight="1">
      <c r="C13" s="765"/>
      <c r="D13" s="355"/>
      <c r="E13" s="769" t="s">
        <v>1068</v>
      </c>
    </row>
    <row r="14" spans="3:9" ht="3" customHeight="1"/>
    <row r="15" spans="3:9" ht="22.5" customHeight="1">
      <c r="C15" s="770"/>
      <c r="D15" s="1250" t="s">
        <v>1069</v>
      </c>
      <c r="E15" s="1250"/>
      <c r="F15" s="697"/>
      <c r="G15" s="697"/>
      <c r="H15" s="697"/>
      <c r="I15" s="697"/>
    </row>
  </sheetData>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formula2>0</formula2>
    </dataValidation>
  </dataValidations>
  <pageMargins left="0.75" right="0.75" top="0.875" bottom="0.875" header="0.5" footer="0.5"/>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zoomScaleNormal="90" workbookViewId="0"/>
  </sheetViews>
  <sheetFormatPr defaultColWidth="9.140625" defaultRowHeight="11.25"/>
  <cols>
    <col min="1" max="2" width="15" style="265" hidden="1" customWidth="1"/>
    <col min="3" max="3" width="3.7109375" style="266" customWidth="1"/>
    <col min="4" max="4" width="6.85546875" style="267" customWidth="1"/>
    <col min="5" max="5" width="52.28515625" style="266" customWidth="1"/>
    <col min="6" max="6" width="48.85546875" style="266" customWidth="1"/>
    <col min="7" max="7" width="93.42578125" style="266" customWidth="1"/>
    <col min="8" max="8" width="9.140625" style="266"/>
    <col min="9" max="9" width="65" style="266" customWidth="1"/>
  </cols>
  <sheetData>
    <row r="1" spans="1:9" ht="11.25" hidden="1" customHeight="1">
      <c r="A1" s="265" t="s">
        <v>286</v>
      </c>
    </row>
    <row r="2" spans="1:9" ht="22.5" hidden="1" customHeight="1">
      <c r="A2" s="273"/>
      <c r="B2" s="273"/>
      <c r="C2" s="83"/>
      <c r="D2" s="771"/>
      <c r="E2" s="308"/>
      <c r="F2" s="511"/>
      <c r="H2" s="281"/>
    </row>
    <row r="3" spans="1:9" ht="11.25" hidden="1" customHeight="1"/>
    <row r="4" spans="1:9" ht="11.25" customHeight="1">
      <c r="A4" s="772"/>
      <c r="B4" s="772"/>
    </row>
    <row r="5" spans="1:9" ht="24" customHeight="1">
      <c r="D5" s="1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090"/>
      <c r="F5" s="1090"/>
      <c r="I5" s="270"/>
    </row>
    <row r="6" spans="1:9" ht="17.25" customHeight="1">
      <c r="D6" s="1127" t="str">
        <f>IF(region_name=0,"Не определено",region_name)</f>
        <v>Свердловская область</v>
      </c>
      <c r="E6" s="1127"/>
      <c r="F6" s="1127"/>
      <c r="I6" s="270"/>
    </row>
    <row r="7" spans="1:9" s="268" customFormat="1" ht="11.25" customHeight="1">
      <c r="A7" s="265"/>
      <c r="B7" s="265"/>
      <c r="D7" s="271"/>
      <c r="E7" s="271"/>
      <c r="F7" s="272"/>
      <c r="G7" s="271"/>
    </row>
    <row r="8" spans="1:9" ht="11.25" hidden="1" customHeight="1">
      <c r="A8" s="273"/>
      <c r="B8" s="273"/>
      <c r="C8" s="83"/>
      <c r="D8" s="77"/>
      <c r="E8" s="1138"/>
      <c r="F8" s="1138"/>
    </row>
    <row r="9" spans="1:9" ht="11.25" customHeight="1">
      <c r="A9" s="273"/>
      <c r="B9" s="273"/>
      <c r="C9" s="83"/>
      <c r="D9" s="1139" t="s">
        <v>287</v>
      </c>
      <c r="E9" s="1139"/>
      <c r="F9" s="1139"/>
      <c r="G9" s="1140" t="s">
        <v>288</v>
      </c>
    </row>
    <row r="10" spans="1:9" ht="11.25" customHeight="1">
      <c r="A10" s="273"/>
      <c r="B10" s="273"/>
      <c r="C10" s="83"/>
      <c r="D10" s="276" t="s">
        <v>84</v>
      </c>
      <c r="E10" s="275" t="s">
        <v>289</v>
      </c>
      <c r="F10" s="275" t="s">
        <v>290</v>
      </c>
      <c r="G10" s="1140"/>
    </row>
    <row r="11" spans="1:9" ht="0.75" customHeight="1">
      <c r="A11" s="273"/>
      <c r="B11" s="273"/>
      <c r="C11" s="83"/>
      <c r="D11" s="277"/>
      <c r="E11" s="277"/>
      <c r="F11" s="277"/>
      <c r="G11" s="277"/>
    </row>
    <row r="12" spans="1:9" ht="22.5" customHeight="1">
      <c r="A12" s="273"/>
      <c r="B12" s="273"/>
      <c r="C12" s="83"/>
      <c r="D12" s="771">
        <v>1</v>
      </c>
      <c r="E12" s="284" t="s">
        <v>1070</v>
      </c>
      <c r="F12" s="773" t="str">
        <f>IF(org="","",org)</f>
        <v>Филиал ПАО "ОГК-2" - Серовская ГРЭС, г. Серов</v>
      </c>
      <c r="G12" s="284" t="s">
        <v>1071</v>
      </c>
      <c r="H12" s="774"/>
    </row>
    <row r="13" spans="1:9" ht="18.75" customHeight="1">
      <c r="A13" s="273"/>
      <c r="B13" s="273"/>
      <c r="C13" s="83"/>
      <c r="D13" s="771">
        <v>2</v>
      </c>
      <c r="E13" s="394" t="s">
        <v>1072</v>
      </c>
      <c r="F13" s="148" t="s">
        <v>293</v>
      </c>
      <c r="G13" s="284"/>
      <c r="H13" s="774"/>
    </row>
    <row r="14" spans="1:9" ht="18.75" customHeight="1">
      <c r="A14" s="273"/>
      <c r="B14" s="273"/>
      <c r="C14" s="83"/>
      <c r="D14" s="262" t="s">
        <v>602</v>
      </c>
      <c r="E14" s="513" t="s">
        <v>1073</v>
      </c>
      <c r="F14" s="308"/>
      <c r="G14" s="395" t="s">
        <v>1074</v>
      </c>
      <c r="H14" s="774"/>
    </row>
    <row r="15" spans="1:9" ht="18.75" customHeight="1">
      <c r="A15" s="273"/>
      <c r="B15" s="273"/>
      <c r="C15" s="83"/>
      <c r="D15" s="262" t="s">
        <v>294</v>
      </c>
      <c r="E15" s="513" t="s">
        <v>1075</v>
      </c>
      <c r="F15" s="308"/>
      <c r="G15" s="395" t="s">
        <v>1076</v>
      </c>
      <c r="H15" s="774"/>
    </row>
    <row r="16" spans="1:9" ht="36.75" customHeight="1">
      <c r="A16" s="273"/>
      <c r="B16" s="273"/>
      <c r="C16" s="83"/>
      <c r="D16" s="262" t="s">
        <v>297</v>
      </c>
      <c r="E16" s="400" t="s">
        <v>1077</v>
      </c>
      <c r="F16" s="224"/>
      <c r="G16" s="284" t="s">
        <v>1078</v>
      </c>
      <c r="H16" s="774"/>
    </row>
    <row r="17" spans="1:9" ht="45" customHeight="1">
      <c r="A17" s="273"/>
      <c r="B17" s="273"/>
      <c r="C17" s="83"/>
      <c r="D17" s="771">
        <v>3</v>
      </c>
      <c r="E17" s="394" t="s">
        <v>1079</v>
      </c>
      <c r="F17" s="308"/>
      <c r="G17" s="775" t="s">
        <v>1080</v>
      </c>
      <c r="H17" s="774"/>
    </row>
    <row r="18" spans="1:9" ht="45" customHeight="1">
      <c r="A18" s="776">
        <v>1</v>
      </c>
      <c r="B18" s="273"/>
      <c r="C18" s="288"/>
      <c r="D18" s="771" t="s">
        <v>87</v>
      </c>
      <c r="E18" s="394" t="s">
        <v>1081</v>
      </c>
      <c r="F18" s="308"/>
      <c r="G18" s="775" t="s">
        <v>1080</v>
      </c>
      <c r="H18" s="774"/>
      <c r="I18" s="290"/>
    </row>
    <row r="19" spans="1:9" ht="22.5" customHeight="1">
      <c r="A19" s="273"/>
      <c r="B19" s="273"/>
      <c r="C19" s="83"/>
      <c r="D19" s="771" t="s">
        <v>107</v>
      </c>
      <c r="E19" s="394" t="s">
        <v>1082</v>
      </c>
      <c r="F19" s="148" t="s">
        <v>293</v>
      </c>
      <c r="G19" s="1251" t="s">
        <v>1083</v>
      </c>
      <c r="H19" s="281"/>
    </row>
    <row r="20" spans="1:9" s="779" customFormat="1" ht="5.25" hidden="1" customHeight="1">
      <c r="A20" s="273"/>
      <c r="B20" s="273"/>
      <c r="C20" s="777"/>
      <c r="D20" s="778" t="s">
        <v>1010</v>
      </c>
      <c r="E20" s="296"/>
      <c r="F20" s="149"/>
      <c r="G20" s="1251"/>
    </row>
    <row r="21" spans="1:9" ht="15" customHeight="1">
      <c r="A21" s="273"/>
      <c r="B21" s="273"/>
      <c r="C21" s="83"/>
      <c r="D21" s="305"/>
      <c r="E21" s="163" t="s">
        <v>328</v>
      </c>
      <c r="F21" s="306"/>
      <c r="G21" s="1251"/>
      <c r="H21" s="774"/>
    </row>
    <row r="22" spans="1:9" s="265" customFormat="1" ht="24.75" customHeight="1">
      <c r="A22" s="273"/>
      <c r="B22" s="273"/>
      <c r="C22" s="273"/>
      <c r="D22" s="771" t="s">
        <v>88</v>
      </c>
      <c r="E22" s="284" t="s">
        <v>1084</v>
      </c>
      <c r="F22" s="308"/>
      <c r="G22" s="284" t="s">
        <v>1085</v>
      </c>
      <c r="H22" s="780"/>
    </row>
    <row r="23" spans="1:9" s="265" customFormat="1" ht="18.75" customHeight="1">
      <c r="A23" s="273"/>
      <c r="B23" s="273"/>
      <c r="C23" s="273"/>
      <c r="D23" s="771" t="s">
        <v>89</v>
      </c>
      <c r="E23" s="394" t="s">
        <v>1086</v>
      </c>
      <c r="F23" s="224"/>
      <c r="G23" s="284" t="s">
        <v>1087</v>
      </c>
      <c r="H23" s="780"/>
    </row>
    <row r="24" spans="1:9" ht="11.25" customHeight="1">
      <c r="A24" s="273"/>
      <c r="B24" s="273"/>
      <c r="C24" s="83"/>
    </row>
  </sheetData>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formula2>0</formula2>
    </dataValidation>
  </dataValidations>
  <pageMargins left="0.7" right="0.7" top="0.625" bottom="0.625" header="0.3" footer="0.3"/>
  <pageSetup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zoomScaleNormal="90" workbookViewId="0"/>
  </sheetViews>
  <sheetFormatPr defaultColWidth="9.140625" defaultRowHeight="14.25"/>
  <cols>
    <col min="1" max="1" width="9.140625" style="46" hidden="1"/>
    <col min="2" max="2" width="9.140625" style="49" hidden="1"/>
    <col min="3" max="3" width="3.7109375" style="46" hidden="1" customWidth="1"/>
    <col min="4" max="4" width="3.85546875" style="120" customWidth="1"/>
    <col min="5" max="5" width="6.28515625" style="46" customWidth="1"/>
    <col min="6" max="6" width="46.7109375" style="46" customWidth="1"/>
    <col min="7" max="8" width="16.7109375" style="46" customWidth="1"/>
    <col min="9" max="9" width="35.28515625" style="46" customWidth="1"/>
    <col min="10" max="10" width="89.5703125" style="46" customWidth="1"/>
    <col min="11" max="11" width="3.7109375" style="121" customWidth="1"/>
    <col min="12" max="14" width="9.140625" style="121"/>
    <col min="15" max="15" width="25.7109375" style="121" customWidth="1"/>
    <col min="16" max="16" width="14.42578125" style="121" customWidth="1"/>
    <col min="17" max="20" width="9.140625" style="122"/>
    <col min="21" max="254" width="9.140625" style="46"/>
  </cols>
  <sheetData>
    <row r="1" spans="1:254" ht="14.25" hidden="1" customHeight="1"/>
    <row r="2" spans="1:254" s="59" customFormat="1" ht="22.5" hidden="1" customHeight="1">
      <c r="A2" s="114"/>
      <c r="B2" s="49">
        <v>1</v>
      </c>
      <c r="C2" s="49"/>
      <c r="D2" s="160"/>
      <c r="E2" s="148"/>
      <c r="F2" s="309"/>
      <c r="G2" s="309"/>
      <c r="H2" s="309"/>
      <c r="I2" s="781"/>
      <c r="J2" s="127"/>
      <c r="K2" s="782" t="e">
        <f ca="1">mergevalue(F2)</f>
        <v>#NAME?</v>
      </c>
      <c r="L2" s="53"/>
      <c r="M2" s="53"/>
      <c r="N2" s="121" t="str">
        <f t="array" ref="N2">IF(ISERROR(MATCH(MID(O2,1,250),MID(note_ter,1,250),0)),"n","y")</f>
        <v>n</v>
      </c>
      <c r="O2" s="53"/>
      <c r="P2" s="121" t="str">
        <f>G2&amp;"("&amp;J2&amp;")"</f>
        <v>()</v>
      </c>
      <c r="Q2" s="49"/>
      <c r="R2" s="49"/>
      <c r="S2" s="157"/>
      <c r="T2" s="49"/>
      <c r="U2" s="49"/>
      <c r="V2" s="49"/>
      <c r="W2" s="60"/>
      <c r="X2" s="60"/>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60"/>
      <c r="BU2" s="60"/>
      <c r="BV2" s="60"/>
      <c r="BW2" s="60"/>
      <c r="BX2" s="60"/>
      <c r="BY2" s="60"/>
      <c r="BZ2" s="60"/>
      <c r="CA2" s="60"/>
      <c r="CB2" s="60"/>
      <c r="CC2" s="60"/>
    </row>
    <row r="3" spans="1:254" s="53" customFormat="1" ht="5.25" hidden="1" customHeight="1">
      <c r="A3" s="123"/>
      <c r="D3" s="124"/>
      <c r="F3" s="125" t="s">
        <v>79</v>
      </c>
      <c r="G3" s="124" t="s">
        <v>80</v>
      </c>
      <c r="H3" s="124"/>
      <c r="I3" s="124"/>
      <c r="J3" s="126" t="s">
        <v>81</v>
      </c>
      <c r="K3" s="125" t="s">
        <v>79</v>
      </c>
      <c r="L3" s="125"/>
      <c r="M3" s="125"/>
      <c r="N3" s="125"/>
      <c r="O3" s="125"/>
      <c r="P3" s="125"/>
      <c r="Q3" s="125"/>
      <c r="R3" s="125"/>
      <c r="S3" s="125"/>
      <c r="T3" s="125"/>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row>
    <row r="4" spans="1:254" s="132" customFormat="1" ht="14.25" customHeight="1">
      <c r="A4" s="46"/>
      <c r="B4" s="49"/>
      <c r="C4" s="46"/>
      <c r="D4" s="120"/>
      <c r="E4" s="46"/>
      <c r="F4" s="46"/>
      <c r="G4" s="46"/>
      <c r="H4" s="46"/>
      <c r="I4" s="46"/>
      <c r="J4" s="131"/>
      <c r="K4" s="125"/>
      <c r="L4" s="121"/>
      <c r="M4" s="121"/>
      <c r="N4" s="121"/>
      <c r="O4" s="121"/>
      <c r="P4" s="121"/>
      <c r="Q4" s="122"/>
      <c r="R4" s="122"/>
      <c r="S4" s="122"/>
      <c r="T4" s="122"/>
    </row>
    <row r="5" spans="1:254" s="132" customFormat="1" ht="25.5" customHeight="1">
      <c r="A5" s="46"/>
      <c r="B5" s="49"/>
      <c r="C5" s="46"/>
      <c r="D5" s="120"/>
      <c r="E5" s="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
      <c r="G5" s="1"/>
      <c r="H5" s="1"/>
      <c r="I5" s="1"/>
      <c r="J5" s="1"/>
      <c r="K5" s="125"/>
      <c r="L5" s="121"/>
      <c r="M5" s="121"/>
      <c r="N5" s="121"/>
      <c r="O5" s="121"/>
      <c r="P5" s="121"/>
      <c r="Q5" s="122"/>
      <c r="R5" s="122"/>
      <c r="S5" s="122"/>
      <c r="T5" s="122"/>
    </row>
    <row r="6" spans="1:254" s="132" customFormat="1" ht="14.25" customHeight="1">
      <c r="A6" s="46"/>
      <c r="B6" s="49"/>
      <c r="C6" s="46"/>
      <c r="D6" s="120"/>
      <c r="E6" s="46"/>
      <c r="F6" s="133"/>
      <c r="G6" s="133"/>
      <c r="H6" s="133"/>
      <c r="I6" s="133"/>
      <c r="J6" s="114"/>
      <c r="K6" s="121"/>
      <c r="L6" s="121"/>
      <c r="M6" s="121"/>
      <c r="N6" s="121"/>
      <c r="O6" s="121"/>
      <c r="P6" s="121"/>
      <c r="Q6" s="122"/>
      <c r="R6" s="122"/>
      <c r="S6" s="122"/>
      <c r="T6" s="122"/>
    </row>
    <row r="7" spans="1:254" s="132" customFormat="1" ht="14.25" customHeight="1">
      <c r="A7" s="46"/>
      <c r="B7" s="49"/>
      <c r="C7" s="46"/>
      <c r="D7" s="120"/>
      <c r="E7" s="1129" t="s">
        <v>287</v>
      </c>
      <c r="F7" s="1129"/>
      <c r="G7" s="1129"/>
      <c r="H7" s="1129"/>
      <c r="I7" s="1129"/>
      <c r="J7" s="1088" t="s">
        <v>288</v>
      </c>
      <c r="K7" s="121"/>
      <c r="L7" s="121"/>
      <c r="M7" s="121"/>
      <c r="N7" s="121"/>
      <c r="O7" s="121"/>
      <c r="P7" s="121"/>
      <c r="Q7" s="122"/>
      <c r="R7" s="122"/>
      <c r="S7" s="122"/>
      <c r="T7" s="122"/>
    </row>
    <row r="8" spans="1:254" s="132" customFormat="1" ht="20.25" customHeight="1">
      <c r="A8" s="46"/>
      <c r="B8" s="49"/>
      <c r="C8" s="46"/>
      <c r="D8" s="120"/>
      <c r="E8" s="783" t="s">
        <v>84</v>
      </c>
      <c r="F8" s="784" t="s">
        <v>1088</v>
      </c>
      <c r="G8" s="784" t="s">
        <v>45</v>
      </c>
      <c r="H8" s="784" t="s">
        <v>47</v>
      </c>
      <c r="I8" s="784" t="s">
        <v>1089</v>
      </c>
      <c r="J8" s="1088"/>
      <c r="K8" s="121"/>
      <c r="L8" s="121"/>
      <c r="M8" s="121"/>
      <c r="N8" s="121"/>
      <c r="O8" s="121"/>
      <c r="P8" s="121"/>
      <c r="Q8" s="122"/>
      <c r="R8" s="122"/>
      <c r="S8" s="122"/>
      <c r="T8" s="122"/>
    </row>
    <row r="9" spans="1:254" s="59" customFormat="1" ht="22.5" customHeight="1">
      <c r="A9" s="1089"/>
      <c r="B9" s="49">
        <v>1</v>
      </c>
      <c r="C9" s="49"/>
      <c r="D9" s="160"/>
      <c r="E9" s="148">
        <v>1</v>
      </c>
      <c r="F9" s="785"/>
      <c r="G9" s="309"/>
      <c r="H9" s="309"/>
      <c r="I9" s="781"/>
      <c r="J9" s="1252" t="s">
        <v>1090</v>
      </c>
      <c r="K9" s="782" t="e">
        <f ca="1">mergevalue(F9)</f>
        <v>#NAME?</v>
      </c>
      <c r="L9" s="53"/>
      <c r="M9" s="53"/>
      <c r="N9" s="121" t="str">
        <f t="array" ref="N9">IF(ISERROR(MATCH(MID(O9,1,250),MID(note_ter,1,250),0)),"n","y")</f>
        <v>n</v>
      </c>
      <c r="O9" s="53"/>
      <c r="P9" s="121"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9"/>
      <c r="R9" s="49"/>
      <c r="S9" s="157"/>
      <c r="T9" s="49"/>
      <c r="U9" s="49"/>
      <c r="V9" s="49"/>
      <c r="W9" s="60"/>
      <c r="X9" s="60"/>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60"/>
      <c r="BU9" s="60"/>
      <c r="BV9" s="60"/>
      <c r="BW9" s="60"/>
      <c r="BX9" s="60"/>
      <c r="BY9" s="60"/>
      <c r="BZ9" s="60"/>
      <c r="CA9" s="60"/>
      <c r="CB9" s="60"/>
      <c r="CC9" s="60"/>
    </row>
    <row r="10" spans="1:254" s="59" customFormat="1" ht="15" customHeight="1">
      <c r="A10" s="1089"/>
      <c r="B10" s="49"/>
      <c r="C10" s="159"/>
      <c r="D10" s="160"/>
      <c r="E10" s="786"/>
      <c r="F10" s="527" t="s">
        <v>1091</v>
      </c>
      <c r="G10" s="787"/>
      <c r="H10" s="787"/>
      <c r="I10" s="787"/>
      <c r="J10" s="1252"/>
      <c r="K10" s="788"/>
      <c r="L10" s="53"/>
      <c r="M10" s="53"/>
      <c r="N10" s="53"/>
      <c r="O10" s="121"/>
      <c r="P10" s="53"/>
      <c r="Q10" s="49"/>
      <c r="R10" s="49"/>
      <c r="S10" s="157"/>
      <c r="T10" s="49"/>
      <c r="U10" s="49"/>
      <c r="V10" s="49"/>
      <c r="W10" s="60"/>
      <c r="X10" s="60"/>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60"/>
      <c r="BU10" s="60"/>
      <c r="BV10" s="60"/>
      <c r="BW10" s="60"/>
      <c r="BX10" s="60"/>
      <c r="BY10" s="60"/>
      <c r="BZ10" s="60"/>
      <c r="CA10" s="60"/>
      <c r="CB10" s="60"/>
      <c r="CC10" s="60"/>
    </row>
    <row r="11" spans="1:254" s="132" customFormat="1" ht="21" customHeight="1">
      <c r="A11" s="46"/>
      <c r="B11" s="49"/>
      <c r="C11" s="46"/>
      <c r="D11" s="120"/>
      <c r="E11" s="170"/>
      <c r="F11" s="170"/>
      <c r="G11" s="170"/>
      <c r="H11" s="170"/>
      <c r="I11" s="170"/>
      <c r="J11" s="170"/>
      <c r="K11" s="121"/>
      <c r="L11" s="121"/>
      <c r="M11" s="121"/>
      <c r="N11" s="121"/>
      <c r="O11" s="121"/>
      <c r="P11" s="121"/>
      <c r="Q11" s="122"/>
      <c r="R11" s="122"/>
      <c r="S11" s="122"/>
      <c r="T11" s="122"/>
    </row>
    <row r="12" spans="1:254" s="132" customFormat="1" ht="14.25" customHeight="1">
      <c r="A12" s="46"/>
      <c r="B12" s="49"/>
      <c r="C12" s="46"/>
      <c r="D12" s="120"/>
      <c r="E12" s="46"/>
      <c r="F12" s="46"/>
      <c r="G12" s="46"/>
      <c r="H12" s="46"/>
      <c r="I12" s="46"/>
      <c r="J12" s="46"/>
      <c r="K12" s="121"/>
      <c r="L12" s="121"/>
      <c r="M12" s="121"/>
      <c r="N12" s="121"/>
      <c r="O12" s="121"/>
      <c r="P12" s="121"/>
      <c r="Q12" s="122"/>
      <c r="R12" s="122"/>
      <c r="S12" s="122"/>
      <c r="T12" s="122"/>
    </row>
    <row r="13" spans="1:254" s="132" customFormat="1" ht="0.75" customHeight="1">
      <c r="A13" s="46"/>
      <c r="B13" s="49"/>
      <c r="C13" s="46"/>
      <c r="D13" s="120"/>
      <c r="E13" s="46"/>
      <c r="F13" s="46"/>
      <c r="G13" s="46"/>
      <c r="H13" s="46"/>
      <c r="I13" s="46"/>
      <c r="J13" s="46"/>
      <c r="K13" s="121"/>
      <c r="L13" s="121"/>
      <c r="M13" s="121"/>
      <c r="N13" s="121"/>
      <c r="O13" s="121"/>
      <c r="P13" s="121"/>
      <c r="Q13" s="122"/>
      <c r="R13" s="122"/>
      <c r="S13" s="122"/>
      <c r="T13" s="122"/>
    </row>
    <row r="14" spans="1:254" s="171" customFormat="1" ht="10.5" customHeight="1">
      <c r="B14" s="172"/>
      <c r="D14" s="173"/>
      <c r="K14" s="121"/>
      <c r="L14" s="121"/>
      <c r="M14" s="121"/>
      <c r="N14" s="121"/>
      <c r="O14" s="121"/>
      <c r="P14" s="121"/>
      <c r="Q14" s="122"/>
      <c r="R14" s="122"/>
      <c r="S14" s="122"/>
      <c r="T14" s="122"/>
    </row>
    <row r="15" spans="1:254" s="171" customFormat="1" ht="10.5" customHeight="1">
      <c r="B15" s="172"/>
      <c r="D15" s="173"/>
      <c r="K15" s="121"/>
      <c r="L15" s="121"/>
      <c r="M15" s="121"/>
      <c r="N15" s="121"/>
      <c r="O15" s="121"/>
      <c r="P15" s="121"/>
      <c r="Q15" s="122"/>
      <c r="R15" s="122"/>
      <c r="S15" s="122"/>
      <c r="T15" s="122"/>
    </row>
    <row r="19" spans="7:13" ht="14.25" customHeight="1">
      <c r="G19" s="59"/>
      <c r="H19" s="59"/>
      <c r="I19" s="59"/>
    </row>
    <row r="23" spans="7:13" ht="14.25" customHeight="1">
      <c r="K23" s="46"/>
      <c r="L23" s="46"/>
      <c r="M23" s="46"/>
    </row>
  </sheetData>
  <mergeCells count="5">
    <mergeCell ref="E5:J5"/>
    <mergeCell ref="E7:I7"/>
    <mergeCell ref="J7:J8"/>
    <mergeCell ref="A9:A10"/>
    <mergeCell ref="J9:J10"/>
  </mergeCells>
  <dataValidations count="1">
    <dataValidation type="textLength" allowBlank="1" showInputMessage="1" showErrorMessage="1" sqref="I2:I3 I9">
      <formula1>13</formula1>
      <formula2>15</formula2>
    </dataValidation>
  </dataValidations>
  <pageMargins left="0.7" right="0.7" top="0.625" bottom="0.625" header="0.3" footer="0.3"/>
  <pageSetup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zoomScaleNormal="90" workbookViewId="0"/>
  </sheetViews>
  <sheetFormatPr defaultColWidth="9.140625" defaultRowHeight="14.25"/>
  <cols>
    <col min="1" max="1" width="9.140625" style="46" hidden="1"/>
    <col min="2" max="2" width="9.140625" style="49" hidden="1"/>
    <col min="3" max="3" width="3.7109375" style="46" hidden="1" customWidth="1"/>
    <col min="4" max="4" width="3.85546875" style="120" customWidth="1"/>
    <col min="5" max="5" width="6.28515625" style="46" customWidth="1"/>
    <col min="6" max="6" width="27.28515625" style="46" customWidth="1"/>
    <col min="7" max="7" width="16.7109375" style="46" customWidth="1"/>
    <col min="8" max="8" width="12.7109375" style="46" customWidth="1"/>
    <col min="9" max="9" width="32.140625" style="46" customWidth="1"/>
    <col min="10" max="11" width="41.85546875" style="46" customWidth="1"/>
    <col min="12" max="12" width="89.5703125" style="46" customWidth="1"/>
    <col min="13" max="13" width="3.7109375" style="121" customWidth="1"/>
    <col min="14" max="16" width="9.140625" style="121"/>
    <col min="17" max="17" width="25.7109375" style="121" customWidth="1"/>
    <col min="18" max="18" width="14.42578125" style="121" customWidth="1"/>
    <col min="19" max="22" width="9.140625" style="122"/>
    <col min="23" max="256" width="9.140625" style="46"/>
  </cols>
  <sheetData>
    <row r="1" spans="1:256" ht="14.25" hidden="1" customHeight="1"/>
    <row r="2" spans="1:256" s="59" customFormat="1" ht="22.5" hidden="1" customHeight="1">
      <c r="A2" s="114"/>
      <c r="B2" s="49">
        <v>1</v>
      </c>
      <c r="C2" s="49"/>
      <c r="D2" s="160"/>
      <c r="E2" s="148"/>
      <c r="F2" s="789" t="str">
        <f>IF(ROIV_INFO_NAME="","",ROIV_INFO_NAME)</f>
        <v>Филиал ПАО "ОГК-2" - Серовская ГРЭС, г. Серов</v>
      </c>
      <c r="G2" s="81"/>
      <c r="H2" s="781"/>
      <c r="I2" s="781"/>
      <c r="J2" s="381"/>
      <c r="K2" s="381"/>
      <c r="L2" s="127"/>
      <c r="M2" s="782" t="e">
        <f ca="1">mergevalue(F2)</f>
        <v>#NAME?</v>
      </c>
      <c r="N2" s="53"/>
      <c r="O2" s="53"/>
      <c r="P2" s="121" t="str">
        <f t="array" ref="P2">IF(ISERROR(MATCH(MID(Q2,1,250),MID(note_ter,1,250),0)),"n","y")</f>
        <v>n</v>
      </c>
      <c r="Q2" s="53"/>
      <c r="R2" s="121" t="str">
        <f>G2&amp;"("&amp;L2&amp;")"</f>
        <v>()</v>
      </c>
      <c r="S2" s="49"/>
      <c r="T2" s="49"/>
      <c r="U2" s="157"/>
      <c r="V2" s="49"/>
      <c r="W2" s="49"/>
      <c r="X2" s="49"/>
      <c r="Y2" s="60"/>
      <c r="Z2" s="60"/>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60"/>
      <c r="BW2" s="60"/>
      <c r="BX2" s="60"/>
      <c r="BY2" s="60"/>
      <c r="BZ2" s="60"/>
      <c r="CA2" s="60"/>
      <c r="CB2" s="60"/>
      <c r="CC2" s="60"/>
      <c r="CD2" s="60"/>
      <c r="CE2" s="60"/>
    </row>
    <row r="3" spans="1:256" s="53" customFormat="1" ht="5.25" hidden="1" customHeight="1">
      <c r="A3" s="123"/>
      <c r="D3" s="124"/>
      <c r="F3" s="125" t="s">
        <v>79</v>
      </c>
      <c r="G3" s="790" t="s">
        <v>80</v>
      </c>
      <c r="H3" s="124"/>
      <c r="I3" s="124"/>
      <c r="J3" s="124"/>
      <c r="K3" s="124"/>
      <c r="L3" s="126" t="s">
        <v>81</v>
      </c>
      <c r="M3" s="125" t="s">
        <v>79</v>
      </c>
      <c r="N3" s="125"/>
      <c r="O3" s="125"/>
      <c r="P3" s="125"/>
      <c r="Q3" s="125"/>
      <c r="R3" s="125"/>
      <c r="S3" s="125"/>
      <c r="T3" s="125"/>
      <c r="U3" s="125"/>
      <c r="V3" s="125"/>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row>
    <row r="4" spans="1:256" s="132" customFormat="1" ht="14.25" customHeight="1">
      <c r="A4" s="46"/>
      <c r="B4" s="49"/>
      <c r="C4" s="46"/>
      <c r="D4" s="120"/>
      <c r="E4" s="46"/>
      <c r="F4" s="46"/>
      <c r="G4" s="46"/>
      <c r="H4" s="46"/>
      <c r="I4" s="46"/>
      <c r="J4" s="46"/>
      <c r="K4" s="46"/>
      <c r="L4" s="131"/>
      <c r="M4" s="125"/>
      <c r="N4" s="121"/>
      <c r="O4" s="121"/>
      <c r="P4" s="121"/>
      <c r="Q4" s="121"/>
      <c r="R4" s="121"/>
      <c r="S4" s="122"/>
      <c r="T4" s="122"/>
      <c r="U4" s="122"/>
      <c r="V4" s="122"/>
    </row>
    <row r="5" spans="1:256" s="132" customFormat="1" ht="25.5" customHeight="1">
      <c r="A5" s="46"/>
      <c r="B5" s="49"/>
      <c r="C5" s="46"/>
      <c r="D5" s="120"/>
      <c r="E5" s="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
      <c r="G5" s="1"/>
      <c r="H5" s="1"/>
      <c r="I5" s="1"/>
      <c r="J5" s="1"/>
      <c r="K5" s="1"/>
      <c r="L5" s="46"/>
      <c r="M5" s="125"/>
      <c r="N5" s="121"/>
      <c r="O5" s="121"/>
      <c r="P5" s="121"/>
      <c r="Q5" s="121"/>
      <c r="R5" s="121"/>
      <c r="S5" s="122"/>
      <c r="T5" s="122"/>
      <c r="U5" s="122"/>
      <c r="V5" s="122"/>
    </row>
    <row r="6" spans="1:256" s="132" customFormat="1" ht="14.25" customHeight="1">
      <c r="A6" s="46"/>
      <c r="B6" s="49"/>
      <c r="C6" s="46"/>
      <c r="D6" s="120"/>
      <c r="E6" s="46"/>
      <c r="F6" s="133"/>
      <c r="G6" s="133"/>
      <c r="H6" s="133"/>
      <c r="I6" s="133"/>
      <c r="J6" s="133"/>
      <c r="K6" s="133"/>
      <c r="L6" s="114"/>
      <c r="M6" s="121"/>
      <c r="N6" s="121"/>
      <c r="O6" s="121"/>
      <c r="P6" s="121"/>
      <c r="Q6" s="121"/>
      <c r="R6" s="121"/>
      <c r="S6" s="122"/>
      <c r="T6" s="122"/>
      <c r="U6" s="122"/>
      <c r="V6" s="122"/>
    </row>
    <row r="7" spans="1:256" s="132" customFormat="1" ht="14.25" customHeight="1">
      <c r="A7" s="46"/>
      <c r="B7" s="49"/>
      <c r="C7" s="46"/>
      <c r="D7" s="120"/>
      <c r="E7" s="1129" t="s">
        <v>287</v>
      </c>
      <c r="F7" s="1129"/>
      <c r="G7" s="1129"/>
      <c r="H7" s="1129"/>
      <c r="I7" s="1129"/>
      <c r="J7" s="1129"/>
      <c r="K7" s="1129"/>
      <c r="L7" s="1088" t="s">
        <v>288</v>
      </c>
      <c r="M7" s="121"/>
      <c r="N7" s="121"/>
      <c r="O7" s="121"/>
      <c r="P7" s="121"/>
      <c r="Q7" s="121"/>
      <c r="R7" s="121"/>
      <c r="S7" s="122"/>
      <c r="T7" s="122"/>
      <c r="U7" s="122"/>
      <c r="V7" s="122"/>
    </row>
    <row r="8" spans="1:256" s="132" customFormat="1" ht="47.25" customHeight="1">
      <c r="A8" s="46"/>
      <c r="B8" s="49"/>
      <c r="C8" s="46"/>
      <c r="D8" s="120"/>
      <c r="E8" s="1253" t="s">
        <v>84</v>
      </c>
      <c r="F8" s="1253" t="s">
        <v>1070</v>
      </c>
      <c r="G8" s="125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1253"/>
      <c r="I8" s="1253"/>
      <c r="J8" s="125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125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088"/>
      <c r="M8" s="121"/>
      <c r="N8" s="121"/>
      <c r="O8" s="121"/>
      <c r="P8" s="121"/>
      <c r="Q8" s="121"/>
      <c r="R8" s="121"/>
      <c r="S8" s="122"/>
      <c r="T8" s="122"/>
      <c r="U8" s="122"/>
      <c r="V8" s="122"/>
    </row>
    <row r="9" spans="1:256" s="132" customFormat="1" ht="56.25" customHeight="1">
      <c r="A9" s="46"/>
      <c r="B9" s="49"/>
      <c r="C9" s="46"/>
      <c r="D9" s="120"/>
      <c r="E9" s="1253"/>
      <c r="F9" s="1253"/>
      <c r="G9" s="791" t="s">
        <v>1092</v>
      </c>
      <c r="H9" s="791" t="s">
        <v>1093</v>
      </c>
      <c r="I9" s="791" t="s">
        <v>1094</v>
      </c>
      <c r="J9" s="1253"/>
      <c r="K9" s="1253"/>
      <c r="L9" s="1088"/>
      <c r="M9" s="121"/>
      <c r="N9" s="121"/>
      <c r="O9" s="121"/>
      <c r="P9" s="121"/>
      <c r="Q9" s="121"/>
      <c r="R9" s="121"/>
      <c r="S9" s="122"/>
      <c r="T9" s="122"/>
      <c r="U9" s="122"/>
      <c r="V9" s="122"/>
    </row>
    <row r="10" spans="1:256" s="59" customFormat="1" ht="22.5" customHeight="1">
      <c r="A10" s="1089"/>
      <c r="B10" s="49">
        <v>1</v>
      </c>
      <c r="C10" s="49"/>
      <c r="D10" s="152"/>
      <c r="E10" s="153">
        <v>1</v>
      </c>
      <c r="F10" s="789" t="str">
        <f>IF(ROIV_INFO_NAME="","",ROIV_INFO_NAME)</f>
        <v>Филиал ПАО "ОГК-2" - Серовская ГРЭС, г. Серов</v>
      </c>
      <c r="G10" s="81"/>
      <c r="H10" s="792"/>
      <c r="I10" s="792"/>
      <c r="J10" s="381"/>
      <c r="K10" s="381"/>
      <c r="L10" s="1252" t="s">
        <v>1095</v>
      </c>
      <c r="M10" s="782" t="e">
        <f ca="1">mergevalue(F10)</f>
        <v>#NAME?</v>
      </c>
      <c r="N10" s="53"/>
      <c r="O10" s="53"/>
      <c r="P10" s="121" t="str">
        <f t="array" ref="P10">IF(ISERROR(MATCH(MID(Q10,1,250),MID(note_ter,1,250),0)),"n","y")</f>
        <v>n</v>
      </c>
      <c r="Q10" s="53"/>
      <c r="R10" s="12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9"/>
      <c r="T10" s="49"/>
      <c r="U10" s="157"/>
      <c r="V10" s="49"/>
      <c r="W10" s="49"/>
      <c r="X10" s="49"/>
      <c r="Y10" s="60"/>
      <c r="Z10" s="60"/>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60"/>
      <c r="BW10" s="60"/>
      <c r="BX10" s="60"/>
      <c r="BY10" s="60"/>
      <c r="BZ10" s="60"/>
      <c r="CA10" s="60"/>
      <c r="CB10" s="60"/>
      <c r="CC10" s="60"/>
      <c r="CD10" s="60"/>
      <c r="CE10" s="60"/>
    </row>
    <row r="11" spans="1:256" s="59" customFormat="1" ht="15" customHeight="1">
      <c r="A11" s="1089"/>
      <c r="B11" s="49"/>
      <c r="C11" s="159"/>
      <c r="D11" s="160"/>
      <c r="E11" s="161"/>
      <c r="F11" s="168" t="s">
        <v>1096</v>
      </c>
      <c r="G11" s="164"/>
      <c r="H11" s="164"/>
      <c r="I11" s="164"/>
      <c r="J11" s="164"/>
      <c r="K11" s="164"/>
      <c r="L11" s="1252"/>
      <c r="M11" s="788"/>
      <c r="N11" s="53"/>
      <c r="O11" s="53"/>
      <c r="P11" s="53"/>
      <c r="Q11" s="121"/>
      <c r="R11" s="53"/>
      <c r="S11" s="49"/>
      <c r="T11" s="49"/>
      <c r="U11" s="157"/>
      <c r="V11" s="49"/>
      <c r="W11" s="49"/>
      <c r="X11" s="49"/>
      <c r="Y11" s="60"/>
      <c r="Z11" s="60"/>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60"/>
      <c r="BW11" s="60"/>
      <c r="BX11" s="60"/>
      <c r="BY11" s="60"/>
      <c r="BZ11" s="60"/>
      <c r="CA11" s="60"/>
      <c r="CB11" s="60"/>
      <c r="CC11" s="60"/>
      <c r="CD11" s="60"/>
      <c r="CE11" s="60"/>
    </row>
    <row r="12" spans="1:256" s="132" customFormat="1" ht="21" customHeight="1">
      <c r="A12" s="46"/>
      <c r="B12" s="49"/>
      <c r="C12" s="46"/>
      <c r="D12" s="120"/>
      <c r="E12" s="170"/>
      <c r="F12" s="170"/>
      <c r="G12" s="170"/>
      <c r="H12" s="170"/>
      <c r="I12" s="170"/>
      <c r="J12" s="170"/>
      <c r="K12" s="170"/>
      <c r="L12" s="170"/>
      <c r="M12" s="121"/>
      <c r="N12" s="121"/>
      <c r="O12" s="121"/>
      <c r="P12" s="121"/>
      <c r="Q12" s="121"/>
      <c r="R12" s="121"/>
      <c r="S12" s="122"/>
      <c r="T12" s="122"/>
      <c r="U12" s="122"/>
      <c r="V12" s="122"/>
    </row>
    <row r="13" spans="1:256" s="132" customFormat="1" ht="14.25" customHeight="1">
      <c r="A13" s="46"/>
      <c r="B13" s="49"/>
      <c r="C13" s="46"/>
      <c r="D13" s="120"/>
      <c r="E13" s="46"/>
      <c r="F13" s="46"/>
      <c r="G13" s="46"/>
      <c r="H13" s="46"/>
      <c r="I13" s="46"/>
      <c r="J13" s="46"/>
      <c r="K13" s="46"/>
      <c r="L13" s="46"/>
      <c r="M13" s="121"/>
      <c r="N13" s="121"/>
      <c r="O13" s="121"/>
      <c r="P13" s="121"/>
      <c r="Q13" s="121"/>
      <c r="R13" s="121"/>
      <c r="S13" s="122"/>
      <c r="T13" s="122"/>
      <c r="U13" s="122"/>
      <c r="V13" s="122"/>
    </row>
    <row r="14" spans="1:256" s="132" customFormat="1" ht="0.75" customHeight="1">
      <c r="A14" s="46"/>
      <c r="B14" s="49"/>
      <c r="C14" s="46"/>
      <c r="D14" s="120"/>
      <c r="E14" s="46"/>
      <c r="F14" s="46"/>
      <c r="G14" s="46"/>
      <c r="H14" s="46"/>
      <c r="I14" s="46"/>
      <c r="J14" s="46"/>
      <c r="K14" s="46"/>
      <c r="L14" s="46"/>
      <c r="M14" s="121"/>
      <c r="N14" s="121"/>
      <c r="O14" s="121"/>
      <c r="P14" s="121"/>
      <c r="Q14" s="121"/>
      <c r="R14" s="121"/>
      <c r="S14" s="122"/>
      <c r="T14" s="122"/>
      <c r="U14" s="122"/>
      <c r="V14" s="122"/>
    </row>
  </sheetData>
  <mergeCells count="10">
    <mergeCell ref="A10:A11"/>
    <mergeCell ref="L10:L11"/>
    <mergeCell ref="E5:K5"/>
    <mergeCell ref="E7:K7"/>
    <mergeCell ref="L7:L9"/>
    <mergeCell ref="E8:E9"/>
    <mergeCell ref="F8:F9"/>
    <mergeCell ref="G8:I8"/>
    <mergeCell ref="J8:J9"/>
    <mergeCell ref="K8:K9"/>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formula1>0</formula1>
      <formula2>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formula2>0</formula2>
    </dataValidation>
    <dataValidation type="textLength" allowBlank="1" showInputMessage="1" showErrorMessage="1" sqref="H2:I3 H10:I10">
      <formula1>13</formula1>
      <formula2>15</formula2>
    </dataValidation>
  </dataValidations>
  <pageMargins left="0.7" right="0.7" top="0.625" bottom="0.625" header="0.3" footer="0.3"/>
  <pageSetup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zoomScaleNormal="90" workbookViewId="0"/>
  </sheetViews>
  <sheetFormatPr defaultColWidth="9.140625" defaultRowHeight="14.25"/>
  <cols>
    <col min="1" max="1" width="9.140625" style="46" hidden="1"/>
    <col min="2" max="2" width="9.140625" style="49" hidden="1"/>
    <col min="3" max="3" width="3.7109375" style="46" hidden="1" customWidth="1"/>
    <col min="4" max="4" width="3.85546875" style="120" customWidth="1"/>
    <col min="5" max="5" width="10.140625" style="46" customWidth="1"/>
    <col min="6" max="6" width="6.28515625" style="46" customWidth="1"/>
    <col min="7" max="7" width="27.28515625" style="46" customWidth="1"/>
    <col min="8" max="8" width="29.28515625" style="46" customWidth="1"/>
    <col min="9" max="9" width="25.42578125" style="46" customWidth="1"/>
    <col min="10" max="10" width="5.5703125" style="46" customWidth="1"/>
    <col min="11" max="11" width="6.5703125" style="46" customWidth="1"/>
    <col min="12" max="12" width="41.85546875" style="46" customWidth="1"/>
    <col min="13" max="13" width="42.42578125" style="46" customWidth="1"/>
    <col min="14" max="14" width="41.5703125" style="46" customWidth="1"/>
    <col min="15" max="15" width="64.140625" style="46" customWidth="1"/>
    <col min="16" max="16" width="3.7109375" style="121" customWidth="1"/>
    <col min="17" max="19" width="9.140625" style="121"/>
    <col min="20" max="20" width="25.7109375" style="121" customWidth="1"/>
    <col min="21" max="21" width="14.42578125" style="121" customWidth="1"/>
    <col min="22" max="25" width="9.140625" style="122"/>
    <col min="26" max="259" width="9.140625" style="46"/>
  </cols>
  <sheetData>
    <row r="1" spans="1:259" ht="14.25" hidden="1" customHeight="1"/>
    <row r="2" spans="1:259" s="59" customFormat="1" ht="22.5" hidden="1" customHeight="1">
      <c r="A2" s="123"/>
      <c r="B2" s="49">
        <v>1</v>
      </c>
      <c r="C2" s="49"/>
      <c r="D2" s="160"/>
      <c r="E2" s="1087"/>
      <c r="F2" s="1087">
        <v>1</v>
      </c>
      <c r="G2" s="1154" t="str">
        <f>IF(region_name="","",region_name)</f>
        <v>Свердловская область</v>
      </c>
      <c r="H2" s="1254"/>
      <c r="I2" s="1255"/>
      <c r="J2" s="284"/>
      <c r="K2" s="148">
        <v>1</v>
      </c>
      <c r="L2" s="381"/>
      <c r="M2" s="381"/>
      <c r="N2" s="381"/>
      <c r="O2" s="381"/>
      <c r="P2" s="782" t="e">
        <f ca="1">mergevalue(G2)</f>
        <v>#NAME?</v>
      </c>
      <c r="Q2" s="53"/>
      <c r="R2" s="53"/>
      <c r="S2" s="121" t="str">
        <f t="array" ref="S2">IF(ISERROR(MATCH(MID(T2,1,250),MID(note_ter,1,250),0)),"n","y")</f>
        <v>n</v>
      </c>
      <c r="T2" s="53"/>
      <c r="U2" s="121"/>
      <c r="V2" s="49"/>
      <c r="W2" s="49"/>
      <c r="X2" s="157"/>
      <c r="Y2" s="49"/>
      <c r="Z2" s="49"/>
      <c r="AA2" s="49"/>
      <c r="AB2" s="60"/>
      <c r="AC2" s="60"/>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60"/>
      <c r="BZ2" s="60"/>
      <c r="CA2" s="60"/>
      <c r="CB2" s="60"/>
      <c r="CC2" s="60"/>
      <c r="CD2" s="60"/>
      <c r="CE2" s="60"/>
      <c r="CF2" s="60"/>
      <c r="CG2" s="60"/>
      <c r="CH2" s="60"/>
    </row>
    <row r="3" spans="1:259" s="59" customFormat="1" ht="22.5" hidden="1" customHeight="1">
      <c r="A3" s="114"/>
      <c r="B3" s="49"/>
      <c r="C3" s="49"/>
      <c r="D3" s="160"/>
      <c r="E3" s="1087"/>
      <c r="F3" s="1087"/>
      <c r="G3" s="1154"/>
      <c r="H3" s="1254"/>
      <c r="I3" s="1255"/>
      <c r="J3" s="793"/>
      <c r="K3" s="527"/>
      <c r="L3" s="527" t="s">
        <v>1097</v>
      </c>
      <c r="M3" s="794"/>
      <c r="N3" s="794"/>
      <c r="O3" s="795"/>
      <c r="P3" s="782"/>
      <c r="Q3" s="53"/>
      <c r="R3" s="53"/>
      <c r="S3" s="121"/>
      <c r="T3" s="53"/>
      <c r="U3" s="121"/>
      <c r="V3" s="49"/>
      <c r="W3" s="49"/>
      <c r="X3" s="157"/>
      <c r="Y3" s="49"/>
      <c r="Z3" s="49"/>
      <c r="AA3" s="49"/>
      <c r="AB3" s="60"/>
      <c r="AC3" s="60"/>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60"/>
      <c r="BZ3" s="60"/>
      <c r="CA3" s="60"/>
      <c r="CB3" s="60"/>
      <c r="CC3" s="60"/>
      <c r="CD3" s="60"/>
      <c r="CE3" s="60"/>
      <c r="CF3" s="60"/>
      <c r="CG3" s="60"/>
      <c r="CH3" s="60"/>
    </row>
    <row r="4" spans="1:259" s="53" customFormat="1" ht="5.25" hidden="1" customHeight="1">
      <c r="A4" s="123"/>
      <c r="D4" s="124"/>
      <c r="G4" s="125" t="s">
        <v>79</v>
      </c>
      <c r="H4" s="124" t="s">
        <v>80</v>
      </c>
      <c r="I4" s="124"/>
      <c r="J4" s="796"/>
      <c r="K4" s="796"/>
      <c r="L4" s="796"/>
      <c r="M4" s="796"/>
      <c r="N4" s="796"/>
      <c r="O4" s="796"/>
      <c r="P4" s="125" t="s">
        <v>79</v>
      </c>
      <c r="Q4" s="125"/>
      <c r="R4" s="125"/>
      <c r="S4" s="125"/>
      <c r="T4" s="125"/>
      <c r="U4" s="125"/>
      <c r="V4" s="125"/>
      <c r="W4" s="125"/>
      <c r="X4" s="125"/>
      <c r="Y4" s="125"/>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row>
    <row r="5" spans="1:259" s="132" customFormat="1" ht="14.25" customHeight="1">
      <c r="A5" s="46"/>
      <c r="B5" s="49"/>
      <c r="C5" s="46"/>
      <c r="D5" s="120"/>
      <c r="E5" s="46"/>
      <c r="F5" s="46"/>
      <c r="G5" s="46"/>
      <c r="H5" s="46"/>
      <c r="I5" s="46"/>
      <c r="J5" s="46"/>
      <c r="K5" s="46"/>
      <c r="L5" s="46"/>
      <c r="M5" s="46"/>
      <c r="N5" s="46"/>
      <c r="O5" s="46"/>
      <c r="P5" s="125"/>
      <c r="Q5" s="121"/>
      <c r="R5" s="121"/>
      <c r="S5" s="121"/>
      <c r="T5" s="121"/>
      <c r="U5" s="121"/>
      <c r="V5" s="122"/>
      <c r="W5" s="122"/>
      <c r="X5" s="122"/>
      <c r="Y5" s="122"/>
    </row>
    <row r="6" spans="1:259" s="132" customFormat="1" ht="25.5" customHeight="1">
      <c r="A6" s="46"/>
      <c r="B6" s="49"/>
      <c r="C6" s="46"/>
      <c r="D6" s="120"/>
      <c r="E6" s="1" t="s">
        <v>1098</v>
      </c>
      <c r="F6" s="1"/>
      <c r="G6" s="1"/>
      <c r="H6" s="1"/>
      <c r="I6" s="1"/>
      <c r="J6" s="1"/>
      <c r="K6" s="1"/>
      <c r="L6" s="1"/>
      <c r="M6" s="1"/>
      <c r="N6" s="1"/>
      <c r="O6" s="1"/>
      <c r="P6" s="125"/>
      <c r="Q6" s="121"/>
      <c r="R6" s="121"/>
      <c r="S6" s="121"/>
      <c r="T6" s="121"/>
      <c r="U6" s="121"/>
      <c r="V6" s="122"/>
      <c r="W6" s="122"/>
      <c r="X6" s="122"/>
      <c r="Y6" s="122"/>
    </row>
    <row r="7" spans="1:259" s="132" customFormat="1" ht="14.25" customHeight="1">
      <c r="A7" s="46"/>
      <c r="B7" s="49"/>
      <c r="C7" s="46"/>
      <c r="D7" s="120"/>
      <c r="E7" s="46"/>
      <c r="F7" s="46"/>
      <c r="G7" s="133"/>
      <c r="H7" s="133"/>
      <c r="I7" s="133"/>
      <c r="J7" s="133"/>
      <c r="K7" s="133"/>
      <c r="L7" s="133"/>
      <c r="M7" s="133"/>
      <c r="N7" s="133"/>
      <c r="O7" s="133"/>
      <c r="P7" s="121"/>
      <c r="Q7" s="121"/>
      <c r="R7" s="121"/>
      <c r="S7" s="121"/>
      <c r="T7" s="121"/>
      <c r="U7" s="121"/>
      <c r="V7" s="122"/>
      <c r="W7" s="122"/>
      <c r="X7" s="122"/>
      <c r="Y7" s="122"/>
    </row>
    <row r="8" spans="1:259" s="800" customFormat="1" ht="42.75" customHeight="1">
      <c r="A8" s="47"/>
      <c r="B8" s="107"/>
      <c r="C8" s="47"/>
      <c r="D8" s="120"/>
      <c r="E8" s="797" t="s">
        <v>288</v>
      </c>
      <c r="F8" s="797"/>
      <c r="G8" s="797" t="s">
        <v>292</v>
      </c>
      <c r="H8" s="797" t="s">
        <v>1099</v>
      </c>
      <c r="I8" s="797" t="s">
        <v>296</v>
      </c>
      <c r="J8" s="1256"/>
      <c r="K8" s="1256"/>
      <c r="L8" s="1256"/>
      <c r="M8" s="797" t="s">
        <v>1100</v>
      </c>
      <c r="N8" s="797" t="s">
        <v>1101</v>
      </c>
      <c r="O8" s="798" t="s">
        <v>1102</v>
      </c>
      <c r="P8" s="184"/>
      <c r="Q8" s="184"/>
      <c r="R8" s="184"/>
      <c r="S8" s="184"/>
      <c r="T8" s="184"/>
      <c r="U8" s="184"/>
      <c r="V8" s="799"/>
      <c r="W8" s="799"/>
      <c r="X8" s="799"/>
      <c r="Y8" s="799"/>
    </row>
    <row r="9" spans="1:259" s="132" customFormat="1" ht="47.25" customHeight="1">
      <c r="A9" s="46"/>
      <c r="B9" s="49"/>
      <c r="C9" s="46"/>
      <c r="D9" s="120"/>
      <c r="E9" s="1257" t="s">
        <v>287</v>
      </c>
      <c r="F9" s="1258" t="s">
        <v>84</v>
      </c>
      <c r="G9" s="1258" t="s">
        <v>291</v>
      </c>
      <c r="H9" s="1258" t="s">
        <v>1103</v>
      </c>
      <c r="I9" s="1258"/>
      <c r="J9" s="1259" t="s">
        <v>1104</v>
      </c>
      <c r="K9" s="1259"/>
      <c r="L9" s="1259"/>
      <c r="M9" s="1258" t="s">
        <v>1105</v>
      </c>
      <c r="N9" s="1258" t="s">
        <v>1106</v>
      </c>
      <c r="O9" s="125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121"/>
      <c r="Q9" s="121"/>
      <c r="R9" s="121"/>
      <c r="S9" s="121"/>
      <c r="T9" s="121"/>
      <c r="U9" s="121"/>
      <c r="V9" s="122"/>
      <c r="W9" s="122"/>
      <c r="X9" s="122"/>
      <c r="Y9" s="122"/>
    </row>
    <row r="10" spans="1:259" s="132" customFormat="1" ht="63.75" customHeight="1">
      <c r="A10" s="46"/>
      <c r="B10" s="49"/>
      <c r="C10" s="46"/>
      <c r="D10" s="120"/>
      <c r="E10" s="1257"/>
      <c r="F10" s="1258"/>
      <c r="G10" s="1258"/>
      <c r="H10" s="139" t="s">
        <v>1107</v>
      </c>
      <c r="I10" s="139" t="s">
        <v>295</v>
      </c>
      <c r="J10" s="1259"/>
      <c r="K10" s="1259"/>
      <c r="L10" s="1259"/>
      <c r="M10" s="1258"/>
      <c r="N10" s="1258"/>
      <c r="O10" s="1258"/>
      <c r="P10" s="121"/>
      <c r="Q10" s="121"/>
      <c r="R10" s="121"/>
      <c r="S10" s="121"/>
      <c r="T10" s="121"/>
      <c r="U10" s="121"/>
      <c r="V10" s="122"/>
      <c r="W10" s="122"/>
      <c r="X10" s="122"/>
      <c r="Y10" s="122"/>
    </row>
    <row r="11" spans="1:259" s="59" customFormat="1" ht="22.5" customHeight="1">
      <c r="A11" s="1089">
        <v>26379339</v>
      </c>
      <c r="B11" s="49">
        <v>1</v>
      </c>
      <c r="C11" s="49"/>
      <c r="D11" s="160"/>
      <c r="E11" s="1257"/>
      <c r="F11" s="1257">
        <v>1</v>
      </c>
      <c r="G11" s="1260" t="str">
        <f>IF(region_name="","",region_name)</f>
        <v>Свердловская область</v>
      </c>
      <c r="H11" s="1261"/>
      <c r="I11" s="1262"/>
      <c r="J11" s="284"/>
      <c r="K11" s="148">
        <v>1</v>
      </c>
      <c r="L11" s="801"/>
      <c r="M11" s="802"/>
      <c r="N11" s="802"/>
      <c r="O11" s="803"/>
      <c r="P11" s="782" t="e">
        <f ca="1">mergevalue(G11)</f>
        <v>#NAME?</v>
      </c>
      <c r="Q11" s="53"/>
      <c r="R11" s="53"/>
      <c r="S11" s="121" t="str">
        <f t="array" ref="S11">IF(ISERROR(MATCH(MID(T11,1,250),MID(note_ter,1,250),0)),"n","y")</f>
        <v>n</v>
      </c>
      <c r="T11" s="53"/>
      <c r="U11" s="121"/>
      <c r="V11" s="49"/>
      <c r="W11" s="49"/>
      <c r="X11" s="157"/>
      <c r="Y11" s="49"/>
      <c r="Z11" s="49"/>
      <c r="AA11" s="49"/>
      <c r="AB11" s="60"/>
      <c r="AC11" s="60"/>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60"/>
      <c r="BZ11" s="60"/>
      <c r="CA11" s="60"/>
      <c r="CB11" s="60"/>
      <c r="CC11" s="60"/>
      <c r="CD11" s="60"/>
      <c r="CE11" s="60"/>
      <c r="CF11" s="60"/>
      <c r="CG11" s="60"/>
      <c r="CH11" s="60"/>
    </row>
    <row r="12" spans="1:259" s="59" customFormat="1" ht="22.5" customHeight="1">
      <c r="A12" s="1089"/>
      <c r="B12" s="49"/>
      <c r="C12" s="49"/>
      <c r="D12" s="160"/>
      <c r="E12" s="1257"/>
      <c r="F12" s="1257"/>
      <c r="G12" s="1260"/>
      <c r="H12" s="1261"/>
      <c r="I12" s="1262"/>
      <c r="J12" s="793"/>
      <c r="K12" s="527"/>
      <c r="L12" s="527" t="s">
        <v>1097</v>
      </c>
      <c r="M12" s="794"/>
      <c r="N12" s="794"/>
      <c r="O12" s="795"/>
      <c r="P12" s="782"/>
      <c r="Q12" s="53"/>
      <c r="R12" s="53"/>
      <c r="S12" s="121"/>
      <c r="T12" s="53"/>
      <c r="U12" s="121"/>
      <c r="V12" s="49"/>
      <c r="W12" s="49"/>
      <c r="X12" s="157"/>
      <c r="Y12" s="49"/>
      <c r="Z12" s="49"/>
      <c r="AA12" s="49"/>
      <c r="AB12" s="60"/>
      <c r="AC12" s="60"/>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60"/>
      <c r="BZ12" s="60"/>
      <c r="CA12" s="60"/>
      <c r="CB12" s="60"/>
      <c r="CC12" s="60"/>
      <c r="CD12" s="60"/>
      <c r="CE12" s="60"/>
      <c r="CF12" s="60"/>
      <c r="CG12" s="60"/>
      <c r="CH12" s="60"/>
    </row>
    <row r="13" spans="1:259" s="59" customFormat="1" ht="22.5" customHeight="1">
      <c r="A13" s="1089"/>
      <c r="B13" s="49"/>
      <c r="C13" s="159"/>
      <c r="D13" s="160"/>
      <c r="E13" s="786"/>
      <c r="F13" s="793"/>
      <c r="G13" s="527" t="s">
        <v>1091</v>
      </c>
      <c r="H13" s="787"/>
      <c r="I13" s="787"/>
      <c r="J13" s="164"/>
      <c r="K13" s="164"/>
      <c r="L13" s="164"/>
      <c r="M13" s="164"/>
      <c r="N13" s="164"/>
      <c r="O13" s="804"/>
      <c r="P13" s="788"/>
      <c r="Q13" s="53"/>
      <c r="R13" s="53"/>
      <c r="S13" s="53"/>
      <c r="T13" s="121"/>
      <c r="U13" s="53"/>
      <c r="V13" s="49"/>
      <c r="W13" s="49"/>
      <c r="X13" s="157"/>
      <c r="Y13" s="49"/>
      <c r="Z13" s="49"/>
      <c r="AA13" s="49"/>
      <c r="AB13" s="60"/>
      <c r="AC13" s="60"/>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60"/>
      <c r="BZ13" s="60"/>
      <c r="CA13" s="60"/>
      <c r="CB13" s="60"/>
      <c r="CC13" s="60"/>
      <c r="CD13" s="60"/>
      <c r="CE13" s="60"/>
      <c r="CF13" s="60"/>
      <c r="CG13" s="60"/>
      <c r="CH13" s="60"/>
    </row>
    <row r="14" spans="1:259" s="132" customFormat="1" ht="21" customHeight="1">
      <c r="A14" s="46"/>
      <c r="B14" s="49"/>
      <c r="C14" s="46"/>
      <c r="D14" s="120"/>
      <c r="E14" s="170"/>
      <c r="F14" s="170"/>
      <c r="G14" s="170"/>
      <c r="H14" s="170"/>
      <c r="I14" s="170"/>
      <c r="J14" s="170"/>
      <c r="K14" s="170"/>
      <c r="L14" s="170"/>
      <c r="M14" s="170"/>
      <c r="N14" s="46"/>
      <c r="O14" s="46"/>
      <c r="P14" s="121"/>
      <c r="Q14" s="121"/>
      <c r="R14" s="121"/>
      <c r="S14" s="121"/>
      <c r="T14" s="121"/>
      <c r="U14" s="121"/>
      <c r="V14" s="122"/>
      <c r="W14" s="122"/>
      <c r="X14" s="122"/>
      <c r="Y14" s="122"/>
    </row>
    <row r="15" spans="1:259" s="132" customFormat="1" ht="14.25" customHeight="1">
      <c r="A15" s="46"/>
      <c r="B15" s="49"/>
      <c r="C15" s="46"/>
      <c r="D15" s="120"/>
      <c r="E15" s="46"/>
      <c r="F15" s="46"/>
      <c r="G15" s="46"/>
      <c r="H15" s="46"/>
      <c r="I15" s="46"/>
      <c r="J15" s="46"/>
      <c r="K15" s="46"/>
      <c r="L15" s="46"/>
      <c r="M15" s="46"/>
      <c r="N15" s="46"/>
      <c r="O15" s="46"/>
      <c r="P15" s="121"/>
      <c r="Q15" s="121"/>
      <c r="R15" s="121"/>
      <c r="S15" s="121"/>
      <c r="T15" s="121"/>
      <c r="U15" s="121"/>
      <c r="V15" s="122"/>
      <c r="W15" s="122"/>
      <c r="X15" s="122"/>
      <c r="Y15" s="122"/>
    </row>
    <row r="16" spans="1:259" s="132" customFormat="1" ht="0.75" customHeight="1">
      <c r="A16" s="46"/>
      <c r="B16" s="49"/>
      <c r="C16" s="46"/>
      <c r="D16" s="120"/>
      <c r="E16" s="46"/>
      <c r="F16" s="46"/>
      <c r="G16" s="46"/>
      <c r="H16" s="46"/>
      <c r="I16" s="46"/>
      <c r="J16" s="46"/>
      <c r="K16" s="46"/>
      <c r="L16" s="46"/>
      <c r="M16" s="46"/>
      <c r="N16" s="46"/>
      <c r="O16" s="46"/>
      <c r="P16" s="121"/>
      <c r="Q16" s="121"/>
      <c r="R16" s="121"/>
      <c r="S16" s="121"/>
      <c r="T16" s="121"/>
      <c r="U16" s="121"/>
      <c r="V16" s="122"/>
      <c r="W16" s="122"/>
      <c r="X16" s="122"/>
      <c r="Y16" s="122"/>
    </row>
  </sheetData>
  <mergeCells count="21">
    <mergeCell ref="I11:I12"/>
    <mergeCell ref="A11:A13"/>
    <mergeCell ref="E11:E12"/>
    <mergeCell ref="F11:F12"/>
    <mergeCell ref="G11:G12"/>
    <mergeCell ref="H11:H12"/>
    <mergeCell ref="E6:O6"/>
    <mergeCell ref="J8:L8"/>
    <mergeCell ref="E9:E10"/>
    <mergeCell ref="F9:F10"/>
    <mergeCell ref="G9:G10"/>
    <mergeCell ref="H9:I9"/>
    <mergeCell ref="J9:L10"/>
    <mergeCell ref="M9:M10"/>
    <mergeCell ref="N9:N10"/>
    <mergeCell ref="O9:O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2:O2 M3:O4 O11:O12 M12:N12">
      <formula1>900</formula1>
      <formula2>0</formula2>
    </dataValidation>
  </dataValidations>
  <pageMargins left="0.7" right="0.7" top="0.625" bottom="0.625" header="0.3" footer="0.3"/>
  <pageSetup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abSelected="1" topLeftCell="C6" zoomScale="90" zoomScaleNormal="90" workbookViewId="0"/>
  </sheetViews>
  <sheetFormatPr defaultColWidth="9.140625" defaultRowHeight="14.25"/>
  <cols>
    <col min="1" max="2" width="9.140625" style="763" hidden="1"/>
    <col min="3" max="3" width="3.7109375" style="764" customWidth="1"/>
    <col min="4" max="4" width="6.28515625" style="763" customWidth="1"/>
    <col min="5" max="5" width="94.85546875" style="763" customWidth="1"/>
    <col min="6" max="12" width="9.140625" style="763"/>
  </cols>
  <sheetData>
    <row r="1" spans="3:6" ht="14.25" hidden="1" customHeight="1"/>
    <row r="2" spans="3:6" ht="14.25" hidden="1" customHeight="1"/>
    <row r="3" spans="3:6" ht="14.25" hidden="1" customHeight="1"/>
    <row r="4" spans="3:6" ht="14.25" hidden="1" customHeight="1"/>
    <row r="5" spans="3:6" ht="14.25" hidden="1" customHeight="1"/>
    <row r="6" spans="3:6" ht="3" customHeight="1">
      <c r="C6" s="765"/>
      <c r="D6" s="264"/>
      <c r="E6" s="264"/>
    </row>
    <row r="7" spans="3:6" ht="22.5" customHeight="1">
      <c r="C7" s="765"/>
      <c r="D7" s="1" t="s">
        <v>1108</v>
      </c>
      <c r="E7" s="1"/>
      <c r="F7" s="766"/>
    </row>
    <row r="8" spans="3:6" ht="3" customHeight="1">
      <c r="C8" s="765"/>
      <c r="D8" s="264"/>
      <c r="E8" s="264"/>
    </row>
    <row r="9" spans="3:6" ht="15.75" customHeight="1">
      <c r="C9" s="765"/>
      <c r="D9" s="368" t="s">
        <v>84</v>
      </c>
      <c r="E9" s="203" t="s">
        <v>274</v>
      </c>
    </row>
    <row r="10" spans="3:6" ht="12" customHeight="1">
      <c r="C10" s="765"/>
      <c r="D10" s="342" t="s">
        <v>105</v>
      </c>
      <c r="E10" s="342" t="s">
        <v>106</v>
      </c>
    </row>
    <row r="11" spans="3:6" ht="15" hidden="1" customHeight="1">
      <c r="C11" s="765"/>
      <c r="D11" s="725">
        <v>0</v>
      </c>
      <c r="E11" s="370"/>
    </row>
    <row r="12" spans="3:6" ht="14.25" customHeight="1">
      <c r="C12" s="765"/>
      <c r="D12" s="669"/>
      <c r="E12" s="769" t="s">
        <v>1068</v>
      </c>
    </row>
  </sheetData>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formula2>0</formula2>
    </dataValidation>
  </dataValidations>
  <pageMargins left="0.75" right="0.75" top="0.875" bottom="0.875" header="0.5" footer="0.5"/>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zoomScaleNormal="90" workbookViewId="0"/>
  </sheetViews>
  <sheetFormatPr defaultColWidth="9.140625" defaultRowHeight="11.25"/>
  <cols>
    <col min="1" max="1" width="1.7109375" style="59" customWidth="1"/>
    <col min="2" max="2" width="34.5703125" style="59" customWidth="1"/>
    <col min="3" max="3" width="85.5703125" style="59" customWidth="1"/>
    <col min="4" max="4" width="17.7109375" style="59" customWidth="1"/>
    <col min="5" max="5" width="9.140625" style="59"/>
  </cols>
  <sheetData>
    <row r="1" spans="2:5" ht="3" customHeight="1"/>
    <row r="2" spans="2:5" ht="22.5" customHeight="1">
      <c r="B2" s="1263" t="s">
        <v>1109</v>
      </c>
      <c r="C2" s="1263"/>
      <c r="D2" s="1263"/>
      <c r="E2" s="805"/>
    </row>
    <row r="3" spans="2:5" ht="3" customHeight="1"/>
    <row r="4" spans="2:5" ht="21.75" customHeight="1">
      <c r="B4" s="806" t="s">
        <v>1110</v>
      </c>
      <c r="C4" s="806" t="s">
        <v>1111</v>
      </c>
      <c r="D4" s="806" t="s">
        <v>1112</v>
      </c>
    </row>
  </sheetData>
  <mergeCells count="1">
    <mergeCell ref="B2:D2"/>
  </mergeCells>
  <pageMargins left="0.7" right="0.7" top="0.625" bottom="0.625" header="0.3" footer="0.3"/>
  <pageSetup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zoomScaleNormal="85" workbookViewId="0"/>
  </sheetViews>
  <sheetFormatPr defaultColWidth="8.85546875" defaultRowHeight="11.25"/>
  <cols>
    <col min="1" max="1" width="26.5703125" style="59" customWidth="1"/>
    <col min="2" max="2" width="10" style="59" customWidth="1"/>
    <col min="3" max="3" width="9.140625" style="59" customWidth="1"/>
    <col min="4" max="4" width="11.140625" style="59" customWidth="1"/>
    <col min="5" max="5" width="16.5703125" style="59" customWidth="1"/>
    <col min="6" max="6" width="16.28515625" style="59" customWidth="1"/>
    <col min="7" max="7" width="19.140625" style="59" customWidth="1"/>
    <col min="8" max="11" width="10" style="59" customWidth="1"/>
    <col min="12" max="12" width="12.7109375" style="59" customWidth="1"/>
    <col min="13" max="13" width="61.28515625" style="59" customWidth="1"/>
    <col min="14" max="14" width="10" style="59" customWidth="1"/>
    <col min="15" max="17" width="23.7109375" style="59" customWidth="1"/>
    <col min="18" max="18" width="11.7109375" style="59" customWidth="1"/>
    <col min="19" max="19" width="8.5703125" style="59" customWidth="1"/>
    <col min="20" max="20" width="11.7109375" style="59" customWidth="1"/>
    <col min="21" max="21" width="8.5703125" style="59" customWidth="1"/>
    <col min="22" max="22" width="4.7109375" style="59" customWidth="1"/>
    <col min="23" max="23" width="115.7109375" style="59" customWidth="1"/>
    <col min="24" max="24" width="115.28515625" style="59" customWidth="1"/>
    <col min="25" max="27" width="9.140625" style="59" customWidth="1"/>
    <col min="28" max="28" width="115.7109375" style="59" customWidth="1"/>
    <col min="29" max="29" width="9.140625" style="59" customWidth="1"/>
    <col min="30" max="90" width="115.7109375" style="59" customWidth="1"/>
    <col min="91" max="184" width="9.140625" style="59" customWidth="1"/>
  </cols>
  <sheetData>
    <row r="2" spans="1:80" s="807" customFormat="1" ht="17.25" customHeight="1">
      <c r="A2" s="807" t="s">
        <v>1113</v>
      </c>
    </row>
    <row r="4" spans="1:80" s="763" customFormat="1" ht="15" customHeight="1">
      <c r="C4" s="302"/>
      <c r="D4" s="725"/>
      <c r="E4" s="308"/>
    </row>
    <row r="6" spans="1:80" s="807" customFormat="1" ht="17.25" customHeight="1">
      <c r="A6" s="807" t="s">
        <v>1114</v>
      </c>
    </row>
    <row r="8" spans="1:80" s="763" customFormat="1" ht="17.25" customHeight="1">
      <c r="C8" s="808"/>
      <c r="D8" s="725"/>
      <c r="E8" s="224"/>
    </row>
    <row r="11" spans="1:80" s="807" customFormat="1" ht="17.25" customHeight="1">
      <c r="A11" s="807" t="s">
        <v>1115</v>
      </c>
    </row>
    <row r="13" spans="1:80" s="132" customFormat="1" ht="15" customHeight="1">
      <c r="A13" s="1146">
        <v>1</v>
      </c>
      <c r="B13" s="49"/>
      <c r="C13" s="160" t="s">
        <v>502</v>
      </c>
      <c r="D13" s="120"/>
      <c r="E13" s="148">
        <f>A13</f>
        <v>1</v>
      </c>
      <c r="F13" s="205"/>
      <c r="G13" s="150" t="str">
        <f>"Территория "&amp;E13</f>
        <v>Территория 1</v>
      </c>
      <c r="H13" s="151"/>
      <c r="I13" s="151"/>
      <c r="J13" s="121"/>
      <c r="K13" s="121"/>
      <c r="L13" s="121"/>
      <c r="M13" s="121"/>
      <c r="N13" s="121"/>
      <c r="O13" s="121"/>
      <c r="P13" s="122"/>
      <c r="Q13" s="122"/>
      <c r="R13" s="122"/>
      <c r="S13" s="122"/>
    </row>
    <row r="14" spans="1:80" s="59" customFormat="1" ht="15" customHeight="1">
      <c r="A14" s="1146"/>
      <c r="B14" s="49">
        <v>1</v>
      </c>
      <c r="C14" s="49"/>
      <c r="D14" s="152"/>
      <c r="E14" s="153" t="str">
        <f>A13&amp;"."&amp;B14</f>
        <v>1.1</v>
      </c>
      <c r="F14" s="809">
        <f>$F$20</f>
        <v>0</v>
      </c>
      <c r="G14" s="155"/>
      <c r="H14" s="155"/>
      <c r="I14" s="156"/>
      <c r="J14" s="121"/>
      <c r="K14" s="53"/>
      <c r="L14" s="53"/>
      <c r="M14" s="121" t="str">
        <f t="array" ref="M14">IF(ISERROR(MATCH(MID(N14,1,250),MID(note_ter,1,250),0)),"n","y")</f>
        <v>n</v>
      </c>
      <c r="N14" s="53"/>
      <c r="O14" s="121" t="str">
        <f>H14&amp;"("&amp;I14&amp;")"</f>
        <v>()</v>
      </c>
      <c r="P14" s="49"/>
      <c r="Q14" s="49"/>
      <c r="R14" s="157"/>
      <c r="S14" s="49"/>
      <c r="T14" s="49"/>
      <c r="U14" s="49"/>
      <c r="V14" s="60"/>
      <c r="W14" s="60"/>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60"/>
      <c r="BT14" s="60"/>
      <c r="BU14" s="60"/>
      <c r="BV14" s="60"/>
      <c r="BW14" s="60"/>
      <c r="BX14" s="60"/>
      <c r="BY14" s="60"/>
      <c r="BZ14" s="60"/>
      <c r="CA14" s="60"/>
      <c r="CB14" s="60"/>
    </row>
    <row r="15" spans="1:80" s="59" customFormat="1" ht="15" customHeight="1">
      <c r="A15" s="1146"/>
      <c r="B15" s="49"/>
      <c r="C15" s="159"/>
      <c r="D15" s="160"/>
      <c r="E15" s="161"/>
      <c r="F15" s="162"/>
      <c r="G15" s="163" t="s">
        <v>98</v>
      </c>
      <c r="H15" s="164"/>
      <c r="I15" s="165"/>
      <c r="J15" s="53"/>
      <c r="K15" s="53"/>
      <c r="L15" s="53"/>
      <c r="M15" s="53"/>
      <c r="N15" s="121"/>
      <c r="O15" s="53"/>
      <c r="P15" s="49"/>
      <c r="Q15" s="49"/>
      <c r="R15" s="157"/>
      <c r="S15" s="49"/>
      <c r="T15" s="49"/>
      <c r="U15" s="49"/>
      <c r="V15" s="60"/>
      <c r="W15" s="60"/>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60"/>
      <c r="BT15" s="60"/>
      <c r="BU15" s="60"/>
      <c r="BV15" s="60"/>
      <c r="BW15" s="60"/>
      <c r="BX15" s="60"/>
      <c r="BY15" s="60"/>
      <c r="BZ15" s="60"/>
      <c r="CA15" s="60"/>
      <c r="CB15" s="60"/>
    </row>
    <row r="17" spans="1:80" s="807" customFormat="1" ht="17.25" customHeight="1">
      <c r="A17" s="807" t="s">
        <v>1116</v>
      </c>
    </row>
    <row r="19" spans="1:80" s="59" customFormat="1" ht="15" customHeight="1">
      <c r="A19" s="107"/>
      <c r="B19" s="49">
        <v>1</v>
      </c>
      <c r="C19" s="49"/>
      <c r="D19" s="152" t="s">
        <v>502</v>
      </c>
      <c r="E19" s="148"/>
      <c r="F19" s="404">
        <f>$F$20</f>
        <v>0</v>
      </c>
      <c r="G19" s="810"/>
      <c r="H19" s="810"/>
      <c r="I19" s="811"/>
      <c r="J19" s="121"/>
      <c r="K19" s="53"/>
      <c r="L19" s="53"/>
      <c r="M19" s="121" t="str">
        <f t="array" ref="M19">IF(ISERROR(MATCH(MID(N19,1,250),MID(note_ter,1,250),0)),"n","y")</f>
        <v>n</v>
      </c>
      <c r="N19" s="53"/>
      <c r="O19" s="121" t="str">
        <f>H19&amp;"("&amp;I19&amp;")"</f>
        <v>()</v>
      </c>
      <c r="P19" s="49"/>
      <c r="Q19" s="49"/>
      <c r="R19" s="157"/>
      <c r="S19" s="49"/>
      <c r="T19" s="49"/>
      <c r="U19" s="49"/>
      <c r="V19" s="60"/>
      <c r="W19" s="60"/>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60"/>
      <c r="BT19" s="60"/>
      <c r="BU19" s="60"/>
      <c r="BV19" s="60"/>
      <c r="BW19" s="60"/>
      <c r="BX19" s="60"/>
      <c r="BY19" s="60"/>
      <c r="BZ19" s="60"/>
      <c r="CA19" s="60"/>
      <c r="CB19" s="60"/>
    </row>
    <row r="21" spans="1:80" s="59" customFormat="1" ht="15" customHeight="1">
      <c r="A21" s="807" t="s">
        <v>1117</v>
      </c>
      <c r="B21" s="807"/>
      <c r="C21" s="807"/>
      <c r="D21" s="807"/>
      <c r="E21" s="807"/>
      <c r="F21" s="807"/>
      <c r="G21" s="807"/>
      <c r="H21" s="807"/>
      <c r="I21" s="807"/>
      <c r="J21" s="807"/>
      <c r="K21" s="807"/>
      <c r="L21" s="807"/>
      <c r="M21" s="807"/>
      <c r="N21" s="807"/>
      <c r="O21" s="807"/>
      <c r="P21" s="807"/>
      <c r="Q21" s="807"/>
      <c r="R21" s="807"/>
      <c r="S21" s="807"/>
      <c r="T21" s="807"/>
      <c r="U21" s="812"/>
      <c r="V21" s="807"/>
      <c r="W21" s="807"/>
    </row>
    <row r="22" spans="1:80" s="59" customFormat="1" ht="15" customHeight="1">
      <c r="U22" s="813"/>
    </row>
    <row r="23" spans="1:80" s="174" customFormat="1" ht="15" customHeight="1">
      <c r="A23" s="59"/>
      <c r="B23" s="59"/>
      <c r="C23" s="814" t="s">
        <v>502</v>
      </c>
      <c r="D23" s="1099" t="s">
        <v>105</v>
      </c>
      <c r="E23" s="1100"/>
      <c r="F23" s="1105" t="s">
        <v>53</v>
      </c>
      <c r="G23" s="1264"/>
      <c r="H23" s="1087">
        <v>1</v>
      </c>
      <c r="I23" s="1265" t="str">
        <f>IF(U23="","",INDEX(TERRITORY_MR_LIST,MATCH(U23,TERRITORY_LIST_ID,0)))</f>
        <v/>
      </c>
      <c r="J23" s="1105" t="s">
        <v>53</v>
      </c>
      <c r="K23" s="815"/>
      <c r="L23" s="190" t="s">
        <v>105</v>
      </c>
      <c r="M23" s="193"/>
      <c r="N23" s="142"/>
      <c r="O23" s="142"/>
      <c r="P23" s="142"/>
      <c r="Q23" s="142"/>
      <c r="R23" s="142"/>
      <c r="S23" s="142"/>
      <c r="T23" s="142"/>
      <c r="U23" s="816"/>
      <c r="V23" s="142"/>
      <c r="W23" s="142"/>
      <c r="X23" s="142"/>
      <c r="Y23" s="142" t="s">
        <v>114</v>
      </c>
      <c r="Z23" s="142">
        <v>1705000</v>
      </c>
      <c r="AA23" s="142"/>
      <c r="AB23" s="142"/>
      <c r="AC23" s="142"/>
      <c r="AD23" s="142"/>
      <c r="AE23" s="142"/>
      <c r="AF23" s="142"/>
      <c r="AG23" s="142"/>
      <c r="AH23" s="142"/>
      <c r="AI23" s="142"/>
      <c r="AJ23" s="142"/>
      <c r="AK23" s="142"/>
      <c r="AL23" s="142"/>
    </row>
    <row r="24" spans="1:80" s="174" customFormat="1" ht="15" customHeight="1">
      <c r="A24" s="59"/>
      <c r="B24" s="59"/>
      <c r="C24" s="140"/>
      <c r="D24" s="1099"/>
      <c r="E24" s="1100"/>
      <c r="F24" s="1105"/>
      <c r="G24" s="1264"/>
      <c r="H24" s="1087"/>
      <c r="I24" s="1265"/>
      <c r="J24" s="1105"/>
      <c r="K24" s="161"/>
      <c r="L24" s="162"/>
      <c r="M24" s="194" t="s">
        <v>115</v>
      </c>
      <c r="N24" s="142"/>
      <c r="O24" s="142"/>
      <c r="P24" s="142"/>
      <c r="Q24" s="142"/>
      <c r="R24" s="142"/>
      <c r="S24" s="142"/>
      <c r="T24" s="142"/>
      <c r="U24" s="816"/>
      <c r="V24" s="142"/>
      <c r="W24" s="142"/>
      <c r="X24" s="142"/>
      <c r="Y24" s="142"/>
      <c r="Z24" s="142"/>
      <c r="AA24" s="142"/>
      <c r="AB24" s="142"/>
      <c r="AC24" s="142"/>
      <c r="AD24" s="142"/>
      <c r="AE24" s="142"/>
      <c r="AF24" s="142"/>
      <c r="AG24" s="142"/>
      <c r="AH24" s="142"/>
      <c r="AI24" s="142"/>
      <c r="AJ24" s="142"/>
      <c r="AK24" s="142"/>
      <c r="AL24" s="142"/>
    </row>
    <row r="25" spans="1:80" s="174" customFormat="1" ht="15" customHeight="1">
      <c r="A25" s="59"/>
      <c r="B25" s="59"/>
      <c r="C25" s="140"/>
      <c r="D25" s="1099"/>
      <c r="E25" s="1100"/>
      <c r="F25" s="1105"/>
      <c r="G25" s="161"/>
      <c r="H25" s="162"/>
      <c r="I25" s="163" t="s">
        <v>116</v>
      </c>
      <c r="J25" s="162"/>
      <c r="K25" s="162"/>
      <c r="L25" s="162"/>
      <c r="M25" s="197"/>
      <c r="N25" s="142"/>
      <c r="O25" s="142"/>
      <c r="P25" s="142"/>
      <c r="Q25" s="142"/>
      <c r="R25" s="142"/>
      <c r="S25" s="142"/>
      <c r="T25" s="142"/>
      <c r="U25" s="816"/>
      <c r="V25" s="142"/>
      <c r="W25" s="142"/>
      <c r="X25" s="142"/>
      <c r="Y25" s="142"/>
      <c r="Z25" s="142"/>
      <c r="AA25" s="142"/>
      <c r="AB25" s="142"/>
      <c r="AC25" s="142"/>
      <c r="AD25" s="142"/>
      <c r="AE25" s="142"/>
      <c r="AF25" s="142"/>
      <c r="AG25" s="142"/>
      <c r="AH25" s="142"/>
      <c r="AI25" s="142"/>
      <c r="AJ25" s="142"/>
      <c r="AK25" s="142"/>
      <c r="AL25" s="142"/>
    </row>
    <row r="26" spans="1:80" s="59" customFormat="1" ht="15" customHeight="1">
      <c r="U26" s="813"/>
    </row>
    <row r="27" spans="1:80" s="59" customFormat="1" ht="15" customHeight="1">
      <c r="A27" s="807" t="s">
        <v>1118</v>
      </c>
      <c r="B27" s="807"/>
      <c r="C27" s="807"/>
      <c r="D27" s="807"/>
      <c r="E27" s="807"/>
      <c r="F27" s="807"/>
      <c r="G27" s="807"/>
      <c r="H27" s="807"/>
      <c r="I27" s="807"/>
      <c r="J27" s="807"/>
      <c r="K27" s="807"/>
      <c r="L27" s="807"/>
      <c r="M27" s="807"/>
      <c r="N27" s="807"/>
      <c r="O27" s="807"/>
      <c r="P27" s="807"/>
      <c r="Q27" s="807"/>
      <c r="R27" s="807"/>
      <c r="S27" s="807"/>
      <c r="T27" s="807"/>
      <c r="U27" s="812"/>
      <c r="V27" s="807"/>
      <c r="W27" s="807"/>
    </row>
    <row r="28" spans="1:80" s="59" customFormat="1" ht="15" customHeight="1">
      <c r="U28" s="813"/>
    </row>
    <row r="29" spans="1:80" s="174" customFormat="1" ht="15" customHeight="1">
      <c r="A29" s="59"/>
      <c r="B29" s="59"/>
      <c r="C29" s="140"/>
      <c r="D29" s="817"/>
      <c r="E29" s="817"/>
      <c r="F29" s="817"/>
      <c r="G29" s="1266" t="s">
        <v>502</v>
      </c>
      <c r="H29" s="1174">
        <v>1</v>
      </c>
      <c r="I29" s="1267" t="str">
        <f>IF(U29="","",INDEX(TERRITORY_MR_LIST,MATCH(U29,TERRITORY_LIST_ID,0)))</f>
        <v/>
      </c>
      <c r="J29" s="1105" t="s">
        <v>53</v>
      </c>
      <c r="K29" s="815"/>
      <c r="L29" s="190" t="s">
        <v>105</v>
      </c>
      <c r="M29" s="193"/>
      <c r="N29" s="142"/>
      <c r="O29" s="142"/>
      <c r="P29" s="142"/>
      <c r="Q29" s="142"/>
      <c r="R29" s="142"/>
      <c r="S29" s="142"/>
      <c r="T29" s="142"/>
      <c r="U29" s="816"/>
      <c r="V29" s="142"/>
      <c r="W29" s="142"/>
      <c r="X29" s="142"/>
      <c r="Y29" s="142" t="s">
        <v>114</v>
      </c>
      <c r="Z29" s="142">
        <v>1705000</v>
      </c>
      <c r="AA29" s="142"/>
      <c r="AB29" s="142"/>
      <c r="AC29" s="142"/>
      <c r="AD29" s="142"/>
      <c r="AE29" s="142"/>
      <c r="AF29" s="142"/>
      <c r="AG29" s="142"/>
      <c r="AH29" s="142"/>
      <c r="AI29" s="142"/>
      <c r="AJ29" s="142"/>
      <c r="AK29" s="142"/>
      <c r="AL29" s="142"/>
    </row>
    <row r="30" spans="1:80" s="174" customFormat="1" ht="15" customHeight="1">
      <c r="A30" s="59"/>
      <c r="B30" s="59"/>
      <c r="C30" s="140"/>
      <c r="D30" s="817"/>
      <c r="E30" s="817"/>
      <c r="F30" s="817"/>
      <c r="G30" s="1266"/>
      <c r="H30" s="1174"/>
      <c r="I30" s="1267"/>
      <c r="J30" s="1105"/>
      <c r="K30" s="161"/>
      <c r="L30" s="162"/>
      <c r="M30" s="194" t="s">
        <v>115</v>
      </c>
      <c r="N30" s="142"/>
      <c r="O30" s="142"/>
      <c r="P30" s="142"/>
      <c r="Q30" s="142"/>
      <c r="R30" s="142"/>
      <c r="S30" s="142"/>
      <c r="T30" s="142"/>
      <c r="U30" s="816"/>
      <c r="V30" s="142"/>
      <c r="W30" s="142"/>
      <c r="X30" s="142"/>
      <c r="Y30" s="142"/>
      <c r="Z30" s="142"/>
      <c r="AA30" s="142"/>
      <c r="AB30" s="142"/>
      <c r="AC30" s="142"/>
      <c r="AD30" s="142"/>
      <c r="AE30" s="142"/>
      <c r="AF30" s="142"/>
      <c r="AG30" s="142"/>
      <c r="AH30" s="142"/>
      <c r="AI30" s="142"/>
      <c r="AJ30" s="142"/>
      <c r="AK30" s="142"/>
      <c r="AL30" s="142"/>
    </row>
    <row r="31" spans="1:80" s="59" customFormat="1" ht="15" customHeight="1">
      <c r="U31" s="813"/>
    </row>
    <row r="32" spans="1:80" s="59" customFormat="1" ht="15" customHeight="1">
      <c r="A32" s="807" t="s">
        <v>1119</v>
      </c>
      <c r="B32" s="807"/>
      <c r="C32" s="807"/>
      <c r="D32" s="807"/>
      <c r="E32" s="807"/>
      <c r="F32" s="807"/>
      <c r="G32" s="807"/>
      <c r="H32" s="807"/>
      <c r="I32" s="807"/>
      <c r="J32" s="807"/>
      <c r="K32" s="807"/>
      <c r="L32" s="807"/>
      <c r="M32" s="807"/>
      <c r="N32" s="807"/>
      <c r="O32" s="807"/>
      <c r="P32" s="807"/>
      <c r="Q32" s="807"/>
      <c r="R32" s="807"/>
      <c r="S32" s="807"/>
      <c r="T32" s="807"/>
      <c r="U32" s="812"/>
      <c r="V32" s="807"/>
      <c r="W32" s="807"/>
    </row>
    <row r="33" spans="1:38" s="59" customFormat="1" ht="15" customHeight="1">
      <c r="U33" s="813"/>
    </row>
    <row r="34" spans="1:38" s="174" customFormat="1" ht="15" customHeight="1">
      <c r="A34" s="59"/>
      <c r="B34" s="59"/>
      <c r="C34" s="140"/>
      <c r="D34" s="817"/>
      <c r="E34" s="817"/>
      <c r="F34" s="817"/>
      <c r="G34" s="817"/>
      <c r="H34" s="817"/>
      <c r="I34" s="817"/>
      <c r="J34" s="817"/>
      <c r="K34" s="818" t="s">
        <v>502</v>
      </c>
      <c r="L34" s="819" t="s">
        <v>105</v>
      </c>
      <c r="M34" s="820"/>
      <c r="N34" s="181"/>
      <c r="O34" s="142"/>
      <c r="P34" s="142"/>
      <c r="Q34" s="142"/>
      <c r="R34" s="142"/>
      <c r="S34" s="142"/>
      <c r="T34" s="142"/>
      <c r="U34" s="816"/>
      <c r="V34" s="142"/>
      <c r="W34" s="142"/>
      <c r="X34" s="142"/>
      <c r="Y34" s="142" t="s">
        <v>114</v>
      </c>
      <c r="Z34" s="142">
        <v>1705000</v>
      </c>
      <c r="AA34" s="142"/>
      <c r="AB34" s="142"/>
      <c r="AC34" s="142"/>
      <c r="AD34" s="142"/>
      <c r="AE34" s="142"/>
      <c r="AF34" s="142"/>
      <c r="AG34" s="142"/>
      <c r="AH34" s="142"/>
      <c r="AI34" s="142"/>
      <c r="AJ34" s="142"/>
      <c r="AK34" s="142"/>
      <c r="AL34" s="142"/>
    </row>
    <row r="35" spans="1:38" s="59" customFormat="1" ht="15" customHeight="1">
      <c r="U35" s="813"/>
    </row>
    <row r="36" spans="1:38" s="59" customFormat="1" ht="15" customHeight="1">
      <c r="U36" s="813"/>
    </row>
    <row r="37" spans="1:38" s="807" customFormat="1" ht="11.25" customHeight="1">
      <c r="A37" s="807" t="s">
        <v>1120</v>
      </c>
    </row>
    <row r="38" spans="1:38" ht="11.25" customHeight="1"/>
    <row r="39" spans="1:38" s="266" customFormat="1" ht="22.5" customHeight="1">
      <c r="A39" s="310"/>
      <c r="B39" s="83"/>
      <c r="C39" s="821"/>
      <c r="D39" s="289"/>
      <c r="E39" s="303"/>
      <c r="F39" s="313"/>
      <c r="G39" s="817"/>
      <c r="H39" s="281"/>
    </row>
    <row r="40" spans="1:38" ht="11.25" customHeight="1"/>
    <row r="41" spans="1:38" s="807" customFormat="1" ht="11.25" customHeight="1">
      <c r="A41" s="807" t="s">
        <v>1121</v>
      </c>
    </row>
    <row r="42" spans="1:38" ht="11.25" customHeight="1"/>
    <row r="43" spans="1:38" s="266" customFormat="1" ht="22.5" customHeight="1">
      <c r="A43" s="83"/>
      <c r="B43" s="83"/>
      <c r="C43" s="83"/>
      <c r="D43" s="289"/>
      <c r="E43" s="303"/>
      <c r="F43" s="304"/>
      <c r="G43" s="817"/>
      <c r="H43" s="281"/>
    </row>
    <row r="46" spans="1:38" s="807" customFormat="1" ht="17.25" customHeight="1">
      <c r="A46" s="807" t="s">
        <v>1122</v>
      </c>
    </row>
    <row r="48" spans="1:38" s="64" customFormat="1" ht="18.75" customHeight="1">
      <c r="A48" s="59"/>
      <c r="B48" s="134"/>
      <c r="C48" s="134"/>
      <c r="D48" s="377"/>
      <c r="E48" s="509"/>
      <c r="F48" s="822">
        <v>13</v>
      </c>
      <c r="G48" s="823"/>
      <c r="H48" s="155"/>
      <c r="I48" s="156"/>
      <c r="J48" s="380" t="s">
        <v>63</v>
      </c>
      <c r="K48" s="824"/>
      <c r="L48" s="59"/>
      <c r="M48" s="53"/>
      <c r="N48" s="53"/>
      <c r="O48" s="53"/>
      <c r="P48" s="375" t="s">
        <v>381</v>
      </c>
      <c r="Q48" s="375" t="s">
        <v>382</v>
      </c>
      <c r="R48" s="376" t="s">
        <v>383</v>
      </c>
      <c r="S48" s="53" t="s">
        <v>384</v>
      </c>
      <c r="T48" s="53"/>
      <c r="U48" s="53"/>
      <c r="V48" s="53"/>
    </row>
    <row r="50" spans="1:45" s="807" customFormat="1" ht="11.25" customHeight="1">
      <c r="A50" s="807" t="s">
        <v>1123</v>
      </c>
    </row>
    <row r="52" spans="1:45" s="46" customFormat="1" ht="14.25" customHeight="1">
      <c r="C52" s="302"/>
      <c r="D52" s="347"/>
      <c r="E52" s="299"/>
      <c r="F52" s="348"/>
      <c r="G52" s="349"/>
      <c r="H52" s="350"/>
      <c r="I52" s="350"/>
      <c r="J52" s="351"/>
      <c r="K52" s="352"/>
      <c r="L52" s="353"/>
      <c r="M52" s="352"/>
      <c r="N52" s="351"/>
      <c r="O52" s="352"/>
      <c r="P52" s="351"/>
      <c r="Q52" s="352"/>
      <c r="R52" s="351"/>
      <c r="S52" s="354"/>
      <c r="T52" s="350"/>
      <c r="U52" s="351"/>
      <c r="V52" s="351"/>
      <c r="W52" s="339"/>
      <c r="X52" s="350"/>
      <c r="Y52" s="351"/>
      <c r="Z52" s="351"/>
      <c r="AA52" s="339"/>
      <c r="AB52" s="350"/>
      <c r="AC52" s="351"/>
      <c r="AD52" s="339"/>
      <c r="AE52" s="59"/>
      <c r="AF52" s="59"/>
      <c r="AG52" s="59"/>
      <c r="AH52" s="59"/>
      <c r="AJ52" s="53"/>
      <c r="AK52" s="53"/>
      <c r="AL52" s="53"/>
      <c r="AM52" s="53"/>
      <c r="AN52" s="53"/>
      <c r="AO52" s="53"/>
      <c r="AP52" s="121" t="s">
        <v>370</v>
      </c>
      <c r="AQ52" s="121" t="s">
        <v>370</v>
      </c>
      <c r="AR52" s="53"/>
      <c r="AS52" s="53"/>
    </row>
    <row r="54" spans="1:45" s="807" customFormat="1" ht="11.25" customHeight="1">
      <c r="A54" s="807" t="s">
        <v>1124</v>
      </c>
    </row>
    <row r="56" spans="1:45" s="134" customFormat="1" ht="15" customHeight="1">
      <c r="A56" s="60" t="s">
        <v>86</v>
      </c>
      <c r="C56" s="257"/>
      <c r="D56" s="190"/>
      <c r="E56" s="308"/>
      <c r="F56" s="308"/>
      <c r="G56" s="414"/>
      <c r="H56" s="824"/>
      <c r="I56" s="825"/>
      <c r="K56" s="762"/>
      <c r="L56" s="158"/>
    </row>
    <row r="58" spans="1:45" s="807" customFormat="1" ht="11.25" customHeight="1">
      <c r="A58" s="807" t="s">
        <v>1125</v>
      </c>
    </row>
    <row r="60" spans="1:45" s="46" customFormat="1" ht="14.25" customHeight="1">
      <c r="A60" s="134"/>
      <c r="B60" s="49"/>
      <c r="C60" s="437"/>
      <c r="D60" s="274"/>
      <c r="E60" s="826"/>
      <c r="F60" s="824"/>
      <c r="G60" s="59"/>
      <c r="I60" s="121"/>
      <c r="J60" s="121"/>
    </row>
    <row r="62" spans="1:45" s="807" customFormat="1" ht="11.25" customHeight="1">
      <c r="A62" s="807" t="s">
        <v>1126</v>
      </c>
    </row>
    <row r="64" spans="1:45" s="46" customFormat="1" ht="27" customHeight="1">
      <c r="A64" s="628"/>
      <c r="B64" s="628"/>
      <c r="C64" s="628"/>
      <c r="D64" s="49"/>
      <c r="E64" s="665"/>
      <c r="F64" s="1268"/>
      <c r="G64" s="1269"/>
      <c r="H64" s="1270" t="s">
        <v>63</v>
      </c>
      <c r="I64" s="1271"/>
      <c r="J64" s="1272"/>
      <c r="K64" s="1273"/>
      <c r="L64" s="1274"/>
      <c r="M64" s="1274"/>
      <c r="N64" s="1275"/>
      <c r="O64" s="1275"/>
      <c r="P64" s="1276" t="e">
        <f>DATEDIF(DATEVALUE(N64),DATEVALUE(O64),"y")&amp;"г. "&amp;DATEDIF(DATEVALUE(N64),DATEVALUE(O64),"ym")&amp;"мес. "&amp;DATEVALUE(O64)-DATE(YEAR(DATEVALUE(O64)),MONTH(DATEVALUE(O64)),1)&amp;"дн. "</f>
        <v>#VALUE!</v>
      </c>
      <c r="Q64" s="1277"/>
      <c r="R64" s="1277"/>
      <c r="S64" s="1277"/>
      <c r="T64" s="1272"/>
      <c r="U64" s="1277"/>
      <c r="V64" s="1277"/>
      <c r="W64" s="1277"/>
      <c r="X64" s="1272"/>
      <c r="Y64" s="1270" t="s">
        <v>63</v>
      </c>
      <c r="Z64" s="243"/>
      <c r="AA64" s="148">
        <v>1</v>
      </c>
      <c r="AB64" s="827"/>
      <c r="AD64" s="53" t="s">
        <v>1127</v>
      </c>
    </row>
    <row r="65" spans="1:58" s="46" customFormat="1" ht="10.5" customHeight="1">
      <c r="A65" s="628"/>
      <c r="B65" s="628"/>
      <c r="C65" s="628"/>
      <c r="D65" s="49"/>
      <c r="E65" s="828"/>
      <c r="F65" s="1268"/>
      <c r="G65" s="1269"/>
      <c r="H65" s="1270"/>
      <c r="I65" s="1271"/>
      <c r="J65" s="1272"/>
      <c r="K65" s="1273"/>
      <c r="L65" s="1274"/>
      <c r="M65" s="1274"/>
      <c r="N65" s="1275"/>
      <c r="O65" s="1275"/>
      <c r="P65" s="1276"/>
      <c r="Q65" s="1277"/>
      <c r="R65" s="1277"/>
      <c r="S65" s="1277"/>
      <c r="T65" s="1272"/>
      <c r="U65" s="1277"/>
      <c r="V65" s="1277"/>
      <c r="W65" s="1277"/>
      <c r="X65" s="1272"/>
      <c r="Y65" s="1270"/>
      <c r="Z65" s="669"/>
      <c r="AA65" s="562"/>
      <c r="AB65" s="194" t="s">
        <v>1128</v>
      </c>
    </row>
    <row r="67" spans="1:58" s="807" customFormat="1" ht="11.25" customHeight="1">
      <c r="A67" s="807" t="s">
        <v>1129</v>
      </c>
    </row>
    <row r="69" spans="1:58" s="46" customFormat="1" ht="27" customHeight="1">
      <c r="A69" s="628"/>
      <c r="B69" s="628"/>
      <c r="C69" s="628"/>
      <c r="D69" s="49"/>
      <c r="E69" s="665"/>
      <c r="F69" s="829"/>
      <c r="G69" s="830"/>
      <c r="H69" s="831"/>
      <c r="I69" s="832"/>
      <c r="J69" s="833"/>
      <c r="K69" s="834"/>
      <c r="L69" s="835"/>
      <c r="M69" s="835"/>
      <c r="N69" s="836"/>
      <c r="O69" s="836"/>
      <c r="P69" s="837"/>
      <c r="Q69" s="838"/>
      <c r="R69" s="838"/>
      <c r="S69" s="838"/>
      <c r="T69" s="833"/>
      <c r="U69" s="838"/>
      <c r="V69" s="838"/>
      <c r="W69" s="838"/>
      <c r="X69" s="833"/>
      <c r="Y69" s="831"/>
      <c r="Z69" s="243"/>
      <c r="AA69" s="148">
        <v>1</v>
      </c>
      <c r="AB69" s="827"/>
      <c r="AD69" s="53" t="s">
        <v>1127</v>
      </c>
    </row>
    <row r="71" spans="1:58" s="807" customFormat="1" ht="11.25" customHeight="1">
      <c r="A71" s="807" t="s">
        <v>1130</v>
      </c>
    </row>
    <row r="72" spans="1:58" ht="17.25" customHeight="1"/>
    <row r="73" spans="1:58" s="46" customFormat="1" ht="21" customHeight="1">
      <c r="A73" s="431"/>
      <c r="B73" s="628"/>
      <c r="C73" s="628"/>
      <c r="D73" s="49"/>
      <c r="E73" s="83"/>
      <c r="F73" s="839" t="e">
        <f>INDEX(IP_MAIN_LIST_NAME_IP,MATCH(A73,IP_MAIN_LIST_IP_ID,0))&amp;" ("&amp;INDEX(IP_MAIN_START_DATE,MATCH(A73,IP_MAIN_LIST_IP_ID,0))&amp;"-"&amp;INDEX(IP_MAIN_END_DATE,MATCH(A73,IP_MAIN_LIST_IP_ID,0))&amp;")"</f>
        <v>#N/A</v>
      </c>
      <c r="G73" s="840"/>
      <c r="H73" s="840"/>
      <c r="I73" s="841"/>
      <c r="J73" s="841"/>
      <c r="K73" s="842"/>
      <c r="L73" s="842"/>
      <c r="M73" s="842"/>
      <c r="N73" s="843"/>
      <c r="O73" s="843"/>
      <c r="P73" s="843"/>
      <c r="Q73" s="843"/>
      <c r="R73" s="843"/>
      <c r="S73" s="843"/>
      <c r="T73" s="843"/>
      <c r="U73" s="843"/>
      <c r="V73" s="843"/>
      <c r="W73" s="843"/>
      <c r="X73" s="843"/>
      <c r="Y73" s="843"/>
      <c r="Z73" s="843"/>
      <c r="AA73" s="843"/>
      <c r="AB73" s="843"/>
      <c r="AC73" s="843"/>
      <c r="AD73" s="843"/>
      <c r="AE73" s="844"/>
      <c r="AF73" s="842"/>
      <c r="AG73" s="842"/>
      <c r="AH73" s="842"/>
      <c r="AI73" s="842"/>
      <c r="AJ73" s="842"/>
      <c r="AK73" s="842"/>
      <c r="AL73" s="682"/>
      <c r="AM73" s="134"/>
      <c r="AN73" s="134"/>
      <c r="AO73" s="134"/>
      <c r="AP73" s="134"/>
      <c r="AQ73" s="134"/>
      <c r="AR73" s="134"/>
      <c r="AS73" s="134"/>
      <c r="AT73" s="134"/>
      <c r="AU73" s="134"/>
      <c r="AV73" s="134"/>
      <c r="AW73" s="134"/>
      <c r="AX73" s="134"/>
      <c r="AY73" s="134"/>
      <c r="AZ73" s="134"/>
      <c r="BA73" s="134"/>
      <c r="BB73" s="134"/>
      <c r="BC73" s="134"/>
      <c r="BD73" s="134"/>
      <c r="BE73" s="134"/>
      <c r="BF73" s="134"/>
    </row>
    <row r="74" spans="1:58" s="46" customFormat="1" ht="11.25" customHeight="1">
      <c r="A74" s="628"/>
      <c r="B74" s="628"/>
      <c r="C74" s="628"/>
      <c r="D74" s="49"/>
      <c r="E74" s="83"/>
      <c r="F74" s="1278"/>
      <c r="G74" s="1279"/>
      <c r="H74" s="1279" t="s">
        <v>105</v>
      </c>
      <c r="I74" s="1280"/>
      <c r="J74" s="1281"/>
      <c r="K74" s="1282"/>
      <c r="L74" s="1283" t="s">
        <v>53</v>
      </c>
      <c r="M74" s="1099"/>
      <c r="N74" s="845"/>
      <c r="O74" s="846" t="s">
        <v>365</v>
      </c>
      <c r="P74" s="845"/>
      <c r="Q74" s="845"/>
      <c r="R74" s="845"/>
      <c r="S74" s="845"/>
      <c r="T74" s="845"/>
      <c r="U74" s="845"/>
      <c r="V74" s="845"/>
      <c r="W74" s="845"/>
      <c r="X74" s="845"/>
      <c r="Y74" s="845"/>
      <c r="Z74" s="845"/>
      <c r="AA74" s="845"/>
      <c r="AB74" s="845"/>
      <c r="AC74" s="845"/>
      <c r="AD74" s="845"/>
      <c r="AE74" s="845"/>
      <c r="AF74" s="1284"/>
      <c r="AG74" s="1283"/>
      <c r="AH74" s="1283"/>
      <c r="AI74" s="1284"/>
      <c r="AJ74" s="1283"/>
      <c r="AK74" s="1283"/>
      <c r="AM74" s="134"/>
      <c r="AN74" s="134"/>
      <c r="AO74" s="134"/>
      <c r="AP74" s="134"/>
      <c r="AQ74" s="134"/>
      <c r="AR74" s="134"/>
      <c r="AS74" s="134"/>
      <c r="AT74" s="134"/>
      <c r="AU74" s="134"/>
      <c r="AV74" s="134"/>
      <c r="AW74" s="134"/>
      <c r="AX74" s="134"/>
      <c r="AY74" s="134"/>
      <c r="AZ74" s="134"/>
      <c r="BA74" s="134"/>
      <c r="BB74" s="134"/>
      <c r="BC74" s="134"/>
      <c r="BD74" s="134"/>
      <c r="BE74" s="134"/>
      <c r="BF74" s="134"/>
    </row>
    <row r="75" spans="1:58" s="46" customFormat="1" ht="11.25" customHeight="1">
      <c r="A75" s="628"/>
      <c r="B75" s="628"/>
      <c r="C75" s="628"/>
      <c r="D75" s="49"/>
      <c r="E75" s="83"/>
      <c r="F75" s="1278"/>
      <c r="G75" s="1279"/>
      <c r="H75" s="1279"/>
      <c r="I75" s="1280"/>
      <c r="J75" s="1281"/>
      <c r="K75" s="1282"/>
      <c r="L75" s="1283"/>
      <c r="M75" s="1099"/>
      <c r="N75" s="1285"/>
      <c r="O75" s="1286">
        <v>1</v>
      </c>
      <c r="P75" s="1183" t="s">
        <v>53</v>
      </c>
      <c r="Q75" s="1214"/>
      <c r="R75" s="1214"/>
      <c r="S75" s="1214"/>
      <c r="T75" s="1214"/>
      <c r="U75" s="1214"/>
      <c r="V75" s="1214"/>
      <c r="W75" s="1214"/>
      <c r="X75" s="1214"/>
      <c r="Y75" s="1214"/>
      <c r="Z75" s="848"/>
      <c r="AA75" s="849"/>
      <c r="AB75" s="849"/>
      <c r="AC75" s="850"/>
      <c r="AD75" s="850"/>
      <c r="AE75" s="851"/>
      <c r="AF75" s="1284"/>
      <c r="AG75" s="1283"/>
      <c r="AH75" s="1283"/>
      <c r="AI75" s="1284"/>
      <c r="AJ75" s="1283"/>
      <c r="AK75" s="1283"/>
      <c r="AM75" s="134"/>
      <c r="AN75" s="134"/>
      <c r="AO75" s="134"/>
      <c r="AP75" s="134"/>
      <c r="AQ75" s="134"/>
      <c r="AR75" s="134"/>
      <c r="AS75" s="134"/>
      <c r="AT75" s="134"/>
      <c r="AU75" s="134"/>
      <c r="AV75" s="134"/>
      <c r="AW75" s="134"/>
      <c r="AX75" s="134"/>
      <c r="AY75" s="134"/>
      <c r="AZ75" s="134"/>
      <c r="BA75" s="134"/>
      <c r="BB75" s="134"/>
      <c r="BC75" s="134"/>
      <c r="BD75" s="134"/>
      <c r="BE75" s="134"/>
      <c r="BF75" s="134"/>
    </row>
    <row r="76" spans="1:58" s="46" customFormat="1" ht="11.25" customHeight="1">
      <c r="A76" s="628"/>
      <c r="B76" s="628"/>
      <c r="C76" s="628"/>
      <c r="D76" s="49"/>
      <c r="E76" s="83"/>
      <c r="F76" s="1278"/>
      <c r="G76" s="1279"/>
      <c r="H76" s="1279"/>
      <c r="I76" s="1280"/>
      <c r="J76" s="1281"/>
      <c r="K76" s="1282"/>
      <c r="L76" s="1283"/>
      <c r="M76" s="1099"/>
      <c r="N76" s="1285"/>
      <c r="O76" s="1286"/>
      <c r="P76" s="1183"/>
      <c r="Q76" s="1214"/>
      <c r="R76" s="1214"/>
      <c r="S76" s="1214"/>
      <c r="T76" s="1214"/>
      <c r="U76" s="1214"/>
      <c r="V76" s="1214"/>
      <c r="W76" s="1214"/>
      <c r="X76" s="1214"/>
      <c r="Y76" s="1214"/>
      <c r="Z76" s="852"/>
      <c r="AA76" s="847">
        <v>1</v>
      </c>
      <c r="AB76" s="853"/>
      <c r="AC76" s="644"/>
      <c r="AD76" s="853">
        <f>AB76</f>
        <v>0</v>
      </c>
      <c r="AE76" s="644"/>
      <c r="AF76" s="1284"/>
      <c r="AG76" s="1283"/>
      <c r="AH76" s="1283"/>
      <c r="AI76" s="1284"/>
      <c r="AJ76" s="1283"/>
      <c r="AK76" s="1283"/>
      <c r="AM76" s="134"/>
      <c r="AN76" s="134"/>
      <c r="AO76" s="134"/>
      <c r="AP76" s="134"/>
      <c r="AQ76" s="134"/>
      <c r="AR76" s="134"/>
      <c r="AS76" s="134"/>
      <c r="AT76" s="134"/>
      <c r="AU76" s="134"/>
      <c r="AV76" s="134"/>
      <c r="AW76" s="134"/>
      <c r="AX76" s="134"/>
      <c r="AY76" s="134"/>
      <c r="AZ76" s="134"/>
      <c r="BA76" s="134"/>
      <c r="BB76" s="134"/>
      <c r="BC76" s="134"/>
      <c r="BD76" s="134"/>
      <c r="BE76" s="134"/>
      <c r="BF76" s="134"/>
    </row>
    <row r="77" spans="1:58" s="46" customFormat="1" ht="11.25" customHeight="1">
      <c r="A77" s="628"/>
      <c r="B77" s="628"/>
      <c r="C77" s="628"/>
      <c r="D77" s="49"/>
      <c r="E77" s="83"/>
      <c r="F77" s="1278"/>
      <c r="G77" s="1279"/>
      <c r="H77" s="1279"/>
      <c r="I77" s="1280"/>
      <c r="J77" s="1281"/>
      <c r="K77" s="1282"/>
      <c r="L77" s="1283"/>
      <c r="M77" s="1099"/>
      <c r="N77" s="1285"/>
      <c r="O77" s="1286"/>
      <c r="P77" s="1183"/>
      <c r="Q77" s="1214"/>
      <c r="R77" s="1214"/>
      <c r="S77" s="1214"/>
      <c r="T77" s="1214"/>
      <c r="U77" s="1214"/>
      <c r="V77" s="1214"/>
      <c r="W77" s="1214"/>
      <c r="X77" s="1214"/>
      <c r="Y77" s="1214"/>
      <c r="Z77" s="848"/>
      <c r="AA77" s="849"/>
      <c r="AB77" s="163" t="s">
        <v>1131</v>
      </c>
      <c r="AC77" s="850"/>
      <c r="AD77" s="850"/>
      <c r="AE77" s="854"/>
      <c r="AF77" s="1284"/>
      <c r="AG77" s="1283"/>
      <c r="AH77" s="1283"/>
      <c r="AI77" s="1284"/>
      <c r="AJ77" s="1283"/>
      <c r="AK77" s="1283"/>
      <c r="AM77" s="134"/>
      <c r="AN77" s="134"/>
      <c r="AO77" s="134"/>
      <c r="AP77" s="134"/>
      <c r="AQ77" s="134"/>
      <c r="AR77" s="134"/>
      <c r="AS77" s="134"/>
      <c r="AT77" s="134"/>
      <c r="AU77" s="134"/>
      <c r="AV77" s="134"/>
      <c r="AW77" s="134"/>
      <c r="AX77" s="134"/>
      <c r="AY77" s="134"/>
      <c r="AZ77" s="134"/>
      <c r="BA77" s="134"/>
      <c r="BB77" s="134"/>
      <c r="BC77" s="134"/>
      <c r="BD77" s="134"/>
      <c r="BE77" s="134"/>
      <c r="BF77" s="134"/>
    </row>
    <row r="78" spans="1:58" s="46" customFormat="1" ht="11.25" customHeight="1">
      <c r="A78" s="628"/>
      <c r="B78" s="628"/>
      <c r="C78" s="628"/>
      <c r="D78" s="49"/>
      <c r="E78" s="83"/>
      <c r="F78" s="1278"/>
      <c r="G78" s="1279"/>
      <c r="H78" s="1279"/>
      <c r="I78" s="1280"/>
      <c r="J78" s="1281"/>
      <c r="K78" s="1282"/>
      <c r="L78" s="1283"/>
      <c r="M78" s="1099"/>
      <c r="N78" s="849"/>
      <c r="O78" s="849"/>
      <c r="P78" s="163" t="s">
        <v>1132</v>
      </c>
      <c r="Q78" s="849"/>
      <c r="R78" s="849"/>
      <c r="S78" s="849"/>
      <c r="T78" s="849"/>
      <c r="U78" s="849"/>
      <c r="V78" s="849"/>
      <c r="W78" s="849"/>
      <c r="X78" s="849"/>
      <c r="Y78" s="849"/>
      <c r="Z78" s="849"/>
      <c r="AA78" s="849"/>
      <c r="AB78" s="849"/>
      <c r="AC78" s="849"/>
      <c r="AD78" s="849"/>
      <c r="AE78" s="855"/>
      <c r="AF78" s="1284"/>
      <c r="AG78" s="1283"/>
      <c r="AH78" s="1283"/>
      <c r="AI78" s="1284"/>
      <c r="AJ78" s="1283"/>
      <c r="AK78" s="1283"/>
      <c r="AM78" s="134"/>
      <c r="AN78" s="134"/>
      <c r="AO78" s="134"/>
      <c r="AP78" s="134"/>
      <c r="AQ78" s="134"/>
      <c r="AR78" s="134"/>
      <c r="AS78" s="134"/>
      <c r="AT78" s="134"/>
      <c r="AU78" s="134"/>
      <c r="AV78" s="134"/>
      <c r="AW78" s="134"/>
      <c r="AX78" s="134"/>
      <c r="AY78" s="134"/>
      <c r="AZ78" s="134"/>
      <c r="BA78" s="134"/>
      <c r="BB78" s="134"/>
      <c r="BC78" s="134"/>
      <c r="BD78" s="134"/>
      <c r="BE78" s="134"/>
      <c r="BF78" s="134"/>
    </row>
    <row r="79" spans="1:58" s="46" customFormat="1" ht="12" customHeight="1">
      <c r="A79" s="628"/>
      <c r="B79" s="628"/>
      <c r="C79" s="628"/>
      <c r="D79" s="49"/>
      <c r="E79" s="83"/>
      <c r="F79" s="1278"/>
      <c r="G79" s="856"/>
      <c r="H79" s="856"/>
      <c r="I79" s="1287" t="s">
        <v>1133</v>
      </c>
      <c r="J79" s="1287"/>
      <c r="K79" s="1287"/>
      <c r="L79" s="858"/>
      <c r="M79" s="858"/>
      <c r="N79" s="859"/>
      <c r="O79" s="859"/>
      <c r="P79" s="859"/>
      <c r="Q79" s="859"/>
      <c r="R79" s="859"/>
      <c r="S79" s="859"/>
      <c r="T79" s="859"/>
      <c r="U79" s="859"/>
      <c r="V79" s="859"/>
      <c r="W79" s="859"/>
      <c r="X79" s="859"/>
      <c r="Y79" s="859"/>
      <c r="Z79" s="859"/>
      <c r="AA79" s="859"/>
      <c r="AB79" s="859"/>
      <c r="AC79" s="859"/>
      <c r="AD79" s="859"/>
      <c r="AE79" s="859"/>
      <c r="AF79" s="859"/>
      <c r="AG79" s="858"/>
      <c r="AH79" s="858"/>
      <c r="AI79" s="859"/>
      <c r="AJ79" s="858"/>
      <c r="AK79" s="860"/>
      <c r="AM79" s="134"/>
      <c r="AN79" s="134"/>
      <c r="AO79" s="134"/>
      <c r="AP79" s="134"/>
      <c r="AQ79" s="134"/>
      <c r="AR79" s="134"/>
      <c r="AS79" s="134"/>
      <c r="AT79" s="134"/>
      <c r="AU79" s="134"/>
      <c r="AV79" s="134"/>
      <c r="AW79" s="134"/>
      <c r="AX79" s="134"/>
      <c r="AY79" s="134"/>
      <c r="AZ79" s="134"/>
      <c r="BA79" s="134"/>
      <c r="BB79" s="134"/>
      <c r="BC79" s="134"/>
      <c r="BD79" s="134"/>
      <c r="BE79" s="134"/>
      <c r="BF79" s="134"/>
    </row>
    <row r="81" spans="1:58" s="807" customFormat="1" ht="11.25" customHeight="1">
      <c r="A81" s="807" t="s">
        <v>1134</v>
      </c>
    </row>
    <row r="83" spans="1:58" s="46" customFormat="1" ht="11.25" customHeight="1">
      <c r="A83" s="628"/>
      <c r="B83" s="628"/>
      <c r="C83" s="628"/>
      <c r="D83" s="49"/>
      <c r="E83" s="83"/>
      <c r="F83" s="861"/>
      <c r="G83" s="862"/>
      <c r="H83" s="862"/>
      <c r="I83" s="863"/>
      <c r="J83" s="863"/>
      <c r="K83" s="864"/>
      <c r="L83" s="863"/>
      <c r="M83" s="862"/>
      <c r="N83" s="1288"/>
      <c r="O83" s="1286">
        <v>1</v>
      </c>
      <c r="P83" s="1183" t="s">
        <v>53</v>
      </c>
      <c r="Q83" s="1214"/>
      <c r="R83" s="1214"/>
      <c r="S83" s="1214"/>
      <c r="T83" s="1214"/>
      <c r="U83" s="1214"/>
      <c r="V83" s="1214"/>
      <c r="W83" s="1214"/>
      <c r="X83" s="1214"/>
      <c r="Y83" s="1214"/>
      <c r="Z83" s="848"/>
      <c r="AA83" s="849"/>
      <c r="AB83" s="849"/>
      <c r="AC83" s="850"/>
      <c r="AD83" s="850"/>
      <c r="AE83" s="850"/>
      <c r="AF83" s="865"/>
      <c r="AG83" s="866"/>
      <c r="AH83" s="866"/>
      <c r="AI83" s="865"/>
      <c r="AJ83" s="866"/>
      <c r="AK83" s="866"/>
      <c r="AM83" s="134"/>
      <c r="AN83" s="134"/>
      <c r="AO83" s="134"/>
      <c r="AP83" s="134"/>
      <c r="AQ83" s="134"/>
      <c r="AR83" s="134"/>
      <c r="AS83" s="134"/>
      <c r="AT83" s="134"/>
      <c r="AU83" s="134"/>
      <c r="AV83" s="134"/>
      <c r="AW83" s="134"/>
      <c r="AX83" s="134"/>
      <c r="AY83" s="134"/>
      <c r="AZ83" s="134"/>
      <c r="BA83" s="134"/>
      <c r="BB83" s="134"/>
      <c r="BC83" s="134"/>
      <c r="BD83" s="134"/>
      <c r="BE83" s="134"/>
      <c r="BF83" s="134"/>
    </row>
    <row r="84" spans="1:58" s="46" customFormat="1" ht="11.25" customHeight="1">
      <c r="A84" s="628"/>
      <c r="B84" s="628"/>
      <c r="C84" s="628"/>
      <c r="D84" s="49"/>
      <c r="E84" s="83"/>
      <c r="F84" s="861"/>
      <c r="G84" s="862"/>
      <c r="H84" s="862"/>
      <c r="I84" s="867"/>
      <c r="J84" s="867"/>
      <c r="K84" s="864"/>
      <c r="L84" s="867"/>
      <c r="M84" s="862"/>
      <c r="N84" s="1288"/>
      <c r="O84" s="1286"/>
      <c r="P84" s="1183"/>
      <c r="Q84" s="1214"/>
      <c r="R84" s="1214"/>
      <c r="S84" s="1214"/>
      <c r="T84" s="1214"/>
      <c r="U84" s="1214"/>
      <c r="V84" s="1214"/>
      <c r="W84" s="1214"/>
      <c r="X84" s="1214"/>
      <c r="Y84" s="1214"/>
      <c r="Z84" s="852"/>
      <c r="AA84" s="847">
        <v>1</v>
      </c>
      <c r="AB84" s="853"/>
      <c r="AC84" s="644"/>
      <c r="AD84" s="853">
        <f>AB84</f>
        <v>0</v>
      </c>
      <c r="AE84" s="661"/>
      <c r="AF84" s="864"/>
      <c r="AG84" s="866"/>
      <c r="AH84" s="866"/>
      <c r="AI84" s="864"/>
      <c r="AJ84" s="866"/>
      <c r="AK84" s="866"/>
      <c r="AM84" s="134"/>
      <c r="AN84" s="134"/>
      <c r="AO84" s="134"/>
      <c r="AP84" s="134"/>
      <c r="AQ84" s="134"/>
      <c r="AR84" s="134"/>
      <c r="AS84" s="134"/>
      <c r="AT84" s="134"/>
      <c r="AU84" s="134"/>
      <c r="AV84" s="134"/>
      <c r="AW84" s="134"/>
      <c r="AX84" s="134"/>
      <c r="AY84" s="134"/>
      <c r="AZ84" s="134"/>
      <c r="BA84" s="134"/>
      <c r="BB84" s="134"/>
      <c r="BC84" s="134"/>
      <c r="BD84" s="134"/>
      <c r="BE84" s="134"/>
      <c r="BF84" s="134"/>
    </row>
    <row r="85" spans="1:58" s="46" customFormat="1" ht="11.25" customHeight="1">
      <c r="A85" s="628"/>
      <c r="B85" s="628"/>
      <c r="C85" s="628"/>
      <c r="D85" s="49"/>
      <c r="E85" s="83"/>
      <c r="F85" s="861"/>
      <c r="G85" s="862"/>
      <c r="H85" s="862"/>
      <c r="I85" s="868"/>
      <c r="J85" s="868"/>
      <c r="K85" s="864"/>
      <c r="L85" s="868"/>
      <c r="M85" s="862"/>
      <c r="N85" s="1288"/>
      <c r="O85" s="1286"/>
      <c r="P85" s="1183"/>
      <c r="Q85" s="1214"/>
      <c r="R85" s="1214"/>
      <c r="S85" s="1214"/>
      <c r="T85" s="1214"/>
      <c r="U85" s="1214"/>
      <c r="V85" s="1214"/>
      <c r="W85" s="1214"/>
      <c r="X85" s="1214"/>
      <c r="Y85" s="1214"/>
      <c r="Z85" s="848"/>
      <c r="AA85" s="849"/>
      <c r="AB85" s="163" t="s">
        <v>1131</v>
      </c>
      <c r="AC85" s="850"/>
      <c r="AD85" s="850"/>
      <c r="AE85" s="850"/>
      <c r="AF85" s="869"/>
      <c r="AG85" s="866"/>
      <c r="AH85" s="866"/>
      <c r="AI85" s="869"/>
      <c r="AJ85" s="866"/>
      <c r="AK85" s="866"/>
      <c r="AM85" s="134"/>
      <c r="AN85" s="134"/>
      <c r="AO85" s="134"/>
      <c r="AP85" s="134"/>
      <c r="AQ85" s="134"/>
      <c r="AR85" s="134"/>
      <c r="AS85" s="134"/>
      <c r="AT85" s="134"/>
      <c r="AU85" s="134"/>
      <c r="AV85" s="134"/>
      <c r="AW85" s="134"/>
      <c r="AX85" s="134"/>
      <c r="AY85" s="134"/>
      <c r="AZ85" s="134"/>
      <c r="BA85" s="134"/>
      <c r="BB85" s="134"/>
      <c r="BC85" s="134"/>
      <c r="BD85" s="134"/>
      <c r="BE85" s="134"/>
      <c r="BF85" s="134"/>
    </row>
    <row r="87" spans="1:58" s="807" customFormat="1" ht="11.25" customHeight="1">
      <c r="A87" s="807" t="s">
        <v>1135</v>
      </c>
    </row>
    <row r="89" spans="1:58" s="46" customFormat="1" ht="11.25" customHeight="1">
      <c r="A89" s="628"/>
      <c r="B89" s="628"/>
      <c r="C89" s="628"/>
      <c r="D89" s="49"/>
      <c r="E89" s="83"/>
      <c r="F89" s="862"/>
      <c r="G89" s="862"/>
      <c r="H89" s="862"/>
      <c r="I89" s="862"/>
      <c r="J89" s="862"/>
      <c r="K89" s="862"/>
      <c r="L89" s="862"/>
      <c r="M89" s="862"/>
      <c r="N89" s="862"/>
      <c r="O89" s="862"/>
      <c r="P89" s="862"/>
      <c r="Q89" s="862"/>
      <c r="R89" s="862"/>
      <c r="S89" s="862"/>
      <c r="T89" s="862"/>
      <c r="U89" s="862"/>
      <c r="V89" s="862"/>
      <c r="W89" s="862"/>
      <c r="X89" s="862"/>
      <c r="Y89" s="862"/>
      <c r="Z89" s="870"/>
      <c r="AA89" s="871">
        <v>1</v>
      </c>
      <c r="AB89" s="853"/>
      <c r="AC89" s="644"/>
      <c r="AD89" s="853">
        <f>AB89</f>
        <v>0</v>
      </c>
      <c r="AE89" s="644"/>
      <c r="AF89" s="864"/>
      <c r="AG89" s="866"/>
      <c r="AH89" s="866"/>
      <c r="AI89" s="864"/>
      <c r="AJ89" s="866"/>
      <c r="AK89" s="866"/>
      <c r="AM89" s="134"/>
      <c r="AN89" s="134"/>
      <c r="AO89" s="134"/>
      <c r="AP89" s="134"/>
      <c r="AQ89" s="134"/>
      <c r="AR89" s="134"/>
      <c r="AS89" s="134"/>
      <c r="AT89" s="134"/>
      <c r="AU89" s="134"/>
      <c r="AV89" s="134"/>
      <c r="AW89" s="134"/>
      <c r="AX89" s="134"/>
      <c r="AY89" s="134"/>
      <c r="AZ89" s="134"/>
      <c r="BA89" s="134"/>
      <c r="BB89" s="134"/>
      <c r="BC89" s="134"/>
      <c r="BD89" s="134"/>
      <c r="BE89" s="134"/>
      <c r="BF89" s="134"/>
    </row>
    <row r="91" spans="1:58" s="807" customFormat="1" ht="11.25" customHeight="1">
      <c r="A91" s="807" t="s">
        <v>1136</v>
      </c>
    </row>
    <row r="93" spans="1:58" s="46" customFormat="1" ht="11.25" customHeight="1">
      <c r="A93" s="628"/>
      <c r="B93" s="628"/>
      <c r="C93" s="628"/>
      <c r="D93" s="49"/>
      <c r="E93" s="83"/>
      <c r="F93" s="861"/>
      <c r="G93" s="862"/>
      <c r="H93" s="1279" t="s">
        <v>105</v>
      </c>
      <c r="I93" s="1280"/>
      <c r="J93" s="1281"/>
      <c r="K93" s="1282"/>
      <c r="L93" s="1283" t="s">
        <v>53</v>
      </c>
      <c r="M93" s="1099"/>
      <c r="N93" s="845"/>
      <c r="O93" s="846" t="s">
        <v>365</v>
      </c>
      <c r="P93" s="845"/>
      <c r="Q93" s="845"/>
      <c r="R93" s="845"/>
      <c r="S93" s="845"/>
      <c r="T93" s="845"/>
      <c r="U93" s="845"/>
      <c r="V93" s="845"/>
      <c r="W93" s="845"/>
      <c r="X93" s="845"/>
      <c r="Y93" s="845"/>
      <c r="Z93" s="845"/>
      <c r="AA93" s="845"/>
      <c r="AB93" s="845"/>
      <c r="AC93" s="845"/>
      <c r="AD93" s="845"/>
      <c r="AE93" s="845"/>
      <c r="AF93" s="1284"/>
      <c r="AG93" s="1283"/>
      <c r="AH93" s="1283"/>
      <c r="AI93" s="1284"/>
      <c r="AJ93" s="1283"/>
      <c r="AK93" s="1283"/>
      <c r="AM93" s="134"/>
      <c r="AN93" s="134"/>
      <c r="AO93" s="134"/>
      <c r="AP93" s="134"/>
      <c r="AQ93" s="134"/>
      <c r="AR93" s="134"/>
      <c r="AS93" s="134"/>
      <c r="AT93" s="134"/>
      <c r="AU93" s="134"/>
      <c r="AV93" s="134"/>
      <c r="AW93" s="134"/>
      <c r="AX93" s="134"/>
      <c r="AY93" s="134"/>
      <c r="AZ93" s="134"/>
      <c r="BA93" s="134"/>
      <c r="BB93" s="134"/>
      <c r="BC93" s="134"/>
      <c r="BD93" s="134"/>
      <c r="BE93" s="134"/>
      <c r="BF93" s="134"/>
    </row>
    <row r="94" spans="1:58" s="46" customFormat="1" ht="11.25" customHeight="1">
      <c r="A94" s="628"/>
      <c r="B94" s="628"/>
      <c r="C94" s="628"/>
      <c r="D94" s="49"/>
      <c r="E94" s="83"/>
      <c r="F94" s="861"/>
      <c r="G94" s="862"/>
      <c r="H94" s="1279"/>
      <c r="I94" s="1280"/>
      <c r="J94" s="1281"/>
      <c r="K94" s="1282"/>
      <c r="L94" s="1283"/>
      <c r="M94" s="1099"/>
      <c r="N94" s="1285"/>
      <c r="O94" s="1286">
        <v>1</v>
      </c>
      <c r="P94" s="1183" t="s">
        <v>53</v>
      </c>
      <c r="Q94" s="1214"/>
      <c r="R94" s="1214"/>
      <c r="S94" s="1214"/>
      <c r="T94" s="1214"/>
      <c r="U94" s="1214"/>
      <c r="V94" s="1214"/>
      <c r="W94" s="1214"/>
      <c r="X94" s="1214"/>
      <c r="Y94" s="1214"/>
      <c r="Z94" s="848"/>
      <c r="AA94" s="849"/>
      <c r="AB94" s="849"/>
      <c r="AC94" s="850"/>
      <c r="AD94" s="850"/>
      <c r="AE94" s="851"/>
      <c r="AF94" s="1284"/>
      <c r="AG94" s="1283"/>
      <c r="AH94" s="1283"/>
      <c r="AI94" s="1284"/>
      <c r="AJ94" s="1283"/>
      <c r="AK94" s="1283"/>
      <c r="AM94" s="134"/>
      <c r="AN94" s="134"/>
      <c r="AO94" s="134"/>
      <c r="AP94" s="134"/>
      <c r="AQ94" s="134"/>
      <c r="AR94" s="134"/>
      <c r="AS94" s="134"/>
      <c r="AT94" s="134"/>
      <c r="AU94" s="134"/>
      <c r="AV94" s="134"/>
      <c r="AW94" s="134"/>
      <c r="AX94" s="134"/>
      <c r="AY94" s="134"/>
      <c r="AZ94" s="134"/>
      <c r="BA94" s="134"/>
      <c r="BB94" s="134"/>
      <c r="BC94" s="134"/>
      <c r="BD94" s="134"/>
      <c r="BE94" s="134"/>
      <c r="BF94" s="134"/>
    </row>
    <row r="95" spans="1:58" s="46" customFormat="1" ht="11.25" customHeight="1">
      <c r="A95" s="628"/>
      <c r="B95" s="628"/>
      <c r="C95" s="628"/>
      <c r="D95" s="49"/>
      <c r="E95" s="83"/>
      <c r="F95" s="861"/>
      <c r="G95" s="862"/>
      <c r="H95" s="1279"/>
      <c r="I95" s="1280"/>
      <c r="J95" s="1281"/>
      <c r="K95" s="1282"/>
      <c r="L95" s="1283"/>
      <c r="M95" s="1099"/>
      <c r="N95" s="1285"/>
      <c r="O95" s="1286"/>
      <c r="P95" s="1183"/>
      <c r="Q95" s="1214"/>
      <c r="R95" s="1214"/>
      <c r="S95" s="1214"/>
      <c r="T95" s="1214"/>
      <c r="U95" s="1214"/>
      <c r="V95" s="1214"/>
      <c r="W95" s="1214"/>
      <c r="X95" s="1214"/>
      <c r="Y95" s="1214"/>
      <c r="Z95" s="852"/>
      <c r="AA95" s="847">
        <v>1</v>
      </c>
      <c r="AB95" s="853"/>
      <c r="AC95" s="644"/>
      <c r="AD95" s="853">
        <f>AB95</f>
        <v>0</v>
      </c>
      <c r="AE95" s="644"/>
      <c r="AF95" s="1284"/>
      <c r="AG95" s="1283"/>
      <c r="AH95" s="1283"/>
      <c r="AI95" s="1284"/>
      <c r="AJ95" s="1283"/>
      <c r="AK95" s="1283"/>
      <c r="AM95" s="134"/>
      <c r="AN95" s="134"/>
      <c r="AO95" s="134"/>
      <c r="AP95" s="134"/>
      <c r="AQ95" s="134"/>
      <c r="AR95" s="134"/>
      <c r="AS95" s="134"/>
      <c r="AT95" s="134"/>
      <c r="AU95" s="134"/>
      <c r="AV95" s="134"/>
      <c r="AW95" s="134"/>
      <c r="AX95" s="134"/>
      <c r="AY95" s="134"/>
      <c r="AZ95" s="134"/>
      <c r="BA95" s="134"/>
      <c r="BB95" s="134"/>
      <c r="BC95" s="134"/>
      <c r="BD95" s="134"/>
      <c r="BE95" s="134"/>
      <c r="BF95" s="134"/>
    </row>
    <row r="96" spans="1:58" s="46" customFormat="1" ht="11.25" customHeight="1">
      <c r="A96" s="628"/>
      <c r="B96" s="628"/>
      <c r="C96" s="628"/>
      <c r="D96" s="49"/>
      <c r="E96" s="83"/>
      <c r="F96" s="861"/>
      <c r="G96" s="862"/>
      <c r="H96" s="1279"/>
      <c r="I96" s="1280"/>
      <c r="J96" s="1281"/>
      <c r="K96" s="1282"/>
      <c r="L96" s="1283"/>
      <c r="M96" s="1099"/>
      <c r="N96" s="1285"/>
      <c r="O96" s="1286"/>
      <c r="P96" s="1183"/>
      <c r="Q96" s="1214"/>
      <c r="R96" s="1214"/>
      <c r="S96" s="1214"/>
      <c r="T96" s="1214"/>
      <c r="U96" s="1214"/>
      <c r="V96" s="1214"/>
      <c r="W96" s="1214"/>
      <c r="X96" s="1214"/>
      <c r="Y96" s="1214"/>
      <c r="Z96" s="848"/>
      <c r="AA96" s="849"/>
      <c r="AB96" s="163" t="s">
        <v>1131</v>
      </c>
      <c r="AC96" s="850"/>
      <c r="AD96" s="850"/>
      <c r="AE96" s="854"/>
      <c r="AF96" s="1284"/>
      <c r="AG96" s="1283"/>
      <c r="AH96" s="1283"/>
      <c r="AI96" s="1284"/>
      <c r="AJ96" s="1283"/>
      <c r="AK96" s="1283"/>
      <c r="AM96" s="134"/>
      <c r="AN96" s="134"/>
      <c r="AO96" s="134"/>
      <c r="AP96" s="134"/>
      <c r="AQ96" s="134"/>
      <c r="AR96" s="134"/>
      <c r="AS96" s="134"/>
      <c r="AT96" s="134"/>
      <c r="AU96" s="134"/>
      <c r="AV96" s="134"/>
      <c r="AW96" s="134"/>
      <c r="AX96" s="134"/>
      <c r="AY96" s="134"/>
      <c r="AZ96" s="134"/>
      <c r="BA96" s="134"/>
      <c r="BB96" s="134"/>
      <c r="BC96" s="134"/>
      <c r="BD96" s="134"/>
      <c r="BE96" s="134"/>
      <c r="BF96" s="134"/>
    </row>
    <row r="97" spans="1:184" s="46" customFormat="1" ht="11.25" customHeight="1">
      <c r="A97" s="628"/>
      <c r="B97" s="628"/>
      <c r="C97" s="628"/>
      <c r="D97" s="49"/>
      <c r="E97" s="83"/>
      <c r="F97" s="861"/>
      <c r="G97" s="862"/>
      <c r="H97" s="1279"/>
      <c r="I97" s="1280"/>
      <c r="J97" s="1281"/>
      <c r="K97" s="1282"/>
      <c r="L97" s="1283"/>
      <c r="M97" s="1099"/>
      <c r="N97" s="849"/>
      <c r="O97" s="849"/>
      <c r="P97" s="163" t="s">
        <v>1132</v>
      </c>
      <c r="Q97" s="849"/>
      <c r="R97" s="849"/>
      <c r="S97" s="849"/>
      <c r="T97" s="849"/>
      <c r="U97" s="849"/>
      <c r="V97" s="849"/>
      <c r="W97" s="849"/>
      <c r="X97" s="849"/>
      <c r="Y97" s="849"/>
      <c r="Z97" s="849"/>
      <c r="AA97" s="849"/>
      <c r="AB97" s="849"/>
      <c r="AC97" s="849"/>
      <c r="AD97" s="849"/>
      <c r="AE97" s="855"/>
      <c r="AF97" s="1284"/>
      <c r="AG97" s="1283"/>
      <c r="AH97" s="1283"/>
      <c r="AI97" s="1284"/>
      <c r="AJ97" s="1283"/>
      <c r="AK97" s="1283"/>
      <c r="AM97" s="134"/>
      <c r="AN97" s="134"/>
      <c r="AO97" s="134"/>
      <c r="AP97" s="134"/>
      <c r="AQ97" s="134"/>
      <c r="AR97" s="134"/>
      <c r="AS97" s="134"/>
      <c r="AT97" s="134"/>
      <c r="AU97" s="134"/>
      <c r="AV97" s="134"/>
      <c r="AW97" s="134"/>
      <c r="AX97" s="134"/>
      <c r="AY97" s="134"/>
      <c r="AZ97" s="134"/>
      <c r="BA97" s="134"/>
      <c r="BB97" s="134"/>
      <c r="BC97" s="134"/>
      <c r="BD97" s="134"/>
      <c r="BE97" s="134"/>
      <c r="BF97" s="134"/>
    </row>
    <row r="99" spans="1:184" s="807" customFormat="1" ht="11.25" customHeight="1">
      <c r="A99" s="807" t="s">
        <v>1137</v>
      </c>
    </row>
    <row r="100" spans="1:184" ht="17.25" customHeight="1"/>
    <row r="101" spans="1:184" s="695" customFormat="1" ht="21" customHeight="1">
      <c r="A101" s="431"/>
      <c r="B101" s="696"/>
      <c r="E101" s="704"/>
      <c r="F101" s="872" t="e">
        <f>INDEX(IP_MAIN_LIST_NAME_IP,MATCH(A101,IP_MAIN_LIST_IP_ID,0))&amp;" ("&amp;INDEX(IP_MAIN_START_DATE,MATCH(A101,IP_MAIN_LIST_IP_ID,0))&amp;"-"&amp;INDEX(IP_MAIN_END_DATE,MATCH(A101,IP_MAIN_LIST_IP_ID,0))&amp;")"</f>
        <v>#N/A</v>
      </c>
      <c r="G101" s="873"/>
      <c r="H101" s="874"/>
      <c r="I101" s="874"/>
      <c r="J101" s="874"/>
      <c r="K101" s="874"/>
      <c r="L101" s="874"/>
      <c r="M101" s="874"/>
      <c r="N101" s="874"/>
      <c r="O101" s="873"/>
      <c r="P101" s="873"/>
      <c r="Q101" s="873"/>
      <c r="R101" s="873"/>
      <c r="S101" s="873"/>
      <c r="T101" s="873"/>
      <c r="U101" s="875"/>
      <c r="V101" s="875"/>
      <c r="W101" s="875"/>
      <c r="X101" s="875"/>
      <c r="Y101" s="875"/>
      <c r="Z101" s="875"/>
      <c r="AA101" s="875"/>
      <c r="AB101" s="873"/>
      <c r="AC101" s="874"/>
      <c r="AD101" s="874"/>
      <c r="AE101" s="874"/>
      <c r="AF101" s="874"/>
      <c r="AG101" s="874"/>
      <c r="AH101" s="874"/>
      <c r="AI101" s="874"/>
      <c r="AJ101" s="874"/>
      <c r="AK101" s="874"/>
      <c r="AL101" s="874"/>
      <c r="AM101" s="874"/>
      <c r="AN101" s="874"/>
      <c r="AO101" s="874"/>
      <c r="AP101" s="874"/>
      <c r="AQ101" s="874"/>
      <c r="AR101" s="874"/>
      <c r="AS101" s="874"/>
      <c r="AT101" s="874"/>
      <c r="AU101" s="874"/>
      <c r="AV101" s="874"/>
      <c r="AW101" s="874"/>
      <c r="AX101" s="874"/>
      <c r="AY101" s="874"/>
      <c r="AZ101" s="874"/>
      <c r="BA101" s="874"/>
      <c r="BB101" s="874"/>
      <c r="BC101" s="874"/>
      <c r="BD101" s="874"/>
      <c r="BE101" s="874"/>
      <c r="BF101" s="874"/>
      <c r="BG101" s="874"/>
      <c r="BH101" s="874"/>
      <c r="BI101" s="874"/>
      <c r="BJ101" s="874"/>
      <c r="BK101" s="874"/>
      <c r="BL101" s="874"/>
      <c r="BM101" s="874"/>
      <c r="BN101" s="874"/>
      <c r="BO101" s="874"/>
      <c r="BP101" s="874"/>
      <c r="BQ101" s="874"/>
      <c r="BR101" s="874"/>
      <c r="BS101" s="874"/>
      <c r="BT101" s="874"/>
      <c r="BU101" s="874"/>
      <c r="BV101" s="874"/>
      <c r="BW101" s="874"/>
      <c r="BX101" s="874"/>
      <c r="BY101" s="874"/>
      <c r="BZ101" s="874"/>
      <c r="CA101" s="874"/>
      <c r="CB101" s="874"/>
      <c r="CC101" s="874"/>
      <c r="CD101" s="874"/>
      <c r="CE101" s="874"/>
      <c r="CF101" s="874"/>
      <c r="CG101" s="874"/>
      <c r="CH101" s="874"/>
      <c r="CI101" s="874"/>
      <c r="CJ101" s="874"/>
      <c r="CK101" s="874"/>
      <c r="CL101" s="876"/>
      <c r="CM101" s="876"/>
      <c r="CN101" s="876"/>
      <c r="CO101" s="876"/>
      <c r="CP101" s="876"/>
      <c r="CQ101" s="876"/>
      <c r="CR101" s="876"/>
      <c r="CS101" s="876"/>
      <c r="CT101" s="876"/>
      <c r="CU101" s="876"/>
      <c r="CV101" s="876"/>
      <c r="CW101" s="876"/>
      <c r="CX101" s="876"/>
      <c r="CY101" s="876"/>
      <c r="CZ101" s="876"/>
      <c r="DA101" s="876"/>
      <c r="DB101" s="876"/>
      <c r="DC101" s="876"/>
      <c r="DD101" s="876"/>
      <c r="DE101" s="876"/>
      <c r="DF101" s="876"/>
      <c r="DG101" s="876"/>
      <c r="DH101" s="876"/>
      <c r="DI101" s="876"/>
      <c r="DJ101" s="876"/>
      <c r="DK101" s="876"/>
      <c r="DL101" s="876"/>
      <c r="DM101" s="876"/>
      <c r="DN101" s="876"/>
      <c r="DO101" s="876"/>
      <c r="DP101" s="876"/>
      <c r="DQ101" s="876"/>
      <c r="DR101" s="876"/>
      <c r="DS101" s="876"/>
      <c r="DT101" s="876"/>
      <c r="DU101" s="876"/>
      <c r="DV101" s="876"/>
      <c r="DW101" s="876"/>
      <c r="DX101" s="876"/>
      <c r="DY101" s="876"/>
      <c r="DZ101" s="876"/>
      <c r="EA101" s="876"/>
      <c r="EB101" s="876"/>
      <c r="EC101" s="876"/>
      <c r="ED101" s="876"/>
      <c r="EE101" s="876"/>
      <c r="EF101" s="876"/>
      <c r="EG101" s="876"/>
      <c r="EH101" s="876"/>
      <c r="EI101" s="876"/>
      <c r="EJ101" s="876"/>
      <c r="EK101" s="876"/>
      <c r="EL101" s="876"/>
      <c r="EM101" s="876"/>
      <c r="EN101" s="876"/>
      <c r="EO101" s="876"/>
      <c r="EP101" s="876"/>
      <c r="EQ101" s="876"/>
      <c r="ER101" s="876"/>
      <c r="ES101" s="876"/>
      <c r="ET101" s="876"/>
      <c r="EU101" s="876"/>
      <c r="EV101" s="876"/>
      <c r="EW101" s="876"/>
      <c r="EX101" s="876"/>
      <c r="EY101" s="876"/>
      <c r="EZ101" s="876"/>
      <c r="FA101" s="876"/>
      <c r="FB101" s="876"/>
      <c r="FC101" s="876"/>
      <c r="FD101" s="876"/>
      <c r="FE101" s="876"/>
      <c r="FF101" s="876"/>
      <c r="FG101" s="876"/>
      <c r="FH101" s="876"/>
      <c r="FI101" s="876"/>
      <c r="FJ101" s="876"/>
      <c r="FK101" s="876"/>
      <c r="FL101" s="876"/>
      <c r="FM101" s="876"/>
      <c r="FN101" s="876"/>
      <c r="FO101" s="876"/>
      <c r="FP101" s="876"/>
      <c r="FQ101" s="876"/>
      <c r="FR101" s="876"/>
      <c r="FS101" s="876"/>
      <c r="FT101" s="876"/>
      <c r="FU101" s="876"/>
      <c r="FV101" s="877"/>
      <c r="FW101" s="713"/>
      <c r="FX101" s="709"/>
    </row>
    <row r="102" spans="1:184" s="695" customFormat="1" ht="24.75" customHeight="1">
      <c r="B102" s="696"/>
      <c r="E102" s="59"/>
      <c r="F102" s="725">
        <v>1</v>
      </c>
      <c r="G102" s="109"/>
      <c r="H102" s="79"/>
      <c r="I102" s="878"/>
      <c r="J102" s="879"/>
      <c r="K102" s="879"/>
      <c r="L102" s="879"/>
      <c r="M102" s="879"/>
      <c r="N102" s="879"/>
      <c r="O102" s="880"/>
      <c r="P102" s="880"/>
      <c r="Q102" s="880"/>
      <c r="R102" s="880"/>
      <c r="S102" s="880"/>
      <c r="T102" s="880"/>
      <c r="U102" s="880"/>
      <c r="V102" s="880"/>
      <c r="W102" s="880"/>
      <c r="X102" s="880"/>
      <c r="Y102" s="880"/>
      <c r="Z102" s="880"/>
      <c r="AA102" s="880"/>
      <c r="AB102" s="880"/>
      <c r="AC102" s="879"/>
      <c r="AD102" s="879"/>
      <c r="AE102" s="879"/>
      <c r="AF102" s="879"/>
      <c r="AG102" s="879"/>
      <c r="AH102" s="879"/>
      <c r="AI102" s="879"/>
      <c r="AJ102" s="879"/>
      <c r="AK102" s="879"/>
      <c r="AL102" s="879"/>
      <c r="AM102" s="879"/>
      <c r="AN102" s="879"/>
      <c r="AO102" s="879"/>
      <c r="AP102" s="879"/>
      <c r="AQ102" s="879"/>
      <c r="AR102" s="879"/>
      <c r="AS102" s="879"/>
      <c r="AT102" s="879"/>
      <c r="AU102" s="879"/>
      <c r="AV102" s="879"/>
      <c r="AW102" s="879"/>
      <c r="AX102" s="879"/>
      <c r="AY102" s="879"/>
      <c r="AZ102" s="879"/>
      <c r="BA102" s="879"/>
      <c r="BB102" s="879"/>
      <c r="BC102" s="879"/>
      <c r="BD102" s="879"/>
      <c r="BE102" s="879"/>
      <c r="BF102" s="879"/>
      <c r="BG102" s="879"/>
      <c r="BH102" s="879"/>
      <c r="BI102" s="879"/>
      <c r="BJ102" s="879"/>
      <c r="BK102" s="879"/>
      <c r="BL102" s="879"/>
      <c r="BM102" s="879"/>
      <c r="BN102" s="879"/>
      <c r="BO102" s="879"/>
      <c r="BP102" s="879"/>
      <c r="BQ102" s="879"/>
      <c r="BR102" s="879"/>
      <c r="BS102" s="879"/>
      <c r="BT102" s="881"/>
      <c r="BU102" s="881"/>
      <c r="BV102" s="881"/>
      <c r="BW102" s="881"/>
      <c r="BX102" s="881"/>
      <c r="BY102" s="881"/>
      <c r="BZ102" s="881"/>
      <c r="CA102" s="881"/>
      <c r="CB102" s="881"/>
      <c r="CC102" s="881"/>
      <c r="CD102" s="881"/>
      <c r="CE102" s="881"/>
      <c r="CF102" s="881"/>
      <c r="CG102" s="881"/>
      <c r="CH102" s="881"/>
      <c r="CI102" s="881"/>
      <c r="CJ102" s="881"/>
      <c r="CK102" s="881"/>
      <c r="CL102" s="879"/>
      <c r="CM102" s="879"/>
      <c r="CN102" s="879"/>
      <c r="CO102" s="879"/>
      <c r="CP102" s="879"/>
      <c r="CQ102" s="879"/>
      <c r="CR102" s="879"/>
      <c r="CS102" s="879"/>
      <c r="CT102" s="879"/>
      <c r="CU102" s="879"/>
      <c r="CV102" s="879"/>
      <c r="CW102" s="879"/>
      <c r="CX102" s="879"/>
      <c r="CY102" s="880"/>
      <c r="CZ102" s="880"/>
      <c r="DA102" s="880"/>
      <c r="DB102" s="880"/>
      <c r="DC102" s="880"/>
      <c r="DD102" s="880"/>
      <c r="DE102" s="880"/>
      <c r="DF102" s="880"/>
      <c r="DG102" s="880"/>
      <c r="DH102" s="880"/>
      <c r="DI102" s="880"/>
      <c r="DJ102" s="880"/>
      <c r="DK102" s="879"/>
      <c r="DL102" s="879"/>
      <c r="DM102" s="879"/>
      <c r="DN102" s="879"/>
      <c r="DO102" s="879"/>
      <c r="DP102" s="879"/>
      <c r="DQ102" s="879"/>
      <c r="DR102" s="879"/>
      <c r="DS102" s="879"/>
      <c r="DT102" s="879"/>
      <c r="DU102" s="879"/>
      <c r="DV102" s="879"/>
      <c r="DW102" s="879"/>
      <c r="DX102" s="879"/>
      <c r="DY102" s="879"/>
      <c r="DZ102" s="879"/>
      <c r="EA102" s="879"/>
      <c r="EB102" s="879"/>
      <c r="EC102" s="879"/>
      <c r="ED102" s="879"/>
      <c r="EE102" s="879"/>
      <c r="EF102" s="879"/>
      <c r="EG102" s="879"/>
      <c r="EH102" s="879"/>
      <c r="EI102" s="879"/>
      <c r="EJ102" s="879"/>
      <c r="EK102" s="879"/>
      <c r="EL102" s="879"/>
      <c r="EM102" s="879"/>
      <c r="EN102" s="879"/>
      <c r="EO102" s="879"/>
      <c r="EP102" s="879"/>
      <c r="EQ102" s="879"/>
      <c r="ER102" s="879"/>
      <c r="ES102" s="879"/>
      <c r="ET102" s="879"/>
      <c r="EU102" s="879"/>
      <c r="EV102" s="879"/>
      <c r="EW102" s="879"/>
      <c r="EX102" s="879"/>
      <c r="EY102" s="879"/>
      <c r="EZ102" s="879"/>
      <c r="FA102" s="879"/>
      <c r="FB102" s="879"/>
      <c r="FC102" s="879"/>
      <c r="FD102" s="879"/>
      <c r="FE102" s="879"/>
      <c r="FF102" s="879"/>
      <c r="FG102" s="879"/>
      <c r="FH102" s="879"/>
      <c r="FI102" s="879"/>
      <c r="FJ102" s="879"/>
      <c r="FK102" s="879"/>
      <c r="FL102" s="879"/>
      <c r="FM102" s="879"/>
      <c r="FN102" s="879"/>
      <c r="FO102" s="879"/>
      <c r="FP102" s="879"/>
      <c r="FQ102" s="879"/>
      <c r="FR102" s="879"/>
      <c r="FS102" s="879"/>
      <c r="FT102" s="879"/>
      <c r="FU102" s="879"/>
      <c r="FV102" s="879"/>
      <c r="FW102" s="879"/>
      <c r="FX102" s="709"/>
    </row>
    <row r="103" spans="1:184" s="695" customFormat="1" ht="12" customHeight="1">
      <c r="B103" s="696"/>
      <c r="F103" s="882"/>
      <c r="G103" s="857" t="s">
        <v>1138</v>
      </c>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c r="BA103" s="857"/>
      <c r="BB103" s="857"/>
      <c r="BC103" s="857"/>
      <c r="BD103" s="857"/>
      <c r="BE103" s="857"/>
      <c r="BF103" s="857"/>
      <c r="BG103" s="857"/>
      <c r="BH103" s="857"/>
      <c r="BI103" s="857"/>
      <c r="BJ103" s="857"/>
      <c r="BK103" s="857"/>
      <c r="BL103" s="857"/>
      <c r="BM103" s="857"/>
      <c r="BN103" s="857"/>
      <c r="BO103" s="857"/>
      <c r="BP103" s="857"/>
      <c r="BQ103" s="857"/>
      <c r="BR103" s="857"/>
      <c r="BS103" s="857"/>
      <c r="BT103" s="857"/>
      <c r="BU103" s="857"/>
      <c r="BV103" s="857"/>
      <c r="BW103" s="857"/>
      <c r="BX103" s="857"/>
      <c r="BY103" s="857"/>
      <c r="BZ103" s="857"/>
      <c r="CA103" s="857"/>
      <c r="CB103" s="857"/>
      <c r="CC103" s="857"/>
      <c r="CD103" s="857"/>
      <c r="CE103" s="857"/>
      <c r="CF103" s="857"/>
      <c r="CG103" s="857"/>
      <c r="CH103" s="857"/>
      <c r="CI103" s="857"/>
      <c r="CJ103" s="857"/>
      <c r="CK103" s="857"/>
      <c r="CL103" s="857"/>
      <c r="CM103" s="857"/>
      <c r="CN103" s="857"/>
      <c r="CO103" s="857"/>
      <c r="CP103" s="857"/>
      <c r="CQ103" s="857"/>
      <c r="CR103" s="857"/>
      <c r="CS103" s="857"/>
      <c r="CT103" s="857"/>
      <c r="CU103" s="857"/>
      <c r="CV103" s="857"/>
      <c r="CW103" s="857"/>
      <c r="CX103" s="857"/>
      <c r="CY103" s="857"/>
      <c r="CZ103" s="857"/>
      <c r="DA103" s="857"/>
      <c r="DB103" s="857"/>
      <c r="DC103" s="857"/>
      <c r="DD103" s="857"/>
      <c r="DE103" s="857"/>
      <c r="DF103" s="857"/>
      <c r="DG103" s="857"/>
      <c r="DH103" s="857"/>
      <c r="DI103" s="857"/>
      <c r="DJ103" s="857"/>
      <c r="DK103" s="857"/>
      <c r="DL103" s="857"/>
      <c r="DM103" s="857"/>
      <c r="DN103" s="857"/>
      <c r="DO103" s="857"/>
      <c r="DP103" s="857"/>
      <c r="DQ103" s="857"/>
      <c r="DR103" s="857"/>
      <c r="DS103" s="857"/>
      <c r="DT103" s="857"/>
      <c r="DU103" s="857"/>
      <c r="DV103" s="857"/>
      <c r="DW103" s="857"/>
      <c r="DX103" s="857"/>
      <c r="DY103" s="857"/>
      <c r="DZ103" s="857"/>
      <c r="EA103" s="857"/>
      <c r="EB103" s="857"/>
      <c r="EC103" s="857"/>
      <c r="ED103" s="857"/>
      <c r="EE103" s="857"/>
      <c r="EF103" s="857"/>
      <c r="EG103" s="857"/>
      <c r="EH103" s="857"/>
      <c r="EI103" s="857"/>
      <c r="EJ103" s="857"/>
      <c r="EK103" s="857"/>
      <c r="EL103" s="857"/>
      <c r="EM103" s="857"/>
      <c r="EN103" s="857"/>
      <c r="EO103" s="857"/>
      <c r="EP103" s="857"/>
      <c r="EQ103" s="857"/>
      <c r="ER103" s="857"/>
      <c r="ES103" s="857"/>
      <c r="ET103" s="857"/>
      <c r="EU103" s="857"/>
      <c r="EV103" s="857"/>
      <c r="EW103" s="857"/>
      <c r="EX103" s="857"/>
      <c r="EY103" s="857"/>
      <c r="EZ103" s="857"/>
      <c r="FA103" s="857"/>
      <c r="FB103" s="857"/>
      <c r="FC103" s="857"/>
      <c r="FD103" s="857"/>
      <c r="FE103" s="857"/>
      <c r="FF103" s="857"/>
      <c r="FG103" s="857"/>
      <c r="FH103" s="857"/>
      <c r="FI103" s="857"/>
      <c r="FJ103" s="857"/>
      <c r="FK103" s="857"/>
      <c r="FL103" s="857"/>
      <c r="FM103" s="857"/>
      <c r="FN103" s="857"/>
      <c r="FO103" s="857"/>
      <c r="FP103" s="857"/>
      <c r="FQ103" s="857"/>
      <c r="FR103" s="857"/>
      <c r="FS103" s="857"/>
      <c r="FT103" s="857"/>
      <c r="FU103" s="857"/>
      <c r="FV103" s="857"/>
      <c r="FW103" s="883"/>
      <c r="FX103" s="134"/>
      <c r="FY103" s="697"/>
      <c r="FZ103" s="697"/>
      <c r="GA103" s="697"/>
      <c r="GB103" s="697"/>
    </row>
    <row r="105" spans="1:184" s="807" customFormat="1" ht="11.25" customHeight="1">
      <c r="A105" s="807" t="s">
        <v>1139</v>
      </c>
    </row>
    <row r="107" spans="1:184" s="59" customFormat="1" ht="15" customHeight="1">
      <c r="A107" s="605"/>
      <c r="D107" s="1099" t="s">
        <v>105</v>
      </c>
      <c r="E107" s="1201" t="s">
        <v>101</v>
      </c>
      <c r="F107" s="1201"/>
      <c r="G107" s="1201"/>
      <c r="H107" s="1202" t="str">
        <f>IF(A107="","",INDEX(DIFFERENTIATION_UNMERGE_VD,MATCH(A107,DIFFERENTIATION_ID_DIFF,0)))</f>
        <v/>
      </c>
      <c r="I107" s="1202"/>
      <c r="J107" s="1202"/>
      <c r="K107" s="1202"/>
      <c r="L107" s="1202"/>
      <c r="M107" s="1202"/>
      <c r="N107" s="1202"/>
      <c r="O107" s="1202"/>
      <c r="P107" s="1202"/>
      <c r="Q107" s="1202"/>
      <c r="R107" s="1202"/>
      <c r="S107" s="606"/>
      <c r="T107" s="607"/>
      <c r="U107" s="158"/>
      <c r="V107" s="158"/>
      <c r="W107" s="60"/>
      <c r="X107" s="60"/>
      <c r="Y107" s="60"/>
      <c r="Z107" s="60"/>
      <c r="AA107" s="158"/>
      <c r="AB107" s="60"/>
      <c r="AC107" s="1203"/>
      <c r="AD107" s="60"/>
      <c r="AE107" s="609"/>
      <c r="AF107" s="609"/>
      <c r="AG107" s="610" t="s">
        <v>589</v>
      </c>
      <c r="AH107" s="611">
        <v>3</v>
      </c>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60"/>
      <c r="BW107" s="60"/>
      <c r="BX107" s="60"/>
      <c r="BY107" s="60"/>
      <c r="BZ107" s="60"/>
      <c r="CA107" s="60"/>
      <c r="CB107" s="60"/>
      <c r="CC107" s="60"/>
      <c r="CD107" s="60"/>
      <c r="CE107" s="60"/>
    </row>
    <row r="108" spans="1:184" s="59" customFormat="1" ht="15" customHeight="1">
      <c r="A108" s="605"/>
      <c r="D108" s="1099"/>
      <c r="E108" s="1201" t="s">
        <v>544</v>
      </c>
      <c r="F108" s="1201"/>
      <c r="G108" s="1201"/>
      <c r="H108" s="1202" t="str">
        <f>IF(A107="","",INDEX(DIFFERENTIATION_UNMERGE_AREA,MATCH(A107,DIFFERENTIATION_ID_DIFF,0)))</f>
        <v/>
      </c>
      <c r="I108" s="1202"/>
      <c r="J108" s="1202"/>
      <c r="K108" s="1202"/>
      <c r="L108" s="1202"/>
      <c r="M108" s="1202"/>
      <c r="N108" s="1202"/>
      <c r="O108" s="1202"/>
      <c r="P108" s="1202"/>
      <c r="Q108" s="1202"/>
      <c r="R108" s="1202"/>
      <c r="S108" s="606"/>
      <c r="T108" s="607"/>
      <c r="U108" s="158"/>
      <c r="V108" s="158"/>
      <c r="W108" s="60"/>
      <c r="X108" s="60"/>
      <c r="Y108" s="60"/>
      <c r="Z108" s="60"/>
      <c r="AA108" s="158"/>
      <c r="AB108" s="60"/>
      <c r="AC108" s="1203"/>
      <c r="AD108" s="60"/>
      <c r="AE108" s="609"/>
      <c r="AF108" s="609"/>
      <c r="AG108" s="610"/>
      <c r="AH108" s="611"/>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60"/>
      <c r="BW108" s="60"/>
      <c r="BX108" s="60"/>
      <c r="BY108" s="60"/>
      <c r="BZ108" s="60"/>
      <c r="CA108" s="60"/>
      <c r="CB108" s="60"/>
      <c r="CC108" s="60"/>
      <c r="CD108" s="60"/>
      <c r="CE108" s="60"/>
    </row>
    <row r="109" spans="1:184" s="59" customFormat="1" ht="15" customHeight="1">
      <c r="A109" s="605"/>
      <c r="D109" s="1099"/>
      <c r="E109" s="1201" t="s">
        <v>545</v>
      </c>
      <c r="F109" s="1201"/>
      <c r="G109" s="1201"/>
      <c r="H109" s="1202" t="str">
        <f>IF(A107="","",INDEX(DIFFERENTIATION_UNMERGE_SYSTEM,MATCH(A107,DIFFERENTIATION_ID_DIFF,0)))</f>
        <v/>
      </c>
      <c r="I109" s="1202"/>
      <c r="J109" s="1202"/>
      <c r="K109" s="1202"/>
      <c r="L109" s="1202"/>
      <c r="M109" s="1202"/>
      <c r="N109" s="1202"/>
      <c r="O109" s="1202"/>
      <c r="P109" s="1202"/>
      <c r="Q109" s="1202"/>
      <c r="R109" s="1202"/>
      <c r="S109" s="606"/>
      <c r="T109" s="607"/>
      <c r="U109" s="158"/>
      <c r="V109" s="158"/>
      <c r="W109" s="60"/>
      <c r="X109" s="60"/>
      <c r="Y109" s="60"/>
      <c r="Z109" s="60"/>
      <c r="AA109" s="158"/>
      <c r="AB109" s="60"/>
      <c r="AC109" s="1203"/>
      <c r="AD109" s="60"/>
      <c r="AE109" s="609"/>
      <c r="AF109" s="609"/>
      <c r="AG109" s="610"/>
      <c r="AH109" s="611"/>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60"/>
      <c r="BW109" s="60"/>
      <c r="BX109" s="60"/>
      <c r="BY109" s="60"/>
      <c r="BZ109" s="60"/>
      <c r="CA109" s="60"/>
      <c r="CB109" s="60"/>
      <c r="CC109" s="60"/>
      <c r="CD109" s="60"/>
      <c r="CE109" s="60"/>
    </row>
    <row r="110" spans="1:184" s="59" customFormat="1" ht="24.75" customHeight="1">
      <c r="A110" s="107"/>
      <c r="B110" s="49"/>
      <c r="C110" s="159"/>
      <c r="D110" s="1099"/>
      <c r="E110" s="1204" t="s">
        <v>590</v>
      </c>
      <c r="F110" s="1204"/>
      <c r="G110" s="1204"/>
      <c r="H110" s="1204"/>
      <c r="I110" s="1204"/>
      <c r="J110" s="1204"/>
      <c r="K110" s="1204"/>
      <c r="L110" s="1204"/>
      <c r="M110" s="1204"/>
      <c r="N110" s="1204"/>
      <c r="O110" s="1204"/>
      <c r="P110" s="1204"/>
      <c r="Q110" s="551">
        <f>SUMIF(T111:T112,"i",Q111:Q112)</f>
        <v>0</v>
      </c>
      <c r="R110" s="613"/>
      <c r="S110" s="549" t="s">
        <v>591</v>
      </c>
      <c r="T110" s="607" t="s">
        <v>592</v>
      </c>
      <c r="U110" s="1156">
        <v>1</v>
      </c>
      <c r="V110" s="1156" t="s">
        <v>555</v>
      </c>
      <c r="W110" s="49"/>
      <c r="X110" s="49"/>
      <c r="Y110" s="49"/>
      <c r="Z110" s="49"/>
      <c r="AA110" s="53"/>
      <c r="AB110" s="49"/>
      <c r="AC110" s="1203"/>
      <c r="AD110" s="60"/>
      <c r="AE110" s="49"/>
      <c r="AF110" s="49"/>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49"/>
      <c r="BW110" s="49"/>
      <c r="BX110" s="49"/>
      <c r="BY110" s="49"/>
      <c r="BZ110" s="49"/>
      <c r="CA110" s="49"/>
      <c r="CB110" s="49"/>
      <c r="CC110" s="49"/>
      <c r="CD110" s="49"/>
      <c r="CE110" s="49"/>
    </row>
    <row r="111" spans="1:184" s="59" customFormat="1" ht="11.25" hidden="1" customHeight="1">
      <c r="A111" s="124"/>
      <c r="B111" s="53"/>
      <c r="C111" s="53"/>
      <c r="D111" s="1099"/>
      <c r="E111" s="280"/>
      <c r="F111" s="280">
        <v>0</v>
      </c>
      <c r="G111" s="280"/>
      <c r="H111" s="280"/>
      <c r="I111" s="280"/>
      <c r="J111" s="280"/>
      <c r="K111" s="280"/>
      <c r="L111" s="280"/>
      <c r="M111" s="280"/>
      <c r="N111" s="280"/>
      <c r="O111" s="280"/>
      <c r="P111" s="280"/>
      <c r="Q111" s="280"/>
      <c r="R111" s="280"/>
      <c r="S111" s="279"/>
      <c r="T111" s="614"/>
      <c r="U111" s="1156"/>
      <c r="V111" s="1156"/>
      <c r="W111" s="53"/>
      <c r="X111" s="53"/>
      <c r="Y111" s="53"/>
      <c r="Z111" s="53"/>
      <c r="AA111" s="53"/>
      <c r="AB111" s="49"/>
      <c r="AC111" s="1203"/>
      <c r="AD111" s="60"/>
      <c r="AE111" s="49"/>
      <c r="AF111" s="49"/>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row>
    <row r="112" spans="1:184" s="59" customFormat="1" ht="11.25" customHeight="1">
      <c r="A112" s="107"/>
      <c r="B112" s="49"/>
      <c r="C112" s="159"/>
      <c r="D112" s="1099"/>
      <c r="E112" s="489"/>
      <c r="F112" s="163"/>
      <c r="G112" s="163" t="s">
        <v>1140</v>
      </c>
      <c r="H112" s="168"/>
      <c r="I112" s="168"/>
      <c r="J112" s="168"/>
      <c r="K112" s="168"/>
      <c r="L112" s="168"/>
      <c r="M112" s="168"/>
      <c r="N112" s="168"/>
      <c r="O112" s="168"/>
      <c r="P112" s="168"/>
      <c r="Q112" s="168"/>
      <c r="R112" s="194"/>
      <c r="S112" s="884"/>
      <c r="T112" s="614"/>
      <c r="U112" s="1156"/>
      <c r="V112" s="1156"/>
      <c r="W112" s="49"/>
      <c r="X112" s="49"/>
      <c r="Y112" s="49"/>
      <c r="Z112" s="49"/>
      <c r="AA112" s="53"/>
      <c r="AB112" s="49"/>
      <c r="AC112" s="1203"/>
      <c r="AD112" s="60"/>
      <c r="AE112" s="49"/>
      <c r="AF112" s="49"/>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49"/>
      <c r="BW112" s="49"/>
      <c r="BX112" s="49"/>
      <c r="BY112" s="49"/>
      <c r="BZ112" s="49"/>
      <c r="CA112" s="49"/>
      <c r="CB112" s="49"/>
      <c r="CC112" s="49"/>
      <c r="CD112" s="49"/>
      <c r="CE112" s="49"/>
    </row>
    <row r="113" spans="1:83" s="59" customFormat="1" ht="24.75" customHeight="1">
      <c r="A113" s="107"/>
      <c r="B113" s="49"/>
      <c r="C113" s="159"/>
      <c r="D113" s="1099"/>
      <c r="E113" s="1204" t="s">
        <v>593</v>
      </c>
      <c r="F113" s="1204"/>
      <c r="G113" s="1204"/>
      <c r="H113" s="1204"/>
      <c r="I113" s="1204"/>
      <c r="J113" s="1204"/>
      <c r="K113" s="1204"/>
      <c r="L113" s="1204"/>
      <c r="M113" s="1204"/>
      <c r="N113" s="1204"/>
      <c r="O113" s="1204"/>
      <c r="P113" s="1204"/>
      <c r="Q113" s="551">
        <f>SUMIF(T114:T115,"i",Q114:Q115)</f>
        <v>0</v>
      </c>
      <c r="R113" s="613"/>
      <c r="S113" s="549" t="s">
        <v>594</v>
      </c>
      <c r="T113" s="607" t="s">
        <v>592</v>
      </c>
      <c r="U113" s="1156">
        <v>1</v>
      </c>
      <c r="V113" s="1156" t="s">
        <v>555</v>
      </c>
      <c r="W113" s="49"/>
      <c r="X113" s="49"/>
      <c r="Y113" s="49"/>
      <c r="Z113" s="49"/>
      <c r="AA113" s="53"/>
      <c r="AB113" s="49"/>
      <c r="AC113" s="608"/>
      <c r="AD113" s="60"/>
      <c r="AE113" s="49"/>
      <c r="AF113" s="49"/>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49"/>
      <c r="BW113" s="49"/>
      <c r="BX113" s="49"/>
      <c r="BY113" s="49"/>
      <c r="BZ113" s="49"/>
      <c r="CA113" s="49"/>
      <c r="CB113" s="49"/>
      <c r="CC113" s="49"/>
      <c r="CD113" s="49"/>
      <c r="CE113" s="49"/>
    </row>
    <row r="114" spans="1:83" s="59" customFormat="1" ht="11.25" hidden="1" customHeight="1">
      <c r="A114" s="124"/>
      <c r="B114" s="53"/>
      <c r="C114" s="53"/>
      <c r="D114" s="1099"/>
      <c r="E114" s="280"/>
      <c r="F114" s="280">
        <v>0</v>
      </c>
      <c r="G114" s="280"/>
      <c r="H114" s="280"/>
      <c r="I114" s="280"/>
      <c r="J114" s="280"/>
      <c r="K114" s="280"/>
      <c r="L114" s="280"/>
      <c r="M114" s="280"/>
      <c r="N114" s="280"/>
      <c r="O114" s="280"/>
      <c r="P114" s="280"/>
      <c r="Q114" s="280"/>
      <c r="R114" s="280"/>
      <c r="S114" s="279"/>
      <c r="T114" s="614"/>
      <c r="U114" s="1156"/>
      <c r="V114" s="1156"/>
      <c r="W114" s="53"/>
      <c r="X114" s="53"/>
      <c r="Y114" s="53"/>
      <c r="Z114" s="53"/>
      <c r="AA114" s="53"/>
      <c r="AB114" s="49"/>
      <c r="AC114" s="608"/>
      <c r="AD114" s="60"/>
      <c r="AE114" s="49"/>
      <c r="AF114" s="49"/>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row>
    <row r="115" spans="1:83" s="59" customFormat="1" ht="11.25" customHeight="1">
      <c r="A115" s="107"/>
      <c r="B115" s="49"/>
      <c r="C115" s="159"/>
      <c r="D115" s="1099"/>
      <c r="E115" s="489"/>
      <c r="F115" s="163"/>
      <c r="G115" s="163" t="s">
        <v>1140</v>
      </c>
      <c r="H115" s="168"/>
      <c r="I115" s="168"/>
      <c r="J115" s="168"/>
      <c r="K115" s="168"/>
      <c r="L115" s="168"/>
      <c r="M115" s="168"/>
      <c r="N115" s="168"/>
      <c r="O115" s="168"/>
      <c r="P115" s="168"/>
      <c r="Q115" s="168"/>
      <c r="R115" s="194"/>
      <c r="S115" s="884"/>
      <c r="T115" s="614"/>
      <c r="U115" s="1156"/>
      <c r="V115" s="1156"/>
      <c r="W115" s="49"/>
      <c r="X115" s="49"/>
      <c r="Y115" s="49"/>
      <c r="Z115" s="49"/>
      <c r="AA115" s="53"/>
      <c r="AB115" s="49"/>
      <c r="AC115" s="608"/>
      <c r="AD115" s="60"/>
      <c r="AE115" s="49"/>
      <c r="AF115" s="49"/>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49"/>
      <c r="BW115" s="49"/>
      <c r="BX115" s="49"/>
      <c r="BY115" s="49"/>
      <c r="BZ115" s="49"/>
      <c r="CA115" s="49"/>
      <c r="CB115" s="49"/>
      <c r="CC115" s="49"/>
      <c r="CD115" s="49"/>
      <c r="CE115" s="49"/>
    </row>
    <row r="117" spans="1:83" s="807" customFormat="1" ht="11.25" customHeight="1">
      <c r="A117" s="807" t="s">
        <v>1141</v>
      </c>
    </row>
    <row r="119" spans="1:83" s="59" customFormat="1" ht="15" customHeight="1">
      <c r="A119" s="605"/>
      <c r="D119" s="1099" t="s">
        <v>105</v>
      </c>
      <c r="E119" s="1201" t="s">
        <v>101</v>
      </c>
      <c r="F119" s="1201"/>
      <c r="G119" s="1201"/>
      <c r="H119" s="1202" t="str">
        <f>IF(A119="","",INDEX(DIFFERENTIATION_UNMERGE_VD,MATCH(A119,DIFFERENTIATION_ID_DIFF,0)))</f>
        <v/>
      </c>
      <c r="I119" s="1202"/>
      <c r="J119" s="1202"/>
      <c r="K119" s="1202"/>
      <c r="L119" s="1202"/>
      <c r="M119" s="1202"/>
      <c r="N119" s="1202"/>
      <c r="O119" s="1202"/>
      <c r="P119" s="1202"/>
      <c r="Q119" s="1202"/>
      <c r="R119" s="1202"/>
      <c r="S119" s="606"/>
      <c r="T119" s="607"/>
      <c r="U119" s="158"/>
      <c r="V119" s="158"/>
      <c r="W119" s="60"/>
      <c r="X119" s="60"/>
      <c r="Y119" s="60"/>
      <c r="Z119" s="60"/>
      <c r="AA119" s="158"/>
      <c r="AB119" s="60"/>
      <c r="AC119" s="1203"/>
      <c r="AD119" s="60"/>
      <c r="AE119" s="609"/>
      <c r="AF119" s="609"/>
      <c r="AG119" s="610" t="s">
        <v>589</v>
      </c>
      <c r="AH119" s="611">
        <v>3</v>
      </c>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60"/>
      <c r="BW119" s="60"/>
      <c r="BX119" s="60"/>
      <c r="BY119" s="60"/>
      <c r="BZ119" s="60"/>
      <c r="CA119" s="60"/>
      <c r="CB119" s="60"/>
      <c r="CC119" s="60"/>
      <c r="CD119" s="60"/>
      <c r="CE119" s="60"/>
    </row>
    <row r="120" spans="1:83" s="59" customFormat="1" ht="15" customHeight="1">
      <c r="A120" s="605"/>
      <c r="D120" s="1099"/>
      <c r="E120" s="1201" t="s">
        <v>544</v>
      </c>
      <c r="F120" s="1201"/>
      <c r="G120" s="1201"/>
      <c r="H120" s="1202" t="str">
        <f>IF(A119="","",INDEX(DIFFERENTIATION_UNMERGE_AREA,MATCH(A119,DIFFERENTIATION_ID_DIFF,0)))</f>
        <v/>
      </c>
      <c r="I120" s="1202"/>
      <c r="J120" s="1202"/>
      <c r="K120" s="1202"/>
      <c r="L120" s="1202"/>
      <c r="M120" s="1202"/>
      <c r="N120" s="1202"/>
      <c r="O120" s="1202"/>
      <c r="P120" s="1202"/>
      <c r="Q120" s="1202"/>
      <c r="R120" s="1202"/>
      <c r="S120" s="606"/>
      <c r="T120" s="607"/>
      <c r="U120" s="158"/>
      <c r="V120" s="158"/>
      <c r="W120" s="60"/>
      <c r="X120" s="60"/>
      <c r="Y120" s="60"/>
      <c r="Z120" s="60"/>
      <c r="AA120" s="158"/>
      <c r="AB120" s="60"/>
      <c r="AC120" s="1203"/>
      <c r="AD120" s="60"/>
      <c r="AE120" s="609"/>
      <c r="AF120" s="609"/>
      <c r="AG120" s="610"/>
      <c r="AH120" s="611"/>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60"/>
      <c r="BW120" s="60"/>
      <c r="BX120" s="60"/>
      <c r="BY120" s="60"/>
      <c r="BZ120" s="60"/>
      <c r="CA120" s="60"/>
      <c r="CB120" s="60"/>
      <c r="CC120" s="60"/>
      <c r="CD120" s="60"/>
      <c r="CE120" s="60"/>
    </row>
    <row r="121" spans="1:83" s="59" customFormat="1" ht="15" customHeight="1">
      <c r="A121" s="605"/>
      <c r="D121" s="1099"/>
      <c r="E121" s="1201" t="s">
        <v>545</v>
      </c>
      <c r="F121" s="1201"/>
      <c r="G121" s="1201"/>
      <c r="H121" s="1202" t="str">
        <f>IF(A119="","",INDEX(DIFFERENTIATION_UNMERGE_SYSTEM,MATCH(A119,DIFFERENTIATION_ID_DIFF,0)))</f>
        <v/>
      </c>
      <c r="I121" s="1202"/>
      <c r="J121" s="1202"/>
      <c r="K121" s="1202"/>
      <c r="L121" s="1202"/>
      <c r="M121" s="1202"/>
      <c r="N121" s="1202"/>
      <c r="O121" s="1202"/>
      <c r="P121" s="1202"/>
      <c r="Q121" s="1202"/>
      <c r="R121" s="1202"/>
      <c r="S121" s="606"/>
      <c r="T121" s="607"/>
      <c r="U121" s="158"/>
      <c r="V121" s="158"/>
      <c r="W121" s="60"/>
      <c r="X121" s="60"/>
      <c r="Y121" s="60"/>
      <c r="Z121" s="60"/>
      <c r="AA121" s="158"/>
      <c r="AB121" s="60"/>
      <c r="AC121" s="1203"/>
      <c r="AD121" s="60"/>
      <c r="AE121" s="609"/>
      <c r="AF121" s="609"/>
      <c r="AG121" s="610"/>
      <c r="AH121" s="611"/>
      <c r="AI121" s="158"/>
      <c r="AJ121" s="158"/>
      <c r="AK121" s="158"/>
      <c r="AL121" s="158"/>
      <c r="AM121" s="158"/>
      <c r="AN121" s="158"/>
      <c r="AO121" s="158"/>
      <c r="AP121" s="158"/>
      <c r="AQ121" s="158"/>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60"/>
      <c r="BW121" s="60"/>
      <c r="BX121" s="60"/>
      <c r="BY121" s="60"/>
      <c r="BZ121" s="60"/>
      <c r="CA121" s="60"/>
      <c r="CB121" s="60"/>
      <c r="CC121" s="60"/>
      <c r="CD121" s="60"/>
      <c r="CE121" s="60"/>
    </row>
    <row r="122" spans="1:83" s="59" customFormat="1" ht="24.75" customHeight="1">
      <c r="A122" s="107"/>
      <c r="B122" s="49"/>
      <c r="C122" s="159"/>
      <c r="D122" s="1099"/>
      <c r="E122" s="1204" t="s">
        <v>590</v>
      </c>
      <c r="F122" s="1204"/>
      <c r="G122" s="1204"/>
      <c r="H122" s="1204"/>
      <c r="I122" s="1204"/>
      <c r="J122" s="1204"/>
      <c r="K122" s="1204"/>
      <c r="L122" s="1204"/>
      <c r="M122" s="1204"/>
      <c r="N122" s="1204"/>
      <c r="O122" s="1204"/>
      <c r="P122" s="1204"/>
      <c r="Q122" s="551">
        <f>SUMIF(T123:T124,"i",Q123:Q124)</f>
        <v>0</v>
      </c>
      <c r="R122" s="613"/>
      <c r="S122" s="549" t="s">
        <v>591</v>
      </c>
      <c r="T122" s="607" t="s">
        <v>592</v>
      </c>
      <c r="U122" s="1156">
        <v>1</v>
      </c>
      <c r="V122" s="1156" t="s">
        <v>555</v>
      </c>
      <c r="W122" s="49"/>
      <c r="X122" s="49"/>
      <c r="Y122" s="49"/>
      <c r="Z122" s="49"/>
      <c r="AA122" s="53"/>
      <c r="AB122" s="49"/>
      <c r="AC122" s="1203"/>
      <c r="AD122" s="60"/>
      <c r="AE122" s="49"/>
      <c r="AF122" s="49"/>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49"/>
      <c r="BW122" s="49"/>
      <c r="BX122" s="49"/>
      <c r="BY122" s="49"/>
      <c r="BZ122" s="49"/>
      <c r="CA122" s="49"/>
      <c r="CB122" s="49"/>
      <c r="CC122" s="49"/>
      <c r="CD122" s="49"/>
      <c r="CE122" s="49"/>
    </row>
    <row r="123" spans="1:83" s="59" customFormat="1" ht="11.25" hidden="1" customHeight="1">
      <c r="A123" s="124"/>
      <c r="B123" s="53"/>
      <c r="C123" s="53"/>
      <c r="D123" s="1099"/>
      <c r="E123" s="280"/>
      <c r="F123" s="280">
        <v>0</v>
      </c>
      <c r="G123" s="280"/>
      <c r="H123" s="280"/>
      <c r="I123" s="280"/>
      <c r="J123" s="280"/>
      <c r="K123" s="280"/>
      <c r="L123" s="280"/>
      <c r="M123" s="280"/>
      <c r="N123" s="280"/>
      <c r="O123" s="280"/>
      <c r="P123" s="280"/>
      <c r="Q123" s="280"/>
      <c r="R123" s="280"/>
      <c r="S123" s="279"/>
      <c r="T123" s="614"/>
      <c r="U123" s="1156"/>
      <c r="V123" s="1156"/>
      <c r="W123" s="53"/>
      <c r="X123" s="53"/>
      <c r="Y123" s="53"/>
      <c r="Z123" s="53"/>
      <c r="AA123" s="53"/>
      <c r="AB123" s="49"/>
      <c r="AC123" s="1203"/>
      <c r="AD123" s="60"/>
      <c r="AE123" s="49"/>
      <c r="AF123" s="49"/>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row>
    <row r="124" spans="1:83" s="59" customFormat="1" ht="11.25" customHeight="1">
      <c r="A124" s="107"/>
      <c r="B124" s="49"/>
      <c r="C124" s="159"/>
      <c r="D124" s="1099"/>
      <c r="E124" s="489"/>
      <c r="F124" s="163"/>
      <c r="G124" s="163" t="s">
        <v>1140</v>
      </c>
      <c r="H124" s="168"/>
      <c r="I124" s="168"/>
      <c r="J124" s="168"/>
      <c r="K124" s="168"/>
      <c r="L124" s="168"/>
      <c r="M124" s="168"/>
      <c r="N124" s="168"/>
      <c r="O124" s="168"/>
      <c r="P124" s="168"/>
      <c r="Q124" s="168"/>
      <c r="R124" s="194"/>
      <c r="S124" s="884"/>
      <c r="T124" s="614"/>
      <c r="U124" s="1156"/>
      <c r="V124" s="1156"/>
      <c r="W124" s="49"/>
      <c r="X124" s="49"/>
      <c r="Y124" s="49"/>
      <c r="Z124" s="49"/>
      <c r="AA124" s="53"/>
      <c r="AB124" s="49"/>
      <c r="AC124" s="1203"/>
      <c r="AD124" s="60"/>
      <c r="AE124" s="49"/>
      <c r="AF124" s="49"/>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49"/>
      <c r="BW124" s="49"/>
      <c r="BX124" s="49"/>
      <c r="BY124" s="49"/>
      <c r="BZ124" s="49"/>
      <c r="CA124" s="49"/>
      <c r="CB124" s="49"/>
      <c r="CC124" s="49"/>
      <c r="CD124" s="49"/>
      <c r="CE124" s="49"/>
    </row>
    <row r="125" spans="1:83" s="158" customFormat="1" ht="5.25" hidden="1" customHeight="1">
      <c r="A125" s="124"/>
      <c r="B125" s="53"/>
      <c r="C125" s="53"/>
      <c r="D125" s="1099"/>
      <c r="E125" s="885"/>
      <c r="F125" s="885"/>
      <c r="G125" s="885"/>
      <c r="H125" s="885"/>
      <c r="I125" s="885"/>
      <c r="J125" s="885"/>
      <c r="K125" s="885"/>
      <c r="L125" s="885"/>
      <c r="M125" s="885"/>
      <c r="N125" s="885"/>
      <c r="O125" s="885"/>
      <c r="P125" s="885"/>
      <c r="Q125" s="501"/>
      <c r="R125" s="886"/>
      <c r="S125" s="280"/>
      <c r="T125" s="607" t="s">
        <v>592</v>
      </c>
      <c r="U125" s="1156">
        <v>1</v>
      </c>
      <c r="V125" s="1156" t="s">
        <v>555</v>
      </c>
      <c r="W125" s="53"/>
      <c r="X125" s="53"/>
      <c r="Y125" s="53"/>
      <c r="Z125" s="53"/>
      <c r="AA125" s="53"/>
      <c r="AB125" s="53"/>
      <c r="AC125" s="887"/>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row>
    <row r="126" spans="1:83" s="158" customFormat="1" ht="5.25" hidden="1" customHeight="1">
      <c r="A126" s="124"/>
      <c r="B126" s="53"/>
      <c r="C126" s="53"/>
      <c r="D126" s="1099"/>
      <c r="E126" s="280"/>
      <c r="F126" s="280"/>
      <c r="G126" s="280"/>
      <c r="H126" s="280"/>
      <c r="I126" s="280"/>
      <c r="J126" s="280"/>
      <c r="K126" s="280"/>
      <c r="L126" s="280"/>
      <c r="M126" s="280"/>
      <c r="N126" s="280"/>
      <c r="O126" s="280"/>
      <c r="P126" s="280"/>
      <c r="Q126" s="280"/>
      <c r="R126" s="280"/>
      <c r="S126" s="279"/>
      <c r="T126" s="614"/>
      <c r="U126" s="1156"/>
      <c r="V126" s="1156"/>
      <c r="W126" s="53"/>
      <c r="X126" s="53"/>
      <c r="Y126" s="53"/>
      <c r="Z126" s="53"/>
      <c r="AA126" s="53"/>
      <c r="AB126" s="53"/>
      <c r="AC126" s="887"/>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row>
    <row r="127" spans="1:83" s="158" customFormat="1" ht="5.25" hidden="1" customHeight="1">
      <c r="A127" s="124"/>
      <c r="B127" s="53"/>
      <c r="C127" s="53"/>
      <c r="D127" s="1099"/>
      <c r="E127" s="888"/>
      <c r="F127" s="889"/>
      <c r="G127" s="889"/>
      <c r="H127" s="890"/>
      <c r="I127" s="890"/>
      <c r="J127" s="890"/>
      <c r="K127" s="890"/>
      <c r="L127" s="890"/>
      <c r="M127" s="890"/>
      <c r="N127" s="890"/>
      <c r="O127" s="890"/>
      <c r="P127" s="890"/>
      <c r="Q127" s="890"/>
      <c r="R127" s="891"/>
      <c r="S127" s="892"/>
      <c r="T127" s="614"/>
      <c r="U127" s="1156"/>
      <c r="V127" s="1156"/>
      <c r="W127" s="53"/>
      <c r="X127" s="53"/>
      <c r="Y127" s="53"/>
      <c r="Z127" s="53"/>
      <c r="AA127" s="53"/>
      <c r="AB127" s="53"/>
      <c r="AC127" s="887"/>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row>
    <row r="128" spans="1:83" ht="17.25" customHeight="1">
      <c r="D128" s="893"/>
    </row>
    <row r="129" spans="1:20" s="807" customFormat="1" ht="11.25" customHeight="1">
      <c r="A129" s="807" t="s">
        <v>1142</v>
      </c>
    </row>
    <row r="131" spans="1:20" s="59" customFormat="1" ht="45" customHeight="1">
      <c r="A131" s="107"/>
      <c r="B131" s="49"/>
      <c r="C131" s="159"/>
      <c r="E131" s="1289"/>
      <c r="F131" s="1099" t="s">
        <v>105</v>
      </c>
      <c r="G131" s="1290"/>
      <c r="H131" s="395"/>
      <c r="I131" s="894" t="s">
        <v>105</v>
      </c>
      <c r="J131" s="740" t="s">
        <v>1143</v>
      </c>
      <c r="K131" s="207" t="s">
        <v>526</v>
      </c>
      <c r="L131" s="1291" t="s">
        <v>526</v>
      </c>
      <c r="M131" s="1291"/>
      <c r="N131" s="207" t="s">
        <v>526</v>
      </c>
      <c r="O131" s="207" t="s">
        <v>526</v>
      </c>
      <c r="P131" s="207" t="s">
        <v>526</v>
      </c>
      <c r="Q131" s="690">
        <f>SUM(Q132:Q134)</f>
        <v>0</v>
      </c>
      <c r="R131" s="690">
        <f>IF(R128=0,0,(Q128/R128)*100)</f>
        <v>0</v>
      </c>
      <c r="S131" s="1137"/>
      <c r="T131" s="607" t="s">
        <v>592</v>
      </c>
    </row>
    <row r="132" spans="1:20" s="59" customFormat="1" ht="11.25" customHeight="1">
      <c r="A132" s="107"/>
      <c r="B132" s="49"/>
      <c r="C132" s="159"/>
      <c r="E132" s="1289"/>
      <c r="F132" s="1099"/>
      <c r="G132" s="1290"/>
      <c r="H132" s="1087"/>
      <c r="I132" s="1279" t="s">
        <v>916</v>
      </c>
      <c r="J132" s="1292"/>
      <c r="K132" s="1293"/>
      <c r="L132" s="726"/>
      <c r="M132" s="895" t="s">
        <v>105</v>
      </c>
      <c r="N132" s="286"/>
      <c r="O132" s="350"/>
      <c r="P132" s="825"/>
      <c r="Q132" s="350"/>
      <c r="R132" s="433">
        <v>0</v>
      </c>
      <c r="S132" s="1137"/>
      <c r="T132" s="607"/>
    </row>
    <row r="133" spans="1:20" s="59" customFormat="1" ht="11.25" customHeight="1">
      <c r="A133" s="107"/>
      <c r="B133" s="49"/>
      <c r="C133" s="159"/>
      <c r="E133" s="1289"/>
      <c r="F133" s="1099"/>
      <c r="G133" s="1290"/>
      <c r="H133" s="1087"/>
      <c r="I133" s="1279"/>
      <c r="J133" s="1292"/>
      <c r="K133" s="1293"/>
      <c r="L133" s="896"/>
      <c r="M133" s="897"/>
      <c r="N133" s="168" t="s">
        <v>1144</v>
      </c>
      <c r="O133" s="168"/>
      <c r="P133" s="168"/>
      <c r="Q133" s="168"/>
      <c r="R133" s="194"/>
      <c r="S133" s="1137"/>
      <c r="T133" s="607"/>
    </row>
    <row r="134" spans="1:20" s="59" customFormat="1" ht="11.25" customHeight="1">
      <c r="A134" s="107"/>
      <c r="B134" s="49"/>
      <c r="C134" s="159"/>
      <c r="E134" s="1289"/>
      <c r="F134" s="1099"/>
      <c r="G134" s="1290"/>
      <c r="H134" s="896"/>
      <c r="I134" s="897"/>
      <c r="J134" s="168" t="s">
        <v>1145</v>
      </c>
      <c r="K134" s="168"/>
      <c r="L134" s="168"/>
      <c r="M134" s="168"/>
      <c r="N134" s="168"/>
      <c r="O134" s="168"/>
      <c r="P134" s="168"/>
      <c r="Q134" s="168"/>
      <c r="R134" s="194"/>
      <c r="S134" s="1137"/>
      <c r="T134" s="607"/>
    </row>
    <row r="139" spans="1:20" s="59" customFormat="1" ht="11.25" customHeight="1">
      <c r="A139" s="107"/>
      <c r="B139" s="49"/>
      <c r="C139" s="159"/>
      <c r="E139" s="862"/>
      <c r="F139" s="862"/>
      <c r="G139" s="862"/>
      <c r="H139" s="1087"/>
      <c r="I139" s="1279" t="s">
        <v>916</v>
      </c>
      <c r="J139" s="1292"/>
      <c r="K139" s="1293"/>
      <c r="L139" s="726"/>
      <c r="M139" s="895" t="s">
        <v>105</v>
      </c>
      <c r="N139" s="286"/>
      <c r="O139" s="350"/>
      <c r="P139" s="825"/>
      <c r="Q139" s="350"/>
      <c r="R139" s="433">
        <v>0</v>
      </c>
      <c r="T139" s="607"/>
    </row>
    <row r="140" spans="1:20" s="59" customFormat="1" ht="11.25" customHeight="1">
      <c r="A140" s="107"/>
      <c r="B140" s="49"/>
      <c r="C140" s="159"/>
      <c r="E140" s="862"/>
      <c r="F140" s="862"/>
      <c r="G140" s="862"/>
      <c r="H140" s="1087"/>
      <c r="I140" s="1279"/>
      <c r="J140" s="1292"/>
      <c r="K140" s="1293"/>
      <c r="L140" s="896"/>
      <c r="M140" s="897"/>
      <c r="N140" s="168" t="s">
        <v>1144</v>
      </c>
      <c r="O140" s="168"/>
      <c r="P140" s="168"/>
      <c r="Q140" s="168"/>
      <c r="R140" s="194"/>
      <c r="T140" s="607"/>
    </row>
    <row r="142" spans="1:20" s="59" customFormat="1" ht="11.25" customHeight="1">
      <c r="A142" s="107"/>
      <c r="B142" s="49"/>
      <c r="C142" s="159"/>
      <c r="E142" s="898"/>
      <c r="H142" s="899"/>
      <c r="I142" s="862"/>
      <c r="J142" s="864"/>
      <c r="K142" s="864"/>
      <c r="L142" s="726"/>
      <c r="M142" s="895" t="s">
        <v>105</v>
      </c>
      <c r="N142" s="286"/>
      <c r="O142" s="350"/>
      <c r="P142" s="825"/>
      <c r="Q142" s="350"/>
      <c r="R142" s="433">
        <v>0</v>
      </c>
      <c r="T142" s="607"/>
    </row>
    <row r="144" spans="1:20" s="807" customFormat="1" ht="17.25" customHeight="1">
      <c r="A144" s="807" t="s">
        <v>1146</v>
      </c>
    </row>
    <row r="145" spans="1:43" ht="17.25" customHeight="1">
      <c r="G145" s="900"/>
      <c r="H145" s="900"/>
      <c r="I145" s="900"/>
    </row>
    <row r="146" spans="1:43" s="174" customFormat="1" ht="17.25" customHeight="1">
      <c r="A146" s="209"/>
      <c r="C146" s="120"/>
      <c r="D146" s="1122"/>
      <c r="E146" s="1111"/>
      <c r="F146" s="1112"/>
      <c r="G146" s="1121"/>
      <c r="H146" s="1122"/>
      <c r="I146" s="1122">
        <v>1</v>
      </c>
      <c r="J146" s="1123"/>
      <c r="K146" s="1105" t="s">
        <v>63</v>
      </c>
      <c r="L146" s="1099"/>
      <c r="M146" s="1099" t="s">
        <v>105</v>
      </c>
      <c r="N146" s="1124" t="str">
        <f>IF(Z146="","",INDEX(TERRITORY_MR_LIST,MATCH(Z146,TERRITORY_LIST_ID,0)))</f>
        <v/>
      </c>
      <c r="O146" s="1105" t="s">
        <v>63</v>
      </c>
      <c r="P146" s="1099"/>
      <c r="Q146" s="1099" t="s">
        <v>105</v>
      </c>
      <c r="R146" s="1294"/>
      <c r="S146" s="1105" t="s">
        <v>63</v>
      </c>
      <c r="T146" s="190"/>
      <c r="U146" s="190" t="s">
        <v>105</v>
      </c>
      <c r="V146" s="286"/>
      <c r="W146" s="224"/>
      <c r="Y146" s="214"/>
      <c r="Z146" s="214"/>
      <c r="AA146" s="214"/>
      <c r="AB146" s="214"/>
      <c r="AC146" s="214"/>
      <c r="AD146" s="214"/>
      <c r="AE146" s="214"/>
      <c r="AF146" s="214"/>
      <c r="AG146" s="214"/>
      <c r="AH146" s="214"/>
      <c r="AI146" s="214"/>
      <c r="AJ146" s="214"/>
      <c r="AK146" s="214"/>
      <c r="AL146" s="58"/>
      <c r="AM146" s="58"/>
      <c r="AN146" s="214"/>
      <c r="AO146" s="214"/>
      <c r="AP146" s="214"/>
      <c r="AQ146" s="214"/>
    </row>
    <row r="147" spans="1:43" s="174" customFormat="1" ht="17.25" customHeight="1">
      <c r="A147" s="209"/>
      <c r="D147" s="1122"/>
      <c r="E147" s="1111"/>
      <c r="F147" s="1112"/>
      <c r="G147" s="1121"/>
      <c r="H147" s="1122"/>
      <c r="I147" s="1122"/>
      <c r="J147" s="1123"/>
      <c r="K147" s="1105"/>
      <c r="L147" s="1099"/>
      <c r="M147" s="1099"/>
      <c r="N147" s="1124"/>
      <c r="O147" s="1105"/>
      <c r="P147" s="1099"/>
      <c r="Q147" s="1099"/>
      <c r="R147" s="1294"/>
      <c r="S147" s="1105"/>
      <c r="T147" s="229"/>
      <c r="U147" s="230"/>
      <c r="V147" s="230" t="s">
        <v>403</v>
      </c>
      <c r="W147" s="233"/>
      <c r="Y147" s="100"/>
      <c r="Z147" s="100"/>
      <c r="AA147" s="100"/>
      <c r="AB147" s="100"/>
      <c r="AC147" s="100"/>
      <c r="AD147" s="100"/>
      <c r="AE147" s="100"/>
      <c r="AF147" s="100"/>
      <c r="AG147" s="100"/>
      <c r="AH147" s="100"/>
      <c r="AI147" s="100"/>
      <c r="AJ147" s="100"/>
      <c r="AK147" s="100"/>
    </row>
    <row r="148" spans="1:43" s="174" customFormat="1" ht="17.25" customHeight="1">
      <c r="A148" s="209"/>
      <c r="D148" s="1122"/>
      <c r="E148" s="1111"/>
      <c r="F148" s="1112"/>
      <c r="G148" s="1121"/>
      <c r="H148" s="1122"/>
      <c r="I148" s="1122"/>
      <c r="J148" s="1123"/>
      <c r="K148" s="1105"/>
      <c r="L148" s="1099"/>
      <c r="M148" s="1099"/>
      <c r="N148" s="1124"/>
      <c r="O148" s="1105"/>
      <c r="P148" s="229"/>
      <c r="Q148" s="230"/>
      <c r="R148" s="230" t="s">
        <v>253</v>
      </c>
      <c r="S148" s="231"/>
      <c r="T148" s="231"/>
      <c r="U148" s="231"/>
      <c r="V148" s="231"/>
      <c r="W148" s="233"/>
      <c r="Y148" s="100"/>
      <c r="Z148" s="100"/>
      <c r="AA148" s="100"/>
      <c r="AB148" s="100"/>
      <c r="AC148" s="100"/>
      <c r="AD148" s="100"/>
      <c r="AE148" s="100"/>
      <c r="AF148" s="100"/>
      <c r="AG148" s="100"/>
      <c r="AH148" s="100"/>
      <c r="AI148" s="100"/>
      <c r="AJ148" s="100"/>
      <c r="AK148" s="100"/>
    </row>
    <row r="149" spans="1:43" s="174" customFormat="1" ht="17.25" customHeight="1">
      <c r="A149" s="209"/>
      <c r="D149" s="1122"/>
      <c r="E149" s="1111"/>
      <c r="F149" s="1112"/>
      <c r="G149" s="1121"/>
      <c r="H149" s="1122"/>
      <c r="I149" s="1122"/>
      <c r="J149" s="1123"/>
      <c r="K149" s="1105"/>
      <c r="L149" s="229"/>
      <c r="M149" s="230"/>
      <c r="N149" s="230" t="s">
        <v>254</v>
      </c>
      <c r="O149" s="230"/>
      <c r="P149" s="230"/>
      <c r="Q149" s="230"/>
      <c r="R149" s="230"/>
      <c r="S149" s="231"/>
      <c r="T149" s="231"/>
      <c r="U149" s="231"/>
      <c r="V149" s="231"/>
      <c r="W149" s="233"/>
      <c r="Y149" s="100"/>
      <c r="Z149" s="100"/>
      <c r="AA149" s="100"/>
      <c r="AB149" s="100"/>
      <c r="AC149" s="100"/>
      <c r="AD149" s="100"/>
      <c r="AE149" s="100"/>
      <c r="AF149" s="100"/>
      <c r="AG149" s="100"/>
      <c r="AH149" s="100"/>
      <c r="AI149" s="100"/>
      <c r="AJ149" s="100"/>
      <c r="AK149" s="100"/>
    </row>
    <row r="150" spans="1:43" s="174" customFormat="1" ht="17.25" customHeight="1">
      <c r="A150" s="209"/>
      <c r="D150" s="1122"/>
      <c r="E150" s="1111"/>
      <c r="F150" s="1112"/>
      <c r="G150" s="1121"/>
      <c r="H150" s="229"/>
      <c r="I150" s="230"/>
      <c r="J150" s="230" t="s">
        <v>255</v>
      </c>
      <c r="K150" s="230"/>
      <c r="L150" s="230"/>
      <c r="M150" s="230"/>
      <c r="N150" s="230"/>
      <c r="O150" s="230"/>
      <c r="P150" s="230"/>
      <c r="Q150" s="230"/>
      <c r="R150" s="230"/>
      <c r="S150" s="231"/>
      <c r="T150" s="231"/>
      <c r="U150" s="231"/>
      <c r="V150" s="231"/>
      <c r="W150" s="233"/>
      <c r="Y150" s="100"/>
      <c r="Z150" s="100"/>
      <c r="AA150" s="100"/>
      <c r="AB150" s="100"/>
      <c r="AC150" s="100"/>
      <c r="AD150" s="100"/>
      <c r="AE150" s="100"/>
      <c r="AF150" s="100"/>
      <c r="AG150" s="100"/>
      <c r="AH150" s="100"/>
      <c r="AI150" s="100"/>
      <c r="AJ150" s="100"/>
      <c r="AK150" s="100"/>
    </row>
    <row r="151" spans="1:43" ht="17.25" customHeight="1">
      <c r="G151" s="900"/>
      <c r="H151" s="900"/>
      <c r="I151" s="900"/>
    </row>
    <row r="152" spans="1:43" s="174" customFormat="1" ht="17.25" customHeight="1">
      <c r="A152" s="209"/>
      <c r="C152" s="120"/>
      <c r="D152" s="862"/>
      <c r="E152" s="901"/>
      <c r="F152" s="902"/>
      <c r="G152" s="903"/>
      <c r="H152" s="1122"/>
      <c r="I152" s="1122">
        <v>1</v>
      </c>
      <c r="J152" s="1123"/>
      <c r="K152" s="1105" t="s">
        <v>63</v>
      </c>
      <c r="L152" s="1099"/>
      <c r="M152" s="1099" t="s">
        <v>105</v>
      </c>
      <c r="N152" s="1124" t="str">
        <f>IF(Z152="","",INDEX(TERRITORY_MR_LIST,MATCH(Z152,TERRITORY_LIST_ID,0)))</f>
        <v/>
      </c>
      <c r="O152" s="1105" t="s">
        <v>63</v>
      </c>
      <c r="P152" s="1099"/>
      <c r="Q152" s="1099" t="s">
        <v>105</v>
      </c>
      <c r="R152" s="1294"/>
      <c r="S152" s="1105" t="s">
        <v>63</v>
      </c>
      <c r="T152" s="190"/>
      <c r="U152" s="190" t="s">
        <v>105</v>
      </c>
      <c r="V152" s="286"/>
      <c r="W152" s="224"/>
      <c r="Y152" s="214"/>
      <c r="Z152" s="214"/>
      <c r="AA152" s="214"/>
      <c r="AB152" s="214"/>
      <c r="AC152" s="214"/>
      <c r="AD152" s="214"/>
      <c r="AE152" s="214"/>
      <c r="AF152" s="214"/>
      <c r="AG152" s="214"/>
      <c r="AH152" s="214"/>
      <c r="AI152" s="214"/>
      <c r="AJ152" s="214"/>
      <c r="AK152" s="214"/>
      <c r="AL152" s="58"/>
      <c r="AM152" s="58"/>
      <c r="AN152" s="214"/>
      <c r="AO152" s="214"/>
      <c r="AP152" s="214"/>
      <c r="AQ152" s="214"/>
    </row>
    <row r="153" spans="1:43" s="174" customFormat="1" ht="17.25" customHeight="1">
      <c r="A153" s="209"/>
      <c r="D153" s="862"/>
      <c r="E153" s="901"/>
      <c r="F153" s="902"/>
      <c r="G153" s="903"/>
      <c r="H153" s="1122"/>
      <c r="I153" s="1122"/>
      <c r="J153" s="1123"/>
      <c r="K153" s="1105"/>
      <c r="L153" s="1099"/>
      <c r="M153" s="1099"/>
      <c r="N153" s="1124"/>
      <c r="O153" s="1105"/>
      <c r="P153" s="1099"/>
      <c r="Q153" s="1099"/>
      <c r="R153" s="1294"/>
      <c r="S153" s="1105"/>
      <c r="T153" s="229"/>
      <c r="U153" s="230"/>
      <c r="V153" s="230" t="s">
        <v>403</v>
      </c>
      <c r="W153" s="233"/>
      <c r="Y153" s="100"/>
      <c r="Z153" s="100"/>
      <c r="AA153" s="100"/>
      <c r="AB153" s="100"/>
      <c r="AC153" s="100"/>
      <c r="AD153" s="100"/>
      <c r="AE153" s="100"/>
      <c r="AF153" s="100"/>
      <c r="AG153" s="100"/>
      <c r="AH153" s="100"/>
      <c r="AI153" s="100"/>
      <c r="AJ153" s="100"/>
      <c r="AK153" s="100"/>
    </row>
    <row r="154" spans="1:43" s="174" customFormat="1" ht="17.25" customHeight="1">
      <c r="A154" s="209"/>
      <c r="D154" s="862"/>
      <c r="E154" s="901"/>
      <c r="F154" s="902"/>
      <c r="G154" s="903"/>
      <c r="H154" s="1122"/>
      <c r="I154" s="1122"/>
      <c r="J154" s="1123"/>
      <c r="K154" s="1105"/>
      <c r="L154" s="1099"/>
      <c r="M154" s="1099"/>
      <c r="N154" s="1124"/>
      <c r="O154" s="1105"/>
      <c r="P154" s="229"/>
      <c r="Q154" s="230"/>
      <c r="R154" s="230" t="s">
        <v>253</v>
      </c>
      <c r="S154" s="231"/>
      <c r="T154" s="231"/>
      <c r="U154" s="231"/>
      <c r="V154" s="231"/>
      <c r="W154" s="233"/>
      <c r="Y154" s="100"/>
      <c r="Z154" s="100"/>
      <c r="AA154" s="100"/>
      <c r="AB154" s="100"/>
      <c r="AC154" s="100"/>
      <c r="AD154" s="100"/>
      <c r="AE154" s="100"/>
      <c r="AF154" s="100"/>
      <c r="AG154" s="100"/>
      <c r="AH154" s="100"/>
      <c r="AI154" s="100"/>
      <c r="AJ154" s="100"/>
      <c r="AK154" s="100"/>
    </row>
    <row r="155" spans="1:43" s="174" customFormat="1" ht="17.25" customHeight="1">
      <c r="A155" s="209"/>
      <c r="D155" s="862"/>
      <c r="E155" s="901"/>
      <c r="F155" s="902"/>
      <c r="G155" s="903"/>
      <c r="H155" s="1122"/>
      <c r="I155" s="1122"/>
      <c r="J155" s="1123"/>
      <c r="K155" s="1105"/>
      <c r="L155" s="229"/>
      <c r="M155" s="230"/>
      <c r="N155" s="230" t="s">
        <v>254</v>
      </c>
      <c r="O155" s="230"/>
      <c r="P155" s="230"/>
      <c r="Q155" s="230"/>
      <c r="R155" s="230"/>
      <c r="S155" s="231"/>
      <c r="T155" s="231"/>
      <c r="U155" s="231"/>
      <c r="V155" s="231"/>
      <c r="W155" s="233"/>
      <c r="Y155" s="100"/>
      <c r="Z155" s="100"/>
      <c r="AA155" s="100"/>
      <c r="AB155" s="100"/>
      <c r="AC155" s="100"/>
      <c r="AD155" s="100"/>
      <c r="AE155" s="100"/>
      <c r="AF155" s="100"/>
      <c r="AG155" s="100"/>
      <c r="AH155" s="100"/>
      <c r="AI155" s="100"/>
      <c r="AJ155" s="100"/>
      <c r="AK155" s="100"/>
    </row>
    <row r="156" spans="1:43" ht="17.25" customHeight="1">
      <c r="G156" s="900"/>
      <c r="H156" s="900"/>
      <c r="I156" s="900"/>
    </row>
    <row r="157" spans="1:43" s="174" customFormat="1" ht="17.25" customHeight="1">
      <c r="A157" s="209"/>
      <c r="C157" s="120"/>
      <c r="D157" s="862"/>
      <c r="E157" s="901"/>
      <c r="F157" s="902"/>
      <c r="G157" s="903"/>
      <c r="H157" s="862"/>
      <c r="I157" s="862"/>
      <c r="J157" s="904"/>
      <c r="K157" s="905"/>
      <c r="L157" s="1099"/>
      <c r="M157" s="1099" t="s">
        <v>105</v>
      </c>
      <c r="N157" s="1124" t="str">
        <f>IF(Z157="","",INDEX(TERRITORY_MR_LIST,MATCH(Z157,TERRITORY_LIST_ID,0)))</f>
        <v/>
      </c>
      <c r="O157" s="1105" t="s">
        <v>63</v>
      </c>
      <c r="P157" s="1099"/>
      <c r="Q157" s="1099" t="s">
        <v>105</v>
      </c>
      <c r="R157" s="1294"/>
      <c r="S157" s="1105" t="s">
        <v>63</v>
      </c>
      <c r="T157" s="190"/>
      <c r="U157" s="190" t="s">
        <v>105</v>
      </c>
      <c r="V157" s="286"/>
      <c r="W157" s="224"/>
      <c r="Y157" s="214"/>
      <c r="Z157" s="214"/>
      <c r="AA157" s="214"/>
      <c r="AB157" s="214"/>
      <c r="AC157" s="214"/>
      <c r="AD157" s="214"/>
      <c r="AE157" s="214"/>
      <c r="AF157" s="214"/>
      <c r="AG157" s="214"/>
      <c r="AH157" s="214"/>
      <c r="AI157" s="214"/>
      <c r="AJ157" s="214"/>
      <c r="AK157" s="214"/>
      <c r="AL157" s="58"/>
      <c r="AM157" s="58"/>
      <c r="AN157" s="214"/>
      <c r="AO157" s="214"/>
      <c r="AP157" s="214"/>
      <c r="AQ157" s="214"/>
    </row>
    <row r="158" spans="1:43" s="174" customFormat="1" ht="17.25" customHeight="1">
      <c r="A158" s="209"/>
      <c r="D158" s="862"/>
      <c r="E158" s="901"/>
      <c r="F158" s="902"/>
      <c r="G158" s="903"/>
      <c r="H158" s="862"/>
      <c r="I158" s="862"/>
      <c r="J158" s="904"/>
      <c r="K158" s="905"/>
      <c r="L158" s="1099"/>
      <c r="M158" s="1099"/>
      <c r="N158" s="1124"/>
      <c r="O158" s="1105"/>
      <c r="P158" s="1099"/>
      <c r="Q158" s="1099"/>
      <c r="R158" s="1294"/>
      <c r="S158" s="1105"/>
      <c r="T158" s="229"/>
      <c r="U158" s="230"/>
      <c r="V158" s="230" t="s">
        <v>403</v>
      </c>
      <c r="W158" s="233"/>
      <c r="Y158" s="100"/>
      <c r="Z158" s="100"/>
      <c r="AA158" s="100"/>
      <c r="AB158" s="100"/>
      <c r="AC158" s="100"/>
      <c r="AD158" s="100"/>
      <c r="AE158" s="100"/>
      <c r="AF158" s="100"/>
      <c r="AG158" s="100"/>
      <c r="AH158" s="100"/>
      <c r="AI158" s="100"/>
      <c r="AJ158" s="100"/>
      <c r="AK158" s="100"/>
    </row>
    <row r="159" spans="1:43" s="174" customFormat="1" ht="17.25" customHeight="1">
      <c r="A159" s="209"/>
      <c r="D159" s="862"/>
      <c r="E159" s="901"/>
      <c r="F159" s="902"/>
      <c r="G159" s="903"/>
      <c r="H159" s="862"/>
      <c r="I159" s="862"/>
      <c r="J159" s="904"/>
      <c r="K159" s="905"/>
      <c r="L159" s="1099"/>
      <c r="M159" s="1099"/>
      <c r="N159" s="1124"/>
      <c r="O159" s="1105"/>
      <c r="P159" s="229"/>
      <c r="Q159" s="230"/>
      <c r="R159" s="230" t="s">
        <v>253</v>
      </c>
      <c r="S159" s="231"/>
      <c r="T159" s="231"/>
      <c r="U159" s="231"/>
      <c r="V159" s="231"/>
      <c r="W159" s="233"/>
      <c r="Y159" s="100"/>
      <c r="Z159" s="100"/>
      <c r="AA159" s="100"/>
      <c r="AB159" s="100"/>
      <c r="AC159" s="100"/>
      <c r="AD159" s="100"/>
      <c r="AE159" s="100"/>
      <c r="AF159" s="100"/>
      <c r="AG159" s="100"/>
      <c r="AH159" s="100"/>
      <c r="AI159" s="100"/>
      <c r="AJ159" s="100"/>
      <c r="AK159" s="100"/>
    </row>
    <row r="160" spans="1:43" ht="17.25" customHeight="1">
      <c r="G160" s="900"/>
      <c r="H160" s="900"/>
      <c r="I160" s="900"/>
    </row>
    <row r="161" spans="1:43" s="174" customFormat="1" ht="17.25" customHeight="1">
      <c r="A161" s="209"/>
      <c r="C161" s="120"/>
      <c r="D161" s="862"/>
      <c r="E161" s="901"/>
      <c r="F161" s="902"/>
      <c r="G161" s="903"/>
      <c r="H161" s="862"/>
      <c r="I161" s="862"/>
      <c r="J161" s="904"/>
      <c r="K161" s="905"/>
      <c r="L161" s="906"/>
      <c r="M161" s="906"/>
      <c r="N161" s="907"/>
      <c r="O161" s="908"/>
      <c r="P161" s="1099"/>
      <c r="Q161" s="1099" t="s">
        <v>105</v>
      </c>
      <c r="R161" s="1294"/>
      <c r="S161" s="1105" t="s">
        <v>63</v>
      </c>
      <c r="T161" s="190"/>
      <c r="U161" s="190" t="s">
        <v>105</v>
      </c>
      <c r="V161" s="286"/>
      <c r="W161" s="224"/>
      <c r="Y161" s="214"/>
      <c r="Z161" s="214"/>
      <c r="AA161" s="214"/>
      <c r="AB161" s="214"/>
      <c r="AC161" s="214"/>
      <c r="AD161" s="214"/>
      <c r="AE161" s="214"/>
      <c r="AF161" s="214"/>
      <c r="AG161" s="214"/>
      <c r="AH161" s="214"/>
      <c r="AI161" s="214"/>
      <c r="AJ161" s="214"/>
      <c r="AK161" s="214"/>
      <c r="AL161" s="58"/>
      <c r="AM161" s="58"/>
      <c r="AN161" s="214"/>
      <c r="AO161" s="214"/>
      <c r="AP161" s="214"/>
      <c r="AQ161" s="214"/>
    </row>
    <row r="162" spans="1:43" s="174" customFormat="1" ht="17.25" customHeight="1">
      <c r="A162" s="209"/>
      <c r="D162" s="862"/>
      <c r="E162" s="901"/>
      <c r="F162" s="902"/>
      <c r="G162" s="903"/>
      <c r="H162" s="862"/>
      <c r="I162" s="862"/>
      <c r="J162" s="904"/>
      <c r="K162" s="905"/>
      <c r="L162" s="906"/>
      <c r="M162" s="906"/>
      <c r="N162" s="907"/>
      <c r="O162" s="908"/>
      <c r="P162" s="1099"/>
      <c r="Q162" s="1099"/>
      <c r="R162" s="1294"/>
      <c r="S162" s="1105"/>
      <c r="T162" s="229"/>
      <c r="U162" s="230"/>
      <c r="V162" s="230" t="s">
        <v>403</v>
      </c>
      <c r="W162" s="233"/>
      <c r="Y162" s="100"/>
      <c r="Z162" s="100"/>
      <c r="AA162" s="100"/>
      <c r="AB162" s="100"/>
      <c r="AC162" s="100"/>
      <c r="AD162" s="100"/>
      <c r="AE162" s="100"/>
      <c r="AF162" s="100"/>
      <c r="AG162" s="100"/>
      <c r="AH162" s="100"/>
      <c r="AI162" s="100"/>
      <c r="AJ162" s="100"/>
      <c r="AK162" s="100"/>
    </row>
    <row r="163" spans="1:43" ht="17.25" customHeight="1">
      <c r="G163" s="900"/>
      <c r="H163" s="900"/>
      <c r="I163" s="900"/>
    </row>
    <row r="164" spans="1:43" s="174" customFormat="1" ht="17.25" customHeight="1">
      <c r="A164" s="209"/>
      <c r="C164" s="120"/>
      <c r="D164" s="862"/>
      <c r="E164" s="901"/>
      <c r="F164" s="902"/>
      <c r="G164" s="903"/>
      <c r="H164" s="906"/>
      <c r="I164" s="906"/>
      <c r="J164" s="909"/>
      <c r="K164" s="903"/>
      <c r="L164" s="906"/>
      <c r="M164" s="906"/>
      <c r="N164" s="903"/>
      <c r="O164" s="903"/>
      <c r="P164" s="906"/>
      <c r="Q164" s="906"/>
      <c r="R164" s="910"/>
      <c r="S164" s="903"/>
      <c r="T164" s="190"/>
      <c r="U164" s="190" t="s">
        <v>105</v>
      </c>
      <c r="V164" s="286"/>
      <c r="W164" s="224"/>
      <c r="Y164" s="214"/>
      <c r="Z164" s="214"/>
      <c r="AA164" s="214"/>
      <c r="AB164" s="214"/>
      <c r="AC164" s="214"/>
      <c r="AD164" s="214"/>
      <c r="AE164" s="214"/>
      <c r="AF164" s="214"/>
      <c r="AG164" s="214"/>
      <c r="AH164" s="214"/>
      <c r="AI164" s="214"/>
      <c r="AJ164" s="214"/>
      <c r="AK164" s="214"/>
      <c r="AL164" s="58"/>
      <c r="AM164" s="58"/>
      <c r="AN164" s="214"/>
      <c r="AO164" s="214"/>
      <c r="AP164" s="214"/>
      <c r="AQ164" s="214"/>
    </row>
    <row r="166" spans="1:43" s="807" customFormat="1" ht="17.25" customHeight="1">
      <c r="A166" s="807" t="s">
        <v>1147</v>
      </c>
    </row>
    <row r="167" spans="1:43" ht="17.25" customHeight="1">
      <c r="G167" s="900"/>
      <c r="H167" s="900"/>
      <c r="I167" s="900"/>
    </row>
    <row r="168" spans="1:43" s="174" customFormat="1" ht="17.25" customHeight="1">
      <c r="A168" s="209"/>
      <c r="C168" s="120"/>
      <c r="D168" s="1122"/>
      <c r="E168" s="1111"/>
      <c r="F168" s="1112"/>
      <c r="G168" s="1121"/>
      <c r="H168" s="1122"/>
      <c r="I168" s="1122">
        <v>1</v>
      </c>
      <c r="J168" s="1123"/>
      <c r="K168" s="1105" t="s">
        <v>63</v>
      </c>
      <c r="L168" s="1099"/>
      <c r="M168" s="1099" t="s">
        <v>105</v>
      </c>
      <c r="N168" s="1124" t="str">
        <f>IF(Z168="","",INDEX(TERRITORY_MR_LIST,MATCH(Z168,TERRITORY_LIST_ID,0)))</f>
        <v/>
      </c>
      <c r="O168" s="1105" t="s">
        <v>63</v>
      </c>
      <c r="P168" s="1099"/>
      <c r="Q168" s="1099" t="s">
        <v>105</v>
      </c>
      <c r="R168" s="1294"/>
      <c r="S168" s="1126" t="s">
        <v>53</v>
      </c>
      <c r="T168" s="225"/>
      <c r="U168" s="225" t="s">
        <v>105</v>
      </c>
      <c r="V168" s="226"/>
      <c r="W168" s="1123"/>
      <c r="Y168" s="214"/>
      <c r="Z168" s="214"/>
      <c r="AA168" s="214"/>
      <c r="AB168" s="214"/>
      <c r="AC168" s="214"/>
      <c r="AD168" s="214"/>
      <c r="AE168" s="214"/>
      <c r="AF168" s="214"/>
      <c r="AG168" s="214"/>
      <c r="AH168" s="214"/>
      <c r="AI168" s="214"/>
      <c r="AJ168" s="214"/>
      <c r="AK168" s="214"/>
      <c r="AL168" s="58"/>
      <c r="AM168" s="58"/>
      <c r="AN168" s="214"/>
      <c r="AO168" s="214"/>
      <c r="AP168" s="214"/>
      <c r="AQ168" s="214"/>
    </row>
    <row r="169" spans="1:43" s="174" customFormat="1" ht="17.25" customHeight="1">
      <c r="A169" s="209"/>
      <c r="D169" s="1122"/>
      <c r="E169" s="1111"/>
      <c r="F169" s="1112"/>
      <c r="G169" s="1121"/>
      <c r="H169" s="1122"/>
      <c r="I169" s="1122"/>
      <c r="J169" s="1123"/>
      <c r="K169" s="1105"/>
      <c r="L169" s="1099"/>
      <c r="M169" s="1099"/>
      <c r="N169" s="1124"/>
      <c r="O169" s="1105"/>
      <c r="P169" s="1099"/>
      <c r="Q169" s="1099"/>
      <c r="R169" s="1294"/>
      <c r="S169" s="1126"/>
      <c r="T169" s="227"/>
      <c r="U169" s="228"/>
      <c r="V169" s="228"/>
      <c r="W169" s="1123"/>
      <c r="Y169" s="100"/>
      <c r="Z169" s="100"/>
      <c r="AA169" s="100"/>
      <c r="AB169" s="100"/>
      <c r="AC169" s="100"/>
      <c r="AD169" s="100"/>
      <c r="AE169" s="100"/>
      <c r="AF169" s="100"/>
      <c r="AG169" s="100"/>
      <c r="AH169" s="100"/>
      <c r="AI169" s="100"/>
      <c r="AJ169" s="100"/>
      <c r="AK169" s="100"/>
    </row>
    <row r="170" spans="1:43" s="174" customFormat="1" ht="17.25" customHeight="1">
      <c r="A170" s="209"/>
      <c r="D170" s="1122"/>
      <c r="E170" s="1111"/>
      <c r="F170" s="1112"/>
      <c r="G170" s="1121"/>
      <c r="H170" s="1122"/>
      <c r="I170" s="1122"/>
      <c r="J170" s="1123"/>
      <c r="K170" s="1105"/>
      <c r="L170" s="1099"/>
      <c r="M170" s="1099"/>
      <c r="N170" s="1124"/>
      <c r="O170" s="1105"/>
      <c r="P170" s="229"/>
      <c r="Q170" s="230"/>
      <c r="R170" s="230" t="s">
        <v>253</v>
      </c>
      <c r="S170" s="231"/>
      <c r="T170" s="231"/>
      <c r="U170" s="231"/>
      <c r="V170" s="231"/>
      <c r="W170" s="232"/>
      <c r="Y170" s="100"/>
      <c r="Z170" s="100"/>
      <c r="AA170" s="100"/>
      <c r="AB170" s="100"/>
      <c r="AC170" s="100"/>
      <c r="AD170" s="100"/>
      <c r="AE170" s="100"/>
      <c r="AF170" s="100"/>
      <c r="AG170" s="100"/>
      <c r="AH170" s="100"/>
      <c r="AI170" s="100"/>
      <c r="AJ170" s="100"/>
      <c r="AK170" s="100"/>
    </row>
    <row r="171" spans="1:43" s="174" customFormat="1" ht="17.25" customHeight="1">
      <c r="A171" s="209"/>
      <c r="D171" s="1122"/>
      <c r="E171" s="1111"/>
      <c r="F171" s="1112"/>
      <c r="G171" s="1121"/>
      <c r="H171" s="1122"/>
      <c r="I171" s="1122"/>
      <c r="J171" s="1123"/>
      <c r="K171" s="1105"/>
      <c r="L171" s="229"/>
      <c r="M171" s="230"/>
      <c r="N171" s="230" t="s">
        <v>254</v>
      </c>
      <c r="O171" s="230"/>
      <c r="P171" s="230"/>
      <c r="Q171" s="230"/>
      <c r="R171" s="230"/>
      <c r="S171" s="231"/>
      <c r="T171" s="231"/>
      <c r="U171" s="231"/>
      <c r="V171" s="231"/>
      <c r="W171" s="233"/>
      <c r="Y171" s="100"/>
      <c r="Z171" s="100"/>
      <c r="AA171" s="100"/>
      <c r="AB171" s="100"/>
      <c r="AC171" s="100"/>
      <c r="AD171" s="100"/>
      <c r="AE171" s="100"/>
      <c r="AF171" s="100"/>
      <c r="AG171" s="100"/>
      <c r="AH171" s="100"/>
      <c r="AI171" s="100"/>
      <c r="AJ171" s="100"/>
      <c r="AK171" s="100"/>
    </row>
    <row r="172" spans="1:43" s="174" customFormat="1" ht="17.25" customHeight="1">
      <c r="A172" s="209"/>
      <c r="D172" s="1122"/>
      <c r="E172" s="1111"/>
      <c r="F172" s="1112"/>
      <c r="G172" s="1121"/>
      <c r="H172" s="229"/>
      <c r="I172" s="230"/>
      <c r="J172" s="230" t="s">
        <v>255</v>
      </c>
      <c r="K172" s="230"/>
      <c r="L172" s="230"/>
      <c r="M172" s="230"/>
      <c r="N172" s="230"/>
      <c r="O172" s="230"/>
      <c r="P172" s="230"/>
      <c r="Q172" s="230"/>
      <c r="R172" s="230"/>
      <c r="S172" s="231"/>
      <c r="T172" s="231"/>
      <c r="U172" s="231"/>
      <c r="V172" s="231"/>
      <c r="W172" s="233"/>
      <c r="Y172" s="100"/>
      <c r="Z172" s="100"/>
      <c r="AA172" s="100"/>
      <c r="AB172" s="100"/>
      <c r="AC172" s="100"/>
      <c r="AD172" s="100"/>
      <c r="AE172" s="100"/>
      <c r="AF172" s="100"/>
      <c r="AG172" s="100"/>
      <c r="AH172" s="100"/>
      <c r="AI172" s="100"/>
      <c r="AJ172" s="100"/>
      <c r="AK172" s="100"/>
    </row>
    <row r="173" spans="1:43" ht="17.25" customHeight="1"/>
    <row r="174" spans="1:43" s="174" customFormat="1" ht="17.25" customHeight="1">
      <c r="A174" s="209"/>
      <c r="C174" s="120"/>
      <c r="D174" s="862"/>
      <c r="E174" s="901"/>
      <c r="F174" s="902"/>
      <c r="G174" s="903"/>
      <c r="H174" s="1122"/>
      <c r="I174" s="1122">
        <v>1</v>
      </c>
      <c r="J174" s="1123"/>
      <c r="K174" s="1105" t="s">
        <v>63</v>
      </c>
      <c r="L174" s="1099"/>
      <c r="M174" s="1099" t="s">
        <v>105</v>
      </c>
      <c r="N174" s="1124" t="str">
        <f>IF(Z174="","",INDEX(TERRITORY_MR_LIST,MATCH(Z174,TERRITORY_LIST_ID,0)))</f>
        <v/>
      </c>
      <c r="O174" s="1105" t="s">
        <v>63</v>
      </c>
      <c r="P174" s="1099"/>
      <c r="Q174" s="1099" t="s">
        <v>105</v>
      </c>
      <c r="R174" s="1294"/>
      <c r="S174" s="1126" t="s">
        <v>53</v>
      </c>
      <c r="T174" s="225"/>
      <c r="U174" s="225" t="s">
        <v>105</v>
      </c>
      <c r="V174" s="226"/>
      <c r="W174" s="1123"/>
      <c r="Y174" s="214"/>
      <c r="Z174" s="214"/>
      <c r="AA174" s="214"/>
      <c r="AB174" s="214"/>
      <c r="AC174" s="214"/>
      <c r="AD174" s="214"/>
      <c r="AE174" s="214"/>
      <c r="AF174" s="214"/>
      <c r="AG174" s="214"/>
      <c r="AH174" s="214"/>
      <c r="AI174" s="214"/>
      <c r="AJ174" s="214"/>
      <c r="AK174" s="214"/>
      <c r="AL174" s="58"/>
      <c r="AM174" s="58"/>
      <c r="AN174" s="214"/>
      <c r="AO174" s="214"/>
      <c r="AP174" s="214"/>
      <c r="AQ174" s="214"/>
    </row>
    <row r="175" spans="1:43" s="174" customFormat="1" ht="17.25" customHeight="1">
      <c r="A175" s="209"/>
      <c r="D175" s="862"/>
      <c r="E175" s="901"/>
      <c r="F175" s="902"/>
      <c r="G175" s="903"/>
      <c r="H175" s="1122"/>
      <c r="I175" s="1122"/>
      <c r="J175" s="1123"/>
      <c r="K175" s="1105"/>
      <c r="L175" s="1099"/>
      <c r="M175" s="1099"/>
      <c r="N175" s="1124"/>
      <c r="O175" s="1105"/>
      <c r="P175" s="1099"/>
      <c r="Q175" s="1099"/>
      <c r="R175" s="1294"/>
      <c r="S175" s="1126"/>
      <c r="T175" s="227"/>
      <c r="U175" s="228"/>
      <c r="V175" s="228"/>
      <c r="W175" s="1123"/>
      <c r="Y175" s="100"/>
      <c r="Z175" s="100"/>
      <c r="AA175" s="100"/>
      <c r="AB175" s="100"/>
      <c r="AC175" s="100"/>
      <c r="AD175" s="100"/>
      <c r="AE175" s="100"/>
      <c r="AF175" s="100"/>
      <c r="AG175" s="100"/>
      <c r="AH175" s="100"/>
      <c r="AI175" s="100"/>
      <c r="AJ175" s="100"/>
      <c r="AK175" s="100"/>
    </row>
    <row r="176" spans="1:43" s="174" customFormat="1" ht="17.25" customHeight="1">
      <c r="A176" s="209"/>
      <c r="D176" s="862"/>
      <c r="E176" s="901"/>
      <c r="F176" s="902"/>
      <c r="G176" s="903"/>
      <c r="H176" s="1122"/>
      <c r="I176" s="1122"/>
      <c r="J176" s="1123"/>
      <c r="K176" s="1105"/>
      <c r="L176" s="1099"/>
      <c r="M176" s="1099"/>
      <c r="N176" s="1124"/>
      <c r="O176" s="1105"/>
      <c r="P176" s="229"/>
      <c r="Q176" s="230"/>
      <c r="R176" s="230" t="s">
        <v>253</v>
      </c>
      <c r="S176" s="231"/>
      <c r="T176" s="231"/>
      <c r="U176" s="231"/>
      <c r="V176" s="231"/>
      <c r="W176" s="232"/>
      <c r="Y176" s="100"/>
      <c r="Z176" s="100"/>
      <c r="AA176" s="100"/>
      <c r="AB176" s="100"/>
      <c r="AC176" s="100"/>
      <c r="AD176" s="100"/>
      <c r="AE176" s="100"/>
      <c r="AF176" s="100"/>
      <c r="AG176" s="100"/>
      <c r="AH176" s="100"/>
      <c r="AI176" s="100"/>
      <c r="AJ176" s="100"/>
      <c r="AK176" s="100"/>
    </row>
    <row r="177" spans="1:43" s="174" customFormat="1" ht="17.25" customHeight="1">
      <c r="A177" s="209"/>
      <c r="D177" s="862"/>
      <c r="E177" s="901"/>
      <c r="F177" s="902"/>
      <c r="G177" s="903"/>
      <c r="H177" s="1122"/>
      <c r="I177" s="1122"/>
      <c r="J177" s="1123"/>
      <c r="K177" s="1105"/>
      <c r="L177" s="229"/>
      <c r="M177" s="230"/>
      <c r="N177" s="230" t="s">
        <v>254</v>
      </c>
      <c r="O177" s="230"/>
      <c r="P177" s="230"/>
      <c r="Q177" s="230"/>
      <c r="R177" s="230"/>
      <c r="S177" s="231"/>
      <c r="T177" s="231"/>
      <c r="U177" s="231"/>
      <c r="V177" s="231"/>
      <c r="W177" s="233"/>
      <c r="Y177" s="100"/>
      <c r="Z177" s="100"/>
      <c r="AA177" s="100"/>
      <c r="AB177" s="100"/>
      <c r="AC177" s="100"/>
      <c r="AD177" s="100"/>
      <c r="AE177" s="100"/>
      <c r="AF177" s="100"/>
      <c r="AG177" s="100"/>
      <c r="AH177" s="100"/>
      <c r="AI177" s="100"/>
      <c r="AJ177" s="100"/>
      <c r="AK177" s="100"/>
    </row>
    <row r="178" spans="1:43" ht="17.25" customHeight="1"/>
    <row r="179" spans="1:43" s="174" customFormat="1" ht="17.25" customHeight="1">
      <c r="A179" s="209"/>
      <c r="C179" s="120"/>
      <c r="D179" s="862"/>
      <c r="E179" s="901"/>
      <c r="F179" s="902"/>
      <c r="G179" s="903"/>
      <c r="H179" s="862"/>
      <c r="I179" s="862"/>
      <c r="J179" s="911"/>
      <c r="K179" s="903"/>
      <c r="L179" s="1099"/>
      <c r="M179" s="1099" t="s">
        <v>105</v>
      </c>
      <c r="N179" s="1124" t="str">
        <f>IF(Z179="","",INDEX(TERRITORY_MR_LIST,MATCH(Z179,TERRITORY_LIST_ID,0)))</f>
        <v/>
      </c>
      <c r="O179" s="1105" t="s">
        <v>63</v>
      </c>
      <c r="P179" s="1099"/>
      <c r="Q179" s="1099" t="s">
        <v>105</v>
      </c>
      <c r="R179" s="1294"/>
      <c r="S179" s="1126" t="s">
        <v>53</v>
      </c>
      <c r="T179" s="225"/>
      <c r="U179" s="225" t="s">
        <v>105</v>
      </c>
      <c r="V179" s="226"/>
      <c r="W179" s="1123"/>
      <c r="Y179" s="214"/>
      <c r="Z179" s="214"/>
      <c r="AA179" s="214"/>
      <c r="AB179" s="214"/>
      <c r="AC179" s="214"/>
      <c r="AD179" s="214"/>
      <c r="AE179" s="214"/>
      <c r="AF179" s="214"/>
      <c r="AG179" s="214"/>
      <c r="AH179" s="214"/>
      <c r="AI179" s="214"/>
      <c r="AJ179" s="214"/>
      <c r="AK179" s="214"/>
      <c r="AL179" s="58"/>
      <c r="AM179" s="58"/>
      <c r="AN179" s="214"/>
      <c r="AO179" s="214"/>
      <c r="AP179" s="214"/>
      <c r="AQ179" s="214"/>
    </row>
    <row r="180" spans="1:43" s="174" customFormat="1" ht="17.25" customHeight="1">
      <c r="A180" s="209"/>
      <c r="D180" s="862"/>
      <c r="E180" s="901"/>
      <c r="F180" s="902"/>
      <c r="G180" s="903"/>
      <c r="H180" s="862"/>
      <c r="I180" s="862"/>
      <c r="J180" s="911"/>
      <c r="K180" s="903"/>
      <c r="L180" s="1099"/>
      <c r="M180" s="1099"/>
      <c r="N180" s="1124"/>
      <c r="O180" s="1105"/>
      <c r="P180" s="1099"/>
      <c r="Q180" s="1099"/>
      <c r="R180" s="1294"/>
      <c r="S180" s="1126"/>
      <c r="T180" s="227"/>
      <c r="U180" s="228"/>
      <c r="V180" s="228"/>
      <c r="W180" s="1123"/>
      <c r="Y180" s="100"/>
      <c r="Z180" s="100"/>
      <c r="AA180" s="100"/>
      <c r="AB180" s="100"/>
      <c r="AC180" s="100"/>
      <c r="AD180" s="100"/>
      <c r="AE180" s="100"/>
      <c r="AF180" s="100"/>
      <c r="AG180" s="100"/>
      <c r="AH180" s="100"/>
      <c r="AI180" s="100"/>
      <c r="AJ180" s="100"/>
      <c r="AK180" s="100"/>
    </row>
    <row r="181" spans="1:43" s="174" customFormat="1" ht="17.25" customHeight="1">
      <c r="A181" s="209"/>
      <c r="D181" s="862"/>
      <c r="E181" s="901"/>
      <c r="F181" s="902"/>
      <c r="G181" s="903"/>
      <c r="H181" s="862"/>
      <c r="I181" s="862"/>
      <c r="J181" s="911"/>
      <c r="K181" s="903"/>
      <c r="L181" s="1099"/>
      <c r="M181" s="1099"/>
      <c r="N181" s="1124"/>
      <c r="O181" s="1105"/>
      <c r="P181" s="229"/>
      <c r="Q181" s="230"/>
      <c r="R181" s="230" t="s">
        <v>253</v>
      </c>
      <c r="S181" s="231"/>
      <c r="T181" s="231"/>
      <c r="U181" s="231"/>
      <c r="V181" s="231"/>
      <c r="W181" s="232"/>
      <c r="Y181" s="100"/>
      <c r="Z181" s="100"/>
      <c r="AA181" s="100"/>
      <c r="AB181" s="100"/>
      <c r="AC181" s="100"/>
      <c r="AD181" s="100"/>
      <c r="AE181" s="100"/>
      <c r="AF181" s="100"/>
      <c r="AG181" s="100"/>
      <c r="AH181" s="100"/>
      <c r="AI181" s="100"/>
      <c r="AJ181" s="100"/>
      <c r="AK181" s="100"/>
    </row>
    <row r="182" spans="1:43" ht="17.25" customHeight="1"/>
    <row r="183" spans="1:43" s="174" customFormat="1" ht="17.25" customHeight="1">
      <c r="A183" s="209"/>
      <c r="C183" s="120"/>
      <c r="D183" s="862"/>
      <c r="E183" s="901"/>
      <c r="F183" s="902"/>
      <c r="G183" s="903"/>
      <c r="H183" s="862"/>
      <c r="I183" s="862"/>
      <c r="J183" s="911"/>
      <c r="K183" s="903"/>
      <c r="L183" s="862"/>
      <c r="M183" s="862"/>
      <c r="N183" s="907"/>
      <c r="O183" s="908"/>
      <c r="P183" s="1099"/>
      <c r="Q183" s="1099" t="s">
        <v>105</v>
      </c>
      <c r="R183" s="1294"/>
      <c r="S183" s="1126" t="s">
        <v>53</v>
      </c>
      <c r="T183" s="225"/>
      <c r="U183" s="225" t="s">
        <v>105</v>
      </c>
      <c r="V183" s="226"/>
      <c r="W183" s="1123"/>
      <c r="Y183" s="214"/>
      <c r="Z183" s="214"/>
      <c r="AA183" s="214"/>
      <c r="AB183" s="214"/>
      <c r="AC183" s="214"/>
      <c r="AD183" s="214"/>
      <c r="AE183" s="214"/>
      <c r="AF183" s="214"/>
      <c r="AG183" s="214"/>
      <c r="AH183" s="214"/>
      <c r="AI183" s="214"/>
      <c r="AJ183" s="214"/>
      <c r="AK183" s="214"/>
      <c r="AL183" s="58"/>
      <c r="AM183" s="58"/>
      <c r="AN183" s="214"/>
      <c r="AO183" s="214"/>
      <c r="AP183" s="214"/>
      <c r="AQ183" s="214"/>
    </row>
    <row r="184" spans="1:43" s="174" customFormat="1" ht="17.25" customHeight="1">
      <c r="A184" s="209"/>
      <c r="D184" s="862"/>
      <c r="E184" s="901"/>
      <c r="F184" s="902"/>
      <c r="G184" s="903"/>
      <c r="H184" s="862"/>
      <c r="I184" s="862"/>
      <c r="J184" s="911"/>
      <c r="K184" s="903"/>
      <c r="L184" s="862"/>
      <c r="M184" s="862"/>
      <c r="N184" s="907"/>
      <c r="O184" s="908"/>
      <c r="P184" s="1099"/>
      <c r="Q184" s="1099"/>
      <c r="R184" s="1294"/>
      <c r="S184" s="1126"/>
      <c r="T184" s="227"/>
      <c r="U184" s="228"/>
      <c r="V184" s="228"/>
      <c r="W184" s="1123"/>
      <c r="Y184" s="100"/>
      <c r="Z184" s="100"/>
      <c r="AA184" s="100"/>
      <c r="AB184" s="100"/>
      <c r="AC184" s="100"/>
      <c r="AD184" s="100"/>
      <c r="AE184" s="100"/>
      <c r="AF184" s="100"/>
      <c r="AG184" s="100"/>
      <c r="AH184" s="100"/>
      <c r="AI184" s="100"/>
      <c r="AJ184" s="100"/>
      <c r="AK184" s="100"/>
    </row>
    <row r="185" spans="1:43" ht="17.25" customHeight="1"/>
    <row r="186" spans="1:43" ht="16.5" customHeight="1">
      <c r="A186" s="209"/>
      <c r="B186" s="174"/>
      <c r="C186" s="174"/>
      <c r="D186" s="1122"/>
      <c r="E186" s="1137"/>
      <c r="F186" s="1137"/>
      <c r="G186" s="1087"/>
      <c r="H186" s="1113"/>
      <c r="I186" s="1114"/>
      <c r="J186" s="1115"/>
      <c r="K186" s="1116"/>
      <c r="L186" s="1116"/>
      <c r="M186" s="1116"/>
      <c r="N186" s="1117"/>
      <c r="O186" s="1116"/>
      <c r="P186" s="1116"/>
      <c r="Q186" s="1116"/>
      <c r="R186" s="1118"/>
      <c r="S186" s="1116"/>
      <c r="T186" s="211"/>
      <c r="U186" s="211"/>
      <c r="V186" s="212"/>
      <c r="W186" s="213"/>
    </row>
    <row r="187" spans="1:43" ht="16.5" customHeight="1">
      <c r="A187" s="209"/>
      <c r="B187" s="174"/>
      <c r="C187" s="174"/>
      <c r="D187" s="1122"/>
      <c r="E187" s="1137"/>
      <c r="F187" s="1137"/>
      <c r="G187" s="1087"/>
      <c r="H187" s="1113"/>
      <c r="I187" s="1114"/>
      <c r="J187" s="1115"/>
      <c r="K187" s="1116"/>
      <c r="L187" s="1116"/>
      <c r="M187" s="1116"/>
      <c r="N187" s="1117"/>
      <c r="O187" s="1116"/>
      <c r="P187" s="1116"/>
      <c r="Q187" s="1116"/>
      <c r="R187" s="1118"/>
      <c r="S187" s="1116"/>
      <c r="T187" s="215"/>
      <c r="U187" s="215"/>
      <c r="V187" s="215"/>
      <c r="W187" s="216"/>
    </row>
    <row r="188" spans="1:43" ht="17.25" customHeight="1">
      <c r="A188" s="209"/>
      <c r="B188" s="174"/>
      <c r="C188" s="174"/>
      <c r="D188" s="1122"/>
      <c r="E188" s="1137"/>
      <c r="F188" s="1137"/>
      <c r="G188" s="1087"/>
      <c r="H188" s="1113"/>
      <c r="I188" s="1114"/>
      <c r="J188" s="1115"/>
      <c r="K188" s="1116"/>
      <c r="L188" s="1116"/>
      <c r="M188" s="1116"/>
      <c r="N188" s="1117"/>
      <c r="O188" s="1116"/>
      <c r="P188" s="117"/>
      <c r="Q188" s="215"/>
      <c r="R188" s="215"/>
      <c r="S188" s="174"/>
      <c r="T188" s="174"/>
      <c r="U188" s="174"/>
      <c r="V188" s="174"/>
      <c r="W188" s="216"/>
    </row>
    <row r="189" spans="1:43" ht="17.25" customHeight="1">
      <c r="A189" s="209"/>
      <c r="B189" s="174"/>
      <c r="C189" s="174"/>
      <c r="D189" s="1122"/>
      <c r="E189" s="1137"/>
      <c r="F189" s="1137"/>
      <c r="G189" s="1087"/>
      <c r="H189" s="1113"/>
      <c r="I189" s="1114"/>
      <c r="J189" s="1115"/>
      <c r="K189" s="1116"/>
      <c r="L189" s="215"/>
      <c r="M189" s="215"/>
      <c r="N189" s="215"/>
      <c r="O189" s="215"/>
      <c r="P189" s="215"/>
      <c r="Q189" s="215"/>
      <c r="R189" s="215"/>
      <c r="S189" s="174"/>
      <c r="T189" s="174"/>
      <c r="U189" s="174"/>
      <c r="V189" s="174"/>
      <c r="W189" s="216"/>
    </row>
    <row r="190" spans="1:43" ht="17.25" customHeight="1">
      <c r="A190" s="209"/>
      <c r="B190" s="174"/>
      <c r="C190" s="174"/>
      <c r="D190" s="1122"/>
      <c r="E190" s="1137"/>
      <c r="F190" s="1137"/>
      <c r="G190" s="1087"/>
      <c r="H190" s="217"/>
      <c r="I190" s="218"/>
      <c r="J190" s="218"/>
      <c r="K190" s="218"/>
      <c r="L190" s="218"/>
      <c r="M190" s="218"/>
      <c r="N190" s="218"/>
      <c r="O190" s="218"/>
      <c r="P190" s="218"/>
      <c r="Q190" s="218"/>
      <c r="R190" s="218"/>
      <c r="S190" s="219"/>
      <c r="T190" s="219"/>
      <c r="U190" s="219"/>
      <c r="V190" s="219"/>
      <c r="W190" s="220"/>
    </row>
    <row r="192" spans="1:43" s="807" customFormat="1" ht="17.25" customHeight="1">
      <c r="A192" s="807" t="s">
        <v>1148</v>
      </c>
    </row>
    <row r="193" spans="4:63" ht="17.25" customHeight="1">
      <c r="G193" s="900"/>
      <c r="H193" s="900"/>
      <c r="I193" s="900"/>
    </row>
    <row r="194" spans="4:63" s="59" customFormat="1" ht="15" customHeight="1">
      <c r="D194" s="1295"/>
      <c r="E194" s="1296"/>
      <c r="F194" s="1296"/>
      <c r="G194" s="1105"/>
      <c r="H194" s="912"/>
      <c r="I194" s="1297">
        <v>1</v>
      </c>
      <c r="J194" s="1298"/>
      <c r="K194" s="768"/>
      <c r="L194" s="1299" t="s">
        <v>63</v>
      </c>
      <c r="M194" s="1299" t="s">
        <v>63</v>
      </c>
      <c r="N194" s="912"/>
      <c r="O194" s="1099" t="s">
        <v>105</v>
      </c>
      <c r="P194" s="1300"/>
      <c r="Q194" s="768"/>
      <c r="R194" s="1299" t="s">
        <v>63</v>
      </c>
      <c r="S194" s="1299" t="s">
        <v>63</v>
      </c>
      <c r="T194" s="913"/>
      <c r="U194" s="1099" t="s">
        <v>105</v>
      </c>
      <c r="V194" s="1301" t="str">
        <f>IF(AK194="","",INDEX(TERRITORY_MR_LIST,MATCH(AK194,TERRITORY_LIST_ID,0)))</f>
        <v/>
      </c>
      <c r="W194" s="192"/>
      <c r="X194" s="1299" t="s">
        <v>63</v>
      </c>
      <c r="Y194" s="1299" t="s">
        <v>53</v>
      </c>
      <c r="Z194" s="912"/>
      <c r="AA194" s="1099" t="s">
        <v>105</v>
      </c>
      <c r="AB194" s="1281"/>
      <c r="AC194" s="248"/>
      <c r="AD194" s="1105" t="s">
        <v>63</v>
      </c>
      <c r="AE194" s="1105" t="s">
        <v>53</v>
      </c>
      <c r="AF194" s="192"/>
      <c r="AG194" s="190" t="s">
        <v>105</v>
      </c>
      <c r="AH194" s="863"/>
      <c r="AI194" s="224"/>
    </row>
    <row r="195" spans="4:63" s="59" customFormat="1" ht="15" customHeight="1">
      <c r="D195" s="1295"/>
      <c r="E195" s="1296"/>
      <c r="F195" s="1296"/>
      <c r="G195" s="1105"/>
      <c r="H195" s="912"/>
      <c r="I195" s="1297"/>
      <c r="J195" s="1298"/>
      <c r="K195" s="914"/>
      <c r="L195" s="1299"/>
      <c r="M195" s="1299"/>
      <c r="N195" s="912"/>
      <c r="O195" s="1099"/>
      <c r="P195" s="1300"/>
      <c r="Q195" s="915"/>
      <c r="R195" s="1299"/>
      <c r="S195" s="1299"/>
      <c r="T195" s="913"/>
      <c r="U195" s="1099"/>
      <c r="V195" s="1301"/>
      <c r="W195" s="916"/>
      <c r="X195" s="1299"/>
      <c r="Y195" s="1299"/>
      <c r="Z195" s="912"/>
      <c r="AA195" s="1099"/>
      <c r="AB195" s="1281"/>
      <c r="AC195" s="612"/>
      <c r="AD195" s="1105"/>
      <c r="AE195" s="1105"/>
      <c r="AF195" s="917"/>
      <c r="AG195" s="229"/>
      <c r="AH195" s="1302" t="s">
        <v>1149</v>
      </c>
      <c r="AI195" s="1302"/>
    </row>
    <row r="196" spans="4:63" s="59" customFormat="1" ht="15" customHeight="1">
      <c r="D196" s="1295"/>
      <c r="E196" s="1296"/>
      <c r="F196" s="1296"/>
      <c r="G196" s="1105"/>
      <c r="H196" s="912"/>
      <c r="I196" s="1297"/>
      <c r="J196" s="1298"/>
      <c r="K196" s="914"/>
      <c r="L196" s="1299"/>
      <c r="M196" s="1299"/>
      <c r="N196" s="912"/>
      <c r="O196" s="1099"/>
      <c r="P196" s="1300"/>
      <c r="Q196" s="915"/>
      <c r="R196" s="1299"/>
      <c r="S196" s="1299"/>
      <c r="T196" s="913"/>
      <c r="U196" s="1099"/>
      <c r="V196" s="1301"/>
      <c r="W196" s="916"/>
      <c r="X196" s="1299"/>
      <c r="Y196" s="1299"/>
      <c r="Z196" s="916"/>
      <c r="AA196" s="918"/>
      <c r="AB196" s="1303" t="s">
        <v>1150</v>
      </c>
      <c r="AC196" s="1303"/>
      <c r="AD196" s="1303"/>
      <c r="AE196" s="1303"/>
      <c r="AF196" s="1303"/>
      <c r="AG196" s="1303"/>
      <c r="AH196" s="1303"/>
      <c r="AI196" s="1303"/>
    </row>
    <row r="197" spans="4:63" s="59" customFormat="1" ht="15" customHeight="1">
      <c r="D197" s="1295"/>
      <c r="E197" s="1296"/>
      <c r="F197" s="1296"/>
      <c r="G197" s="1105"/>
      <c r="H197" s="912"/>
      <c r="I197" s="1297"/>
      <c r="J197" s="1298"/>
      <c r="K197" s="914"/>
      <c r="L197" s="1299"/>
      <c r="M197" s="1299"/>
      <c r="N197" s="912"/>
      <c r="O197" s="1099"/>
      <c r="P197" s="1300"/>
      <c r="Q197" s="915"/>
      <c r="R197" s="1299"/>
      <c r="S197" s="1299"/>
      <c r="T197" s="919"/>
      <c r="U197" s="920"/>
      <c r="V197" s="1302" t="s">
        <v>99</v>
      </c>
      <c r="W197" s="1302"/>
      <c r="X197" s="1302"/>
      <c r="Y197" s="1302"/>
      <c r="Z197" s="1302"/>
      <c r="AA197" s="1302"/>
      <c r="AB197" s="1302"/>
      <c r="AC197" s="1302"/>
      <c r="AD197" s="1302"/>
      <c r="AE197" s="1302"/>
      <c r="AF197" s="1302"/>
      <c r="AG197" s="1302"/>
      <c r="AH197" s="1302"/>
      <c r="AI197" s="1302"/>
    </row>
    <row r="198" spans="4:63" s="59" customFormat="1" ht="11.25" customHeight="1">
      <c r="D198" s="1295"/>
      <c r="E198" s="1296"/>
      <c r="F198" s="1296"/>
      <c r="G198" s="1105"/>
      <c r="H198" s="906"/>
      <c r="I198" s="1297"/>
      <c r="J198" s="1298"/>
      <c r="K198" s="914"/>
      <c r="L198" s="1299"/>
      <c r="M198" s="1299"/>
      <c r="N198" s="906"/>
      <c r="O198" s="918"/>
      <c r="P198" s="1302" t="s">
        <v>1151</v>
      </c>
      <c r="Q198" s="1302"/>
      <c r="R198" s="1302"/>
      <c r="S198" s="1302"/>
      <c r="T198" s="1302"/>
      <c r="U198" s="1302"/>
      <c r="V198" s="1302"/>
      <c r="W198" s="1302"/>
      <c r="X198" s="1302"/>
      <c r="Y198" s="1302"/>
      <c r="Z198" s="1302"/>
      <c r="AA198" s="1302"/>
      <c r="AB198" s="1302"/>
      <c r="AC198" s="1302"/>
      <c r="AD198" s="1302"/>
      <c r="AE198" s="1302"/>
      <c r="AF198" s="1302"/>
      <c r="AG198" s="1302"/>
      <c r="AH198" s="1302"/>
      <c r="AI198" s="1302"/>
    </row>
    <row r="199" spans="4:63" s="237" customFormat="1" ht="11.25" customHeight="1">
      <c r="D199" s="1295"/>
      <c r="E199" s="1296"/>
      <c r="F199" s="1296"/>
      <c r="G199" s="1105"/>
      <c r="H199" s="921"/>
      <c r="I199" s="922"/>
      <c r="J199" s="1302" t="s">
        <v>255</v>
      </c>
      <c r="K199" s="1302"/>
      <c r="L199" s="1302"/>
      <c r="M199" s="1302"/>
      <c r="N199" s="1302"/>
      <c r="O199" s="1302"/>
      <c r="P199" s="1302"/>
      <c r="Q199" s="1302"/>
      <c r="R199" s="1302"/>
      <c r="S199" s="1302"/>
      <c r="T199" s="1302"/>
      <c r="U199" s="1302"/>
      <c r="V199" s="1302"/>
      <c r="W199" s="1302"/>
      <c r="X199" s="1302"/>
      <c r="Y199" s="1302"/>
      <c r="Z199" s="1302"/>
      <c r="AA199" s="1302"/>
      <c r="AB199" s="1302"/>
      <c r="AC199" s="1302"/>
      <c r="AD199" s="1302"/>
      <c r="AE199" s="1302"/>
      <c r="AF199" s="1302"/>
      <c r="AG199" s="1302"/>
      <c r="AH199" s="1302"/>
      <c r="AI199" s="1302"/>
      <c r="BK199" s="59"/>
    </row>
    <row r="200" spans="4:63" ht="17.25" customHeight="1">
      <c r="G200" s="900"/>
      <c r="I200" s="900"/>
      <c r="J200" s="900"/>
    </row>
    <row r="201" spans="4:63" s="59" customFormat="1" ht="15" customHeight="1">
      <c r="D201" s="1295"/>
      <c r="E201" s="1296"/>
      <c r="F201" s="1296"/>
      <c r="G201" s="1137"/>
      <c r="H201" s="249"/>
      <c r="I201" s="1133"/>
      <c r="J201" s="1115"/>
      <c r="K201" s="210"/>
      <c r="L201" s="1116"/>
      <c r="M201" s="1116"/>
      <c r="N201" s="250"/>
      <c r="O201" s="1116"/>
      <c r="P201" s="1115"/>
      <c r="Q201" s="210"/>
      <c r="R201" s="1116"/>
      <c r="S201" s="1116"/>
      <c r="T201" s="251"/>
      <c r="U201" s="1116"/>
      <c r="V201" s="1115"/>
      <c r="W201" s="211"/>
      <c r="X201" s="1116"/>
      <c r="Y201" s="1116"/>
      <c r="Z201" s="250"/>
      <c r="AA201" s="1116"/>
      <c r="AB201" s="1115"/>
      <c r="AC201" s="252"/>
      <c r="AD201" s="1116"/>
      <c r="AE201" s="1116"/>
      <c r="AF201" s="211"/>
      <c r="AG201" s="211"/>
      <c r="AH201" s="250"/>
      <c r="AI201" s="213"/>
    </row>
    <row r="202" spans="4:63" s="59" customFormat="1" ht="15" customHeight="1">
      <c r="D202" s="1295"/>
      <c r="E202" s="1296"/>
      <c r="F202" s="1296"/>
      <c r="G202" s="1137"/>
      <c r="H202" s="253"/>
      <c r="I202" s="1133"/>
      <c r="J202" s="1115"/>
      <c r="K202" s="254"/>
      <c r="L202" s="1116"/>
      <c r="M202" s="1116"/>
      <c r="N202" s="56"/>
      <c r="O202" s="1116"/>
      <c r="P202" s="1115"/>
      <c r="Q202" s="255"/>
      <c r="R202" s="1116"/>
      <c r="S202" s="1116"/>
      <c r="T202" s="256"/>
      <c r="U202" s="1116"/>
      <c r="V202" s="1115"/>
      <c r="W202" s="117"/>
      <c r="X202" s="1116"/>
      <c r="Y202" s="1116"/>
      <c r="Z202" s="56"/>
      <c r="AA202" s="1116"/>
      <c r="AB202" s="1115"/>
      <c r="AC202" s="254"/>
      <c r="AD202" s="1116"/>
      <c r="AE202" s="1116"/>
      <c r="AF202" s="215"/>
      <c r="AG202" s="215"/>
      <c r="AH202" s="1134"/>
      <c r="AI202" s="1134"/>
    </row>
    <row r="203" spans="4:63" s="59" customFormat="1" ht="15" customHeight="1">
      <c r="D203" s="1295"/>
      <c r="E203" s="1296"/>
      <c r="F203" s="1296"/>
      <c r="G203" s="1137"/>
      <c r="H203" s="253"/>
      <c r="I203" s="1133"/>
      <c r="J203" s="1115"/>
      <c r="K203" s="254"/>
      <c r="L203" s="1116"/>
      <c r="M203" s="1116"/>
      <c r="N203" s="56"/>
      <c r="O203" s="1116"/>
      <c r="P203" s="1115"/>
      <c r="Q203" s="255"/>
      <c r="R203" s="1116"/>
      <c r="S203" s="1116"/>
      <c r="T203" s="256"/>
      <c r="U203" s="1116"/>
      <c r="V203" s="1115"/>
      <c r="W203" s="117"/>
      <c r="X203" s="1116"/>
      <c r="Y203" s="1116"/>
      <c r="Z203" s="117"/>
      <c r="AA203" s="215"/>
      <c r="AB203" s="1134"/>
      <c r="AC203" s="1134"/>
      <c r="AD203" s="1134"/>
      <c r="AE203" s="1134"/>
      <c r="AF203" s="1134"/>
      <c r="AG203" s="1134"/>
      <c r="AH203" s="1134"/>
      <c r="AI203" s="1134"/>
    </row>
    <row r="204" spans="4:63" s="59" customFormat="1" ht="15" customHeight="1">
      <c r="D204" s="1295"/>
      <c r="E204" s="1296"/>
      <c r="F204" s="1296"/>
      <c r="G204" s="1137"/>
      <c r="H204" s="253"/>
      <c r="I204" s="1133"/>
      <c r="J204" s="1115"/>
      <c r="K204" s="254"/>
      <c r="L204" s="1116"/>
      <c r="M204" s="1116"/>
      <c r="N204" s="56"/>
      <c r="O204" s="1116"/>
      <c r="P204" s="1115"/>
      <c r="Q204" s="255"/>
      <c r="R204" s="1116"/>
      <c r="S204" s="1116"/>
      <c r="T204" s="257"/>
      <c r="U204" s="258"/>
      <c r="V204" s="1134"/>
      <c r="W204" s="1134"/>
      <c r="X204" s="1134"/>
      <c r="Y204" s="1134"/>
      <c r="Z204" s="1134"/>
      <c r="AA204" s="1134"/>
      <c r="AB204" s="1134"/>
      <c r="AC204" s="1134"/>
      <c r="AD204" s="1134"/>
      <c r="AE204" s="1134"/>
      <c r="AF204" s="1134"/>
      <c r="AG204" s="1134"/>
      <c r="AH204" s="1134"/>
      <c r="AI204" s="1134"/>
    </row>
    <row r="205" spans="4:63" s="59" customFormat="1" ht="11.25" customHeight="1">
      <c r="D205" s="1295"/>
      <c r="E205" s="1296"/>
      <c r="F205" s="1296"/>
      <c r="G205" s="1137"/>
      <c r="H205" s="259"/>
      <c r="I205" s="1133"/>
      <c r="J205" s="1115"/>
      <c r="K205" s="254"/>
      <c r="L205" s="1116"/>
      <c r="M205" s="1116"/>
      <c r="N205" s="215"/>
      <c r="O205" s="215"/>
      <c r="P205" s="1134"/>
      <c r="Q205" s="1134"/>
      <c r="R205" s="1134"/>
      <c r="S205" s="1134"/>
      <c r="T205" s="1134"/>
      <c r="U205" s="1134"/>
      <c r="V205" s="1134"/>
      <c r="W205" s="1134"/>
      <c r="X205" s="1134"/>
      <c r="Y205" s="1134"/>
      <c r="Z205" s="1134"/>
      <c r="AA205" s="1134"/>
      <c r="AB205" s="1134"/>
      <c r="AC205" s="1134"/>
      <c r="AD205" s="1134"/>
      <c r="AE205" s="1134"/>
      <c r="AF205" s="1134"/>
      <c r="AG205" s="1134"/>
      <c r="AH205" s="1134"/>
      <c r="AI205" s="1134"/>
    </row>
    <row r="206" spans="4:63" s="237" customFormat="1" ht="11.25" customHeight="1">
      <c r="D206" s="1295"/>
      <c r="E206" s="1296"/>
      <c r="F206" s="1296"/>
      <c r="G206" s="1137"/>
      <c r="H206" s="260"/>
      <c r="I206" s="261"/>
      <c r="J206" s="1135"/>
      <c r="K206" s="1135"/>
      <c r="L206" s="1135"/>
      <c r="M206" s="1135"/>
      <c r="N206" s="1135"/>
      <c r="O206" s="1135"/>
      <c r="P206" s="1135"/>
      <c r="Q206" s="1135"/>
      <c r="R206" s="1135"/>
      <c r="S206" s="1135"/>
      <c r="T206" s="1135"/>
      <c r="U206" s="1135"/>
      <c r="V206" s="1135"/>
      <c r="W206" s="1135"/>
      <c r="X206" s="1135"/>
      <c r="Y206" s="1135"/>
      <c r="Z206" s="1135"/>
      <c r="AA206" s="1135"/>
      <c r="AB206" s="1135"/>
      <c r="AC206" s="1135"/>
      <c r="AD206" s="1135"/>
      <c r="AE206" s="1135"/>
      <c r="AF206" s="1135"/>
      <c r="AG206" s="1135"/>
      <c r="AH206" s="1135"/>
      <c r="AI206" s="1135"/>
      <c r="BK206" s="59"/>
    </row>
    <row r="207" spans="4:63" ht="17.25" customHeight="1"/>
  </sheetData>
  <mergeCells count="285">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P194:P197"/>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L179:L181"/>
    <mergeCell ref="M179:M181"/>
    <mergeCell ref="N179:N181"/>
    <mergeCell ref="O179:O181"/>
    <mergeCell ref="P179:P180"/>
    <mergeCell ref="Q179:Q180"/>
    <mergeCell ref="R179:R180"/>
    <mergeCell ref="S179:S180"/>
    <mergeCell ref="W179:W18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D168:D172"/>
    <mergeCell ref="E168:E172"/>
    <mergeCell ref="F168:F172"/>
    <mergeCell ref="G168:G172"/>
    <mergeCell ref="H168:H171"/>
    <mergeCell ref="I168:I171"/>
    <mergeCell ref="J168:J171"/>
    <mergeCell ref="K168:K171"/>
    <mergeCell ref="L168:L170"/>
    <mergeCell ref="L157:L159"/>
    <mergeCell ref="M157:M159"/>
    <mergeCell ref="N157:N159"/>
    <mergeCell ref="O157:O159"/>
    <mergeCell ref="P157:P158"/>
    <mergeCell ref="Q157:Q158"/>
    <mergeCell ref="R157:R158"/>
    <mergeCell ref="S157:S158"/>
    <mergeCell ref="P161:P162"/>
    <mergeCell ref="Q161:Q162"/>
    <mergeCell ref="R161:R162"/>
    <mergeCell ref="S161:S162"/>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H139:H140"/>
    <mergeCell ref="I139:I140"/>
    <mergeCell ref="J139:J140"/>
    <mergeCell ref="K139:K140"/>
    <mergeCell ref="D146:D150"/>
    <mergeCell ref="E146:E150"/>
    <mergeCell ref="F146:F150"/>
    <mergeCell ref="G146:G150"/>
    <mergeCell ref="H146:H149"/>
    <mergeCell ref="I146:I149"/>
    <mergeCell ref="J146:J149"/>
    <mergeCell ref="K146:K149"/>
    <mergeCell ref="E131:E134"/>
    <mergeCell ref="F131:F134"/>
    <mergeCell ref="G131:G134"/>
    <mergeCell ref="L131:M131"/>
    <mergeCell ref="S131:S134"/>
    <mergeCell ref="H132:H133"/>
    <mergeCell ref="I132:I133"/>
    <mergeCell ref="J132:J133"/>
    <mergeCell ref="K132:K133"/>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W83:W85"/>
    <mergeCell ref="X83:X85"/>
    <mergeCell ref="Y83:Y85"/>
    <mergeCell ref="H93:H97"/>
    <mergeCell ref="I93:I97"/>
    <mergeCell ref="J93:J97"/>
    <mergeCell ref="K93:K97"/>
    <mergeCell ref="L93:L97"/>
    <mergeCell ref="M93:M97"/>
    <mergeCell ref="N83:N85"/>
    <mergeCell ref="O83:O85"/>
    <mergeCell ref="P83:P85"/>
    <mergeCell ref="Q83:Q85"/>
    <mergeCell ref="R83:R85"/>
    <mergeCell ref="S83:S85"/>
    <mergeCell ref="T83:T85"/>
    <mergeCell ref="U83:U85"/>
    <mergeCell ref="V83:V85"/>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X64:X65"/>
    <mergeCell ref="Y64:Y65"/>
    <mergeCell ref="F74:F79"/>
    <mergeCell ref="G74:G78"/>
    <mergeCell ref="H74:H78"/>
    <mergeCell ref="I74:I78"/>
    <mergeCell ref="J74:J78"/>
    <mergeCell ref="K74:K78"/>
    <mergeCell ref="L74:L78"/>
    <mergeCell ref="M74:M78"/>
    <mergeCell ref="I79:K79"/>
    <mergeCell ref="O64:O65"/>
    <mergeCell ref="P64:P65"/>
    <mergeCell ref="Q64:Q65"/>
    <mergeCell ref="R64:R65"/>
    <mergeCell ref="S64:S65"/>
    <mergeCell ref="T64:T65"/>
    <mergeCell ref="U64:U65"/>
    <mergeCell ref="V64:V65"/>
    <mergeCell ref="W64:W65"/>
    <mergeCell ref="F64:F65"/>
    <mergeCell ref="G64:G65"/>
    <mergeCell ref="H64:H65"/>
    <mergeCell ref="I64:I65"/>
    <mergeCell ref="J64:J65"/>
    <mergeCell ref="K64:K65"/>
    <mergeCell ref="L64:L65"/>
    <mergeCell ref="M64:M65"/>
    <mergeCell ref="N64:N65"/>
    <mergeCell ref="A13:A15"/>
    <mergeCell ref="D23:D25"/>
    <mergeCell ref="E23:E25"/>
    <mergeCell ref="F23:F25"/>
    <mergeCell ref="G23:G24"/>
    <mergeCell ref="H23:H24"/>
    <mergeCell ref="I23:I24"/>
    <mergeCell ref="J23:J24"/>
    <mergeCell ref="G29:G30"/>
    <mergeCell ref="H29:H30"/>
    <mergeCell ref="I29:I30"/>
    <mergeCell ref="J29:J30"/>
  </mergeCells>
  <dataValidations count="19">
    <dataValidation allowBlank="1" showInputMessage="1" showErrorMessage="1" prompt="Для выбора выполните двойной щелчок левой клавиши мыши по соответствующей ячейке."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I64:J64 T64 X64 I69:J69 T69 X69">
      <formula1>0</formula1>
      <formula2>0</formula2>
    </dataValidation>
    <dataValidation type="textLength" operator="lessThanOrEqual" allowBlank="1" showInputMessage="1" showErrorMessage="1" errorTitle="Ошибка" error="Допускается ввод не более 900 символов!"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formula1>900</formula1>
      <formula2>0</formula2>
    </dataValidation>
    <dataValidation type="textLength" operator="lessThan" allowBlank="1" showInputMessage="1" showErrorMessage="1" error="Допускается ввод не более 900 символов!" sqref="M23 M29">
      <formula1>900</formula1>
      <formula2>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formula2>0</formula2>
    </dataValidation>
    <dataValidation allowBlank="1" showInputMessage="1" showErrorMessage="1" prompt="Изменение значения по двойному щелчоку левой кнопки мыши" sqref="J48">
      <formula1>0</formula1>
      <formula2>0</formula2>
    </dataValidation>
    <dataValidation type="decimal" allowBlank="1" showErrorMessage="1" errorTitle="Ошибка" error="Допускается ввод только неотрицательных чисел!" sqref="H52:I52 K52 M52 O52 Q52 T52 X52 AB52 AC76 AE76 AC84 AE84 AC89 AE89 AC95 AE95 O132 Q132 O139 Q139 O142 Q14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46:G150 G152:G155 G157:G159 G161:G162 G164 G168:G172 G174:G177 G179:G181 G183:G184">
      <formula1>0</formula1>
      <formula2>0</formula2>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52:N154 N157:N159 N161:N162 N168:N170 N174:N176 N179:N181 N183:N184">
      <formula1>0</formula1>
      <formula2>0</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formula1>0</formula1>
      <formula2>0</formula2>
    </dataValidation>
    <dataValidation type="whole" allowBlank="1" showErrorMessage="1" errorTitle="Ошибка" error="Допускается ввод только неотрицательных целых чисел!" sqref="J52 N52 P52 R52:S52 U52:V52 Y52:Z52 AC52 AF74:AF78 AI74:AI78 AF83:AF85 AI83:AI85 AF89 AI89 AF93:AF97 AI93: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K64 K69 I74:J77 I89:J89 I93:J96">
      <formula1>"a"</formula1>
      <formula2>0</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formula2>0</formula2>
    </dataValidation>
    <dataValidation type="list" allowBlank="1" showInputMessage="1" showErrorMessage="1" errorTitle="Ошибка" error="Выберите значение из списка" prompt="Выберите значение из списка" sqref="H102">
      <formula1>QRE_METHOD_LIST</formula1>
      <formula2>0</formula2>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formula2>0</formula2>
    </dataValidation>
    <dataValidation allowBlank="1" showInputMessage="1" showErrorMessage="1" promptTitle="Ввод" prompt="Для выбора ИП необходимо два раза нажать левую кнопку мыши!" sqref="G64 G69">
      <formula1>0</formula1>
      <formula2>0</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formula2>0</formula2>
    </dataValidation>
    <dataValidation type="list" allowBlank="1" showInputMessage="1" showErrorMessage="1" sqref="I34">
      <formula1>DESCRIPTION_TERRITORY</formula1>
      <formula2>0</formula2>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formula2>0</formula2>
    </dataValidation>
  </dataValidations>
  <pageMargins left="0.75" right="0.75" top="0.875" bottom="0.875" header="0.5" footer="0.5"/>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zoomScaleNormal="100" workbookViewId="0"/>
  </sheetViews>
  <sheetFormatPr defaultColWidth="9.140625" defaultRowHeight="11.25"/>
  <cols>
    <col min="1" max="1" width="32.5703125" style="709" customWidth="1"/>
    <col min="2" max="2" width="11" style="59" customWidth="1"/>
    <col min="3" max="3" width="9.140625" style="59"/>
    <col min="4" max="4" width="26.5703125" style="59" customWidth="1"/>
    <col min="5" max="5" width="27.7109375" style="134" customWidth="1"/>
    <col min="6" max="6" width="23.5703125" style="134" customWidth="1"/>
    <col min="7" max="7" width="31.42578125" style="134" customWidth="1"/>
    <col min="8" max="8" width="40.85546875" style="134" customWidth="1"/>
    <col min="9" max="9" width="14.5703125" style="134" customWidth="1"/>
    <col min="10" max="10" width="26.85546875" style="134" customWidth="1"/>
    <col min="11" max="11" width="50" style="134" customWidth="1"/>
    <col min="12" max="12" width="52.42578125" style="134" customWidth="1"/>
    <col min="13" max="13" width="10.7109375" style="134" customWidth="1"/>
    <col min="14" max="14" width="55.140625" style="134" customWidth="1"/>
    <col min="15" max="15" width="31.85546875" style="134" customWidth="1"/>
    <col min="16" max="16" width="23.85546875" style="134" customWidth="1"/>
    <col min="17" max="17" width="46.5703125" style="134" customWidth="1"/>
    <col min="18" max="18" width="24" style="134" customWidth="1"/>
    <col min="19" max="19" width="20.5703125" style="134" customWidth="1"/>
    <col min="20" max="20" width="22" style="134" customWidth="1"/>
    <col min="21" max="22" width="26.42578125" style="134" customWidth="1"/>
    <col min="23" max="23" width="8.28515625" style="134" hidden="1" customWidth="1"/>
    <col min="24" max="24" width="59.7109375" style="134" customWidth="1"/>
    <col min="25" max="25" width="49.140625" style="134" customWidth="1"/>
    <col min="26" max="26" width="11.140625" style="134" customWidth="1"/>
    <col min="27" max="30" width="29" style="134" customWidth="1"/>
    <col min="31" max="31" width="9.140625" style="134"/>
    <col min="32" max="32" width="34.7109375" style="134" customWidth="1"/>
    <col min="33" max="33" width="9.140625" style="134"/>
    <col min="34" max="35" width="34.42578125" style="134" customWidth="1"/>
    <col min="36" max="36" width="9.140625" style="134"/>
    <col min="37" max="37" width="24.5703125" style="134" customWidth="1"/>
    <col min="38" max="38" width="9.140625" style="134"/>
    <col min="39" max="39" width="26.140625" style="134" customWidth="1"/>
    <col min="40" max="40" width="1.7109375" style="134" customWidth="1"/>
    <col min="41" max="41" width="9.140625" style="134"/>
    <col min="42" max="43" width="47.85546875" style="134" customWidth="1"/>
    <col min="44" max="44" width="1.7109375" style="134" customWidth="1"/>
    <col min="45" max="45" width="21.42578125" style="134" customWidth="1"/>
    <col min="46" max="46" width="1.7109375" style="134" customWidth="1"/>
    <col min="47" max="47" width="31.28515625" style="134" customWidth="1"/>
    <col min="48" max="48" width="1.7109375" style="134" customWidth="1"/>
    <col min="49" max="50" width="9.140625" style="134"/>
    <col min="51" max="51" width="3.7109375" style="134" customWidth="1"/>
    <col min="52" max="52" width="55" style="134" customWidth="1"/>
    <col min="53" max="53" width="9.140625" style="134"/>
    <col min="54" max="54" width="35.140625" style="134" customWidth="1"/>
    <col min="55" max="55" width="9.140625" style="134"/>
    <col min="56" max="56" width="1.7109375" style="134" customWidth="1"/>
    <col min="57" max="57" width="12.5703125" style="923" customWidth="1"/>
    <col min="58" max="58" width="14.28515625" style="923" customWidth="1"/>
    <col min="59" max="59" width="30.7109375" style="134" customWidth="1"/>
    <col min="60" max="60" width="40.7109375" style="209" customWidth="1"/>
    <col min="61" max="61" width="15" style="209" customWidth="1"/>
    <col min="62" max="62" width="40.7109375" style="209" customWidth="1"/>
    <col min="63" max="63" width="2.7109375" style="209" customWidth="1"/>
    <col min="64" max="64" width="44.7109375" style="209" customWidth="1"/>
    <col min="65" max="65" width="2.7109375" style="209" customWidth="1"/>
    <col min="66" max="66" width="40.7109375" style="209" customWidth="1"/>
    <col min="67" max="68" width="9.140625" style="134"/>
    <col min="69" max="69" width="18.140625" style="134" customWidth="1"/>
    <col min="70" max="70" width="57.85546875" style="134" customWidth="1"/>
    <col min="71" max="71" width="1.7109375" style="134" customWidth="1"/>
    <col min="72" max="72" width="22.5703125" style="134" customWidth="1"/>
    <col min="73" max="73" width="57.85546875" style="134" customWidth="1"/>
    <col min="74" max="74" width="1.7109375" style="134" customWidth="1"/>
    <col min="75" max="75" width="22.5703125" style="134" customWidth="1"/>
    <col min="76" max="76" width="57.85546875" style="134" customWidth="1"/>
    <col min="77" max="77" width="1.7109375" style="134" customWidth="1"/>
    <col min="78" max="78" width="22.5703125" style="134" customWidth="1"/>
    <col min="79" max="79" width="57.85546875" style="134" customWidth="1"/>
    <col min="80" max="81" width="9.140625" style="134"/>
    <col min="82" max="82" width="49.5703125" style="134" customWidth="1"/>
  </cols>
  <sheetData>
    <row r="1" spans="1:79" s="927" customFormat="1" ht="11.25" customHeight="1">
      <c r="A1" s="924" t="s">
        <v>1152</v>
      </c>
      <c r="B1" s="924" t="s">
        <v>1153</v>
      </c>
      <c r="C1" s="924" t="s">
        <v>1154</v>
      </c>
      <c r="D1" s="924" t="s">
        <v>1155</v>
      </c>
      <c r="E1" s="925" t="s">
        <v>1156</v>
      </c>
      <c r="F1" s="925" t="s">
        <v>1157</v>
      </c>
      <c r="G1" s="925" t="s">
        <v>1158</v>
      </c>
      <c r="H1" s="925" t="s">
        <v>1159</v>
      </c>
      <c r="I1" s="925" t="s">
        <v>1160</v>
      </c>
      <c r="J1" s="925" t="s">
        <v>1161</v>
      </c>
      <c r="K1" s="925" t="s">
        <v>1162</v>
      </c>
      <c r="L1" s="924" t="s">
        <v>1163</v>
      </c>
      <c r="M1" s="924"/>
      <c r="N1" s="924" t="s">
        <v>1164</v>
      </c>
      <c r="O1" s="925" t="s">
        <v>1165</v>
      </c>
      <c r="P1" s="925" t="s">
        <v>1166</v>
      </c>
      <c r="Q1" s="925" t="s">
        <v>1167</v>
      </c>
      <c r="R1" s="925" t="s">
        <v>1168</v>
      </c>
      <c r="S1" s="925" t="s">
        <v>1169</v>
      </c>
      <c r="T1" s="925" t="s">
        <v>1170</v>
      </c>
      <c r="U1" s="925" t="s">
        <v>1171</v>
      </c>
      <c r="V1" s="924"/>
      <c r="W1" s="926" t="s">
        <v>1172</v>
      </c>
      <c r="X1" s="925" t="s">
        <v>1173</v>
      </c>
      <c r="Y1" s="924" t="s">
        <v>1174</v>
      </c>
      <c r="Z1" s="924"/>
      <c r="AA1" s="924" t="s">
        <v>1175</v>
      </c>
      <c r="AB1" s="924"/>
      <c r="AC1" s="924" t="s">
        <v>1176</v>
      </c>
      <c r="AD1" s="924"/>
      <c r="AF1" s="925" t="s">
        <v>1177</v>
      </c>
      <c r="AH1" s="925" t="s">
        <v>1178</v>
      </c>
      <c r="AI1" s="925" t="s">
        <v>1179</v>
      </c>
      <c r="AK1" s="925" t="s">
        <v>1180</v>
      </c>
      <c r="AM1" s="925" t="s">
        <v>1181</v>
      </c>
      <c r="AP1" s="925" t="s">
        <v>1182</v>
      </c>
      <c r="AQ1" s="925" t="s">
        <v>1183</v>
      </c>
      <c r="AS1" s="925" t="s">
        <v>1184</v>
      </c>
      <c r="AU1" s="925" t="s">
        <v>1185</v>
      </c>
      <c r="AW1" s="924" t="s">
        <v>1186</v>
      </c>
      <c r="AX1" s="924" t="s">
        <v>1187</v>
      </c>
      <c r="AZ1" s="928" t="s">
        <v>1188</v>
      </c>
      <c r="BB1" s="925" t="s">
        <v>1189</v>
      </c>
      <c r="BC1" s="924"/>
      <c r="BE1" s="924" t="s">
        <v>1190</v>
      </c>
      <c r="BF1" s="924" t="s">
        <v>1191</v>
      </c>
      <c r="BH1" s="929" t="s">
        <v>702</v>
      </c>
      <c r="BI1" s="209"/>
      <c r="BJ1" s="930" t="s">
        <v>1192</v>
      </c>
      <c r="BK1" s="209"/>
      <c r="BL1" s="931" t="s">
        <v>800</v>
      </c>
      <c r="BM1" s="209"/>
      <c r="BN1" s="932" t="s">
        <v>1193</v>
      </c>
    </row>
    <row r="2" spans="1:79" ht="11.25" customHeight="1">
      <c r="A2" s="134" t="s">
        <v>1194</v>
      </c>
      <c r="B2" s="933">
        <v>2000</v>
      </c>
      <c r="C2" s="933">
        <v>2022</v>
      </c>
      <c r="D2" s="933" t="s">
        <v>63</v>
      </c>
      <c r="E2" s="934" t="s">
        <v>1195</v>
      </c>
      <c r="F2" s="934" t="s">
        <v>1196</v>
      </c>
      <c r="G2" s="934" t="s">
        <v>1197</v>
      </c>
      <c r="H2" s="934" t="s">
        <v>51</v>
      </c>
      <c r="I2" s="934" t="s">
        <v>105</v>
      </c>
      <c r="J2" s="934" t="s">
        <v>1198</v>
      </c>
      <c r="K2" s="935" t="s">
        <v>1199</v>
      </c>
      <c r="L2" s="935"/>
      <c r="M2" s="935">
        <v>1</v>
      </c>
      <c r="N2" s="936" t="s">
        <v>1200</v>
      </c>
      <c r="O2" s="934" t="s">
        <v>1201</v>
      </c>
      <c r="P2" s="937" t="s">
        <v>32</v>
      </c>
      <c r="Q2" s="938" t="s">
        <v>506</v>
      </c>
      <c r="R2" s="939" t="s">
        <v>1202</v>
      </c>
      <c r="S2" s="939" t="s">
        <v>1203</v>
      </c>
      <c r="T2" s="940" t="s">
        <v>1204</v>
      </c>
      <c r="U2" s="935" t="s">
        <v>1205</v>
      </c>
      <c r="V2" s="941">
        <v>1</v>
      </c>
      <c r="W2" s="942"/>
      <c r="X2" s="942" t="s">
        <v>1206</v>
      </c>
      <c r="Y2" s="933" t="s">
        <v>1207</v>
      </c>
      <c r="Z2" s="943"/>
      <c r="AA2" s="933" t="s">
        <v>1208</v>
      </c>
      <c r="AB2" s="944" t="s">
        <v>1208</v>
      </c>
      <c r="AC2" s="933" t="s">
        <v>1209</v>
      </c>
      <c r="AD2" s="944" t="s">
        <v>1209</v>
      </c>
      <c r="AF2" s="934" t="s">
        <v>1205</v>
      </c>
      <c r="AH2" s="934" t="s">
        <v>1210</v>
      </c>
      <c r="AI2" s="934" t="s">
        <v>1210</v>
      </c>
      <c r="AK2" s="934" t="s">
        <v>1211</v>
      </c>
      <c r="AM2" s="934" t="s">
        <v>1212</v>
      </c>
      <c r="AP2" s="605" t="s">
        <v>1206</v>
      </c>
      <c r="AQ2" s="945" t="s">
        <v>1206</v>
      </c>
      <c r="AS2" s="933" t="s">
        <v>1213</v>
      </c>
      <c r="AU2" s="946" t="s">
        <v>1214</v>
      </c>
      <c r="AW2" s="946" t="s">
        <v>1215</v>
      </c>
      <c r="AX2" s="946" t="s">
        <v>1215</v>
      </c>
      <c r="AZ2" s="946" t="s">
        <v>1216</v>
      </c>
      <c r="BB2" s="946" t="s">
        <v>1217</v>
      </c>
      <c r="BC2" s="946" t="s">
        <v>1218</v>
      </c>
      <c r="BE2" s="946">
        <v>2000</v>
      </c>
      <c r="BF2" s="946" t="s">
        <v>1219</v>
      </c>
    </row>
    <row r="3" spans="1:79" ht="11.25" customHeight="1">
      <c r="A3" s="134" t="s">
        <v>1220</v>
      </c>
      <c r="B3" s="933">
        <v>2001</v>
      </c>
      <c r="C3" s="933">
        <v>2023</v>
      </c>
      <c r="D3" s="933" t="s">
        <v>53</v>
      </c>
      <c r="E3" s="934" t="s">
        <v>1221</v>
      </c>
      <c r="F3" s="934" t="s">
        <v>1222</v>
      </c>
      <c r="G3" s="934" t="s">
        <v>1223</v>
      </c>
      <c r="H3" s="934" t="s">
        <v>1224</v>
      </c>
      <c r="I3" s="934" t="s">
        <v>106</v>
      </c>
      <c r="J3" s="934" t="s">
        <v>536</v>
      </c>
      <c r="K3" s="935" t="s">
        <v>1225</v>
      </c>
      <c r="L3" s="935">
        <f>IFERROR(MATCH(K3,OFFER_METHOD,0),0)</f>
        <v>0</v>
      </c>
      <c r="M3" s="935">
        <v>2</v>
      </c>
      <c r="N3" s="936" t="s">
        <v>1226</v>
      </c>
      <c r="O3" s="934" t="s">
        <v>1227</v>
      </c>
      <c r="P3" s="937" t="s">
        <v>1228</v>
      </c>
      <c r="Q3" s="938" t="s">
        <v>1229</v>
      </c>
      <c r="R3" s="939" t="s">
        <v>1230</v>
      </c>
      <c r="S3" s="939" t="s">
        <v>1231</v>
      </c>
      <c r="T3" s="940" t="s">
        <v>1232</v>
      </c>
      <c r="U3" s="935" t="s">
        <v>1233</v>
      </c>
      <c r="V3" s="941">
        <v>2</v>
      </c>
      <c r="W3" s="942"/>
      <c r="X3" s="942" t="s">
        <v>1234</v>
      </c>
      <c r="Y3" s="933" t="s">
        <v>1207</v>
      </c>
      <c r="Z3" s="943"/>
      <c r="AA3" s="933" t="s">
        <v>1235</v>
      </c>
      <c r="AB3" s="944" t="s">
        <v>1235</v>
      </c>
      <c r="AC3" s="933" t="s">
        <v>1236</v>
      </c>
      <c r="AD3" s="944" t="s">
        <v>1236</v>
      </c>
      <c r="AF3" s="934" t="s">
        <v>1233</v>
      </c>
      <c r="AH3" s="934" t="s">
        <v>1237</v>
      </c>
      <c r="AI3" s="934" t="s">
        <v>1238</v>
      </c>
      <c r="AK3" s="934" t="s">
        <v>1239</v>
      </c>
      <c r="AM3" s="934" t="s">
        <v>1240</v>
      </c>
      <c r="AP3" s="605" t="s">
        <v>1241</v>
      </c>
      <c r="AQ3" s="945" t="s">
        <v>1241</v>
      </c>
      <c r="AS3" s="933" t="s">
        <v>1242</v>
      </c>
      <c r="AU3" s="946" t="s">
        <v>1243</v>
      </c>
      <c r="AW3" s="946" t="s">
        <v>1244</v>
      </c>
      <c r="AX3" s="946" t="s">
        <v>1244</v>
      </c>
      <c r="AZ3" s="946" t="s">
        <v>1245</v>
      </c>
      <c r="BB3" s="946" t="s">
        <v>1246</v>
      </c>
      <c r="BC3" s="946" t="s">
        <v>1218</v>
      </c>
      <c r="BE3" s="946">
        <v>2001</v>
      </c>
      <c r="BF3" s="946" t="s">
        <v>1247</v>
      </c>
      <c r="BH3" s="924" t="s">
        <v>1248</v>
      </c>
      <c r="BJ3" s="924" t="s">
        <v>1249</v>
      </c>
      <c r="BL3" s="924" t="s">
        <v>1250</v>
      </c>
      <c r="BN3" s="924" t="s">
        <v>1251</v>
      </c>
      <c r="BR3" s="924" t="s">
        <v>1252</v>
      </c>
      <c r="BS3" s="947"/>
      <c r="BT3" s="209"/>
      <c r="BU3" s="924" t="s">
        <v>1253</v>
      </c>
      <c r="BV3" s="209"/>
      <c r="BW3" s="59"/>
      <c r="BX3" s="924" t="s">
        <v>1254</v>
      </c>
      <c r="CA3" s="924" t="s">
        <v>1255</v>
      </c>
    </row>
    <row r="4" spans="1:79" ht="11.25" customHeight="1">
      <c r="A4" s="134" t="s">
        <v>1256</v>
      </c>
      <c r="B4" s="933">
        <v>2002</v>
      </c>
      <c r="C4" s="933">
        <v>2024</v>
      </c>
      <c r="E4" s="934" t="s">
        <v>1257</v>
      </c>
      <c r="F4" s="934" t="s">
        <v>1258</v>
      </c>
      <c r="H4" s="934" t="s">
        <v>1259</v>
      </c>
      <c r="I4" s="934" t="s">
        <v>86</v>
      </c>
      <c r="J4" s="934" t="s">
        <v>1260</v>
      </c>
      <c r="K4" s="935" t="s">
        <v>1261</v>
      </c>
      <c r="L4" s="935">
        <f>IFERROR(MATCH(K4,OFFER_METHOD,0),0)</f>
        <v>0</v>
      </c>
      <c r="M4" s="935">
        <v>3</v>
      </c>
      <c r="N4" s="936" t="s">
        <v>1262</v>
      </c>
      <c r="O4" s="934" t="s">
        <v>1263</v>
      </c>
      <c r="Q4" s="938" t="s">
        <v>1264</v>
      </c>
      <c r="R4" s="939" t="s">
        <v>1265</v>
      </c>
      <c r="S4" s="939" t="s">
        <v>1266</v>
      </c>
      <c r="T4" s="940" t="s">
        <v>1267</v>
      </c>
      <c r="U4" s="935" t="s">
        <v>1268</v>
      </c>
      <c r="V4" s="941">
        <v>3</v>
      </c>
      <c r="W4" s="942"/>
      <c r="X4" s="942" t="s">
        <v>1269</v>
      </c>
      <c r="Y4" s="933" t="s">
        <v>1207</v>
      </c>
      <c r="Z4" s="100"/>
      <c r="AC4" s="933" t="s">
        <v>1270</v>
      </c>
      <c r="AD4" s="944" t="s">
        <v>1270</v>
      </c>
      <c r="AF4" s="934" t="s">
        <v>1268</v>
      </c>
      <c r="AH4" s="934" t="s">
        <v>1271</v>
      </c>
      <c r="AK4" s="934" t="s">
        <v>1272</v>
      </c>
      <c r="AM4" s="934" t="s">
        <v>1273</v>
      </c>
      <c r="AP4" s="605" t="s">
        <v>1234</v>
      </c>
      <c r="AQ4" s="945" t="s">
        <v>1234</v>
      </c>
      <c r="AS4" s="933" t="s">
        <v>1274</v>
      </c>
      <c r="AU4" s="946" t="s">
        <v>1275</v>
      </c>
      <c r="AW4" s="946" t="s">
        <v>1276</v>
      </c>
      <c r="AX4" s="946" t="s">
        <v>1276</v>
      </c>
      <c r="AZ4" s="946" t="s">
        <v>1277</v>
      </c>
      <c r="BB4" s="946" t="s">
        <v>1278</v>
      </c>
      <c r="BC4" s="946" t="s">
        <v>1279</v>
      </c>
      <c r="BE4" s="946">
        <v>2002</v>
      </c>
      <c r="BF4" s="946" t="s">
        <v>1280</v>
      </c>
      <c r="BH4" s="948" t="s">
        <v>1281</v>
      </c>
      <c r="BJ4" s="948" t="s">
        <v>1281</v>
      </c>
      <c r="BL4" s="948" t="s">
        <v>1281</v>
      </c>
      <c r="BN4" s="948" t="s">
        <v>1281</v>
      </c>
      <c r="BQ4" s="949" t="s">
        <v>1282</v>
      </c>
      <c r="BR4" s="605" t="s">
        <v>1283</v>
      </c>
      <c r="BS4" s="605"/>
      <c r="BT4" s="949" t="s">
        <v>1284</v>
      </c>
      <c r="BU4" s="605" t="s">
        <v>1285</v>
      </c>
      <c r="BV4" s="209"/>
      <c r="BW4" s="949" t="s">
        <v>1286</v>
      </c>
      <c r="BX4" s="605" t="s">
        <v>1287</v>
      </c>
      <c r="BZ4" s="949" t="s">
        <v>1288</v>
      </c>
      <c r="CA4" s="605" t="s">
        <v>1289</v>
      </c>
    </row>
    <row r="5" spans="1:79" ht="11.25" customHeight="1">
      <c r="A5" s="134" t="s">
        <v>1290</v>
      </c>
      <c r="B5" s="933">
        <v>2003</v>
      </c>
      <c r="C5" s="933">
        <v>2025</v>
      </c>
      <c r="E5" s="934" t="s">
        <v>1291</v>
      </c>
      <c r="F5" s="934" t="s">
        <v>1292</v>
      </c>
      <c r="H5" s="934" t="s">
        <v>1293</v>
      </c>
      <c r="I5" s="934" t="s">
        <v>87</v>
      </c>
      <c r="K5" s="935" t="s">
        <v>1294</v>
      </c>
      <c r="L5" s="935">
        <f>IFERROR(MATCH(K5,OFFER_METHOD,0),0)</f>
        <v>0</v>
      </c>
      <c r="M5" s="935">
        <v>4</v>
      </c>
      <c r="N5" s="950" t="s">
        <v>1295</v>
      </c>
      <c r="O5" s="934" t="s">
        <v>1296</v>
      </c>
      <c r="Q5" s="938" t="s">
        <v>1297</v>
      </c>
      <c r="R5" s="939" t="s">
        <v>1298</v>
      </c>
      <c r="T5" s="934" t="s">
        <v>1299</v>
      </c>
      <c r="U5" s="935" t="s">
        <v>1300</v>
      </c>
      <c r="V5" s="941">
        <v>4</v>
      </c>
      <c r="W5" s="942"/>
      <c r="X5" s="942" t="s">
        <v>162</v>
      </c>
      <c r="Y5" s="933" t="s">
        <v>1301</v>
      </c>
      <c r="Z5" s="100">
        <v>1</v>
      </c>
      <c r="AF5" s="934" t="s">
        <v>1302</v>
      </c>
      <c r="AH5" s="934" t="s">
        <v>1303</v>
      </c>
      <c r="AK5" s="934" t="s">
        <v>1304</v>
      </c>
      <c r="AM5" s="934" t="s">
        <v>1305</v>
      </c>
      <c r="AP5" s="605" t="s">
        <v>162</v>
      </c>
      <c r="AQ5" s="945" t="s">
        <v>162</v>
      </c>
      <c r="AU5" s="946" t="s">
        <v>1306</v>
      </c>
      <c r="AW5" s="946" t="s">
        <v>1307</v>
      </c>
      <c r="AX5" s="946" t="s">
        <v>1307</v>
      </c>
      <c r="AZ5" s="946" t="s">
        <v>1308</v>
      </c>
      <c r="BB5" s="946" t="s">
        <v>1309</v>
      </c>
      <c r="BC5" s="946" t="s">
        <v>1310</v>
      </c>
      <c r="BE5" s="946">
        <v>2003</v>
      </c>
      <c r="BF5" s="946" t="s">
        <v>1311</v>
      </c>
      <c r="BH5" s="948" t="s">
        <v>1312</v>
      </c>
      <c r="BJ5" s="948" t="s">
        <v>1312</v>
      </c>
      <c r="BL5" s="948" t="s">
        <v>1312</v>
      </c>
      <c r="BN5" s="948" t="s">
        <v>1313</v>
      </c>
      <c r="BQ5" s="946">
        <v>4213775</v>
      </c>
      <c r="BR5" s="948" t="s">
        <v>1206</v>
      </c>
      <c r="BS5" s="951"/>
      <c r="BT5" s="946">
        <v>64236871</v>
      </c>
      <c r="BU5" s="948" t="s">
        <v>211</v>
      </c>
      <c r="BV5" s="209"/>
      <c r="BW5" s="946">
        <v>4213767</v>
      </c>
      <c r="BX5" s="948" t="s">
        <v>1314</v>
      </c>
      <c r="BZ5" s="946">
        <v>64237509</v>
      </c>
      <c r="CA5" s="952" t="s">
        <v>1315</v>
      </c>
    </row>
    <row r="6" spans="1:79" ht="11.25" customHeight="1">
      <c r="A6" s="134" t="s">
        <v>1316</v>
      </c>
      <c r="B6" s="933">
        <v>2004</v>
      </c>
      <c r="C6" s="933">
        <v>2026</v>
      </c>
      <c r="E6" s="934" t="s">
        <v>1317</v>
      </c>
      <c r="F6" s="174"/>
      <c r="H6" s="934" t="s">
        <v>1318</v>
      </c>
      <c r="I6" s="934" t="s">
        <v>107</v>
      </c>
      <c r="J6" s="924" t="s">
        <v>1319</v>
      </c>
      <c r="L6" s="935">
        <f>SUM(kind_of_control_method_filter)</f>
        <v>0</v>
      </c>
      <c r="N6" s="950" t="s">
        <v>1320</v>
      </c>
      <c r="O6" s="934" t="s">
        <v>1321</v>
      </c>
      <c r="R6" s="939" t="s">
        <v>506</v>
      </c>
      <c r="T6" s="934" t="s">
        <v>1322</v>
      </c>
      <c r="U6" s="935" t="s">
        <v>1302</v>
      </c>
      <c r="V6" s="941">
        <v>5</v>
      </c>
      <c r="W6" s="942"/>
      <c r="X6" s="933" t="s">
        <v>168</v>
      </c>
      <c r="Y6" s="933" t="s">
        <v>1323</v>
      </c>
      <c r="Z6" s="100"/>
      <c r="AA6" s="636"/>
      <c r="AH6" s="934" t="s">
        <v>1324</v>
      </c>
      <c r="AK6" s="934" t="s">
        <v>1325</v>
      </c>
      <c r="AM6" s="934" t="s">
        <v>1326</v>
      </c>
      <c r="AP6" s="605" t="s">
        <v>168</v>
      </c>
      <c r="AQ6" s="945" t="s">
        <v>168</v>
      </c>
      <c r="AU6" s="946" t="s">
        <v>1327</v>
      </c>
      <c r="AW6" s="946" t="s">
        <v>1328</v>
      </c>
      <c r="AX6" s="946" t="s">
        <v>1328</v>
      </c>
      <c r="BB6" s="946" t="s">
        <v>1329</v>
      </c>
      <c r="BC6" s="946" t="s">
        <v>1310</v>
      </c>
      <c r="BE6" s="946">
        <v>2004</v>
      </c>
      <c r="BF6" s="946" t="s">
        <v>1330</v>
      </c>
      <c r="BH6" s="948" t="s">
        <v>1331</v>
      </c>
      <c r="BJ6" s="948" t="s">
        <v>1332</v>
      </c>
      <c r="BL6" s="948" t="s">
        <v>1332</v>
      </c>
      <c r="BN6" s="948" t="s">
        <v>1333</v>
      </c>
      <c r="BQ6" s="946">
        <v>4213784</v>
      </c>
      <c r="BR6" s="952" t="s">
        <v>1241</v>
      </c>
      <c r="BS6" s="953"/>
      <c r="BT6" s="946">
        <v>64236872</v>
      </c>
      <c r="BU6" s="948" t="s">
        <v>216</v>
      </c>
      <c r="BV6" s="209"/>
      <c r="BW6" s="946">
        <v>4213768</v>
      </c>
      <c r="BX6" s="948" t="s">
        <v>236</v>
      </c>
      <c r="BZ6" s="946">
        <v>64237510</v>
      </c>
      <c r="CA6" s="948" t="s">
        <v>1334</v>
      </c>
    </row>
    <row r="7" spans="1:79" ht="11.25" customHeight="1">
      <c r="A7" s="134" t="s">
        <v>1335</v>
      </c>
      <c r="B7" s="933">
        <v>2005</v>
      </c>
      <c r="E7" s="934" t="s">
        <v>1336</v>
      </c>
      <c r="F7" s="174"/>
      <c r="H7" s="934" t="s">
        <v>1337</v>
      </c>
      <c r="I7" s="934" t="s">
        <v>88</v>
      </c>
      <c r="J7" s="934" t="s">
        <v>1338</v>
      </c>
      <c r="N7" s="954" t="s">
        <v>1339</v>
      </c>
      <c r="O7" s="934" t="s">
        <v>1340</v>
      </c>
      <c r="U7" s="935" t="s">
        <v>53</v>
      </c>
      <c r="V7" s="955" t="s">
        <v>88</v>
      </c>
      <c r="W7" s="942"/>
      <c r="X7" s="933" t="s">
        <v>174</v>
      </c>
      <c r="Y7" s="933" t="s">
        <v>1301</v>
      </c>
      <c r="Z7" s="100"/>
      <c r="AA7" s="636"/>
      <c r="AH7" s="934" t="s">
        <v>1341</v>
      </c>
      <c r="AK7" s="934" t="s">
        <v>1342</v>
      </c>
      <c r="AM7" s="934" t="s">
        <v>1343</v>
      </c>
      <c r="AP7" s="605" t="s">
        <v>174</v>
      </c>
      <c r="AQ7" s="945" t="s">
        <v>174</v>
      </c>
      <c r="AU7" s="946" t="s">
        <v>1344</v>
      </c>
      <c r="AW7" s="946" t="s">
        <v>1345</v>
      </c>
      <c r="AX7" s="946" t="s">
        <v>1345</v>
      </c>
      <c r="AZ7" s="924" t="s">
        <v>1346</v>
      </c>
      <c r="BB7" s="946" t="s">
        <v>1347</v>
      </c>
      <c r="BC7" s="946" t="s">
        <v>1310</v>
      </c>
      <c r="BE7" s="946">
        <v>2005</v>
      </c>
      <c r="BF7" s="946" t="s">
        <v>1348</v>
      </c>
      <c r="BH7" s="948" t="s">
        <v>1349</v>
      </c>
      <c r="BJ7" s="948" t="s">
        <v>1331</v>
      </c>
      <c r="BL7" s="948" t="s">
        <v>1331</v>
      </c>
      <c r="BN7" s="948" t="s">
        <v>1350</v>
      </c>
      <c r="BQ7" s="946">
        <v>4213781</v>
      </c>
      <c r="BR7" s="948" t="s">
        <v>1234</v>
      </c>
      <c r="BS7" s="951"/>
      <c r="BT7" s="946">
        <v>64236873</v>
      </c>
      <c r="BU7" s="948" t="s">
        <v>221</v>
      </c>
      <c r="BV7" s="209"/>
      <c r="BW7" s="946">
        <v>4213769</v>
      </c>
      <c r="BX7" s="948" t="s">
        <v>1351</v>
      </c>
      <c r="BZ7" s="946">
        <v>64237511</v>
      </c>
      <c r="CA7" s="948" t="s">
        <v>256</v>
      </c>
    </row>
    <row r="8" spans="1:79" ht="11.25" customHeight="1">
      <c r="A8" s="134" t="s">
        <v>1352</v>
      </c>
      <c r="B8" s="933">
        <v>2006</v>
      </c>
      <c r="E8" s="934" t="s">
        <v>1353</v>
      </c>
      <c r="F8" s="174"/>
      <c r="I8" s="934" t="s">
        <v>89</v>
      </c>
      <c r="J8" s="934" t="s">
        <v>1354</v>
      </c>
      <c r="N8" s="956" t="s">
        <v>1355</v>
      </c>
      <c r="O8" s="934" t="s">
        <v>1356</v>
      </c>
      <c r="V8" s="955" t="s">
        <v>89</v>
      </c>
      <c r="W8" s="942"/>
      <c r="X8" s="933" t="s">
        <v>180</v>
      </c>
      <c r="Y8" s="933" t="s">
        <v>1301</v>
      </c>
      <c r="Z8" s="100"/>
      <c r="AA8" s="636"/>
      <c r="AK8" s="934" t="s">
        <v>1357</v>
      </c>
      <c r="AP8" s="605" t="s">
        <v>180</v>
      </c>
      <c r="AQ8" s="945" t="s">
        <v>180</v>
      </c>
      <c r="AU8" s="946" t="s">
        <v>1358</v>
      </c>
      <c r="AW8" s="946" t="s">
        <v>1359</v>
      </c>
      <c r="AX8" s="946" t="s">
        <v>1359</v>
      </c>
      <c r="AZ8" s="946" t="s">
        <v>1360</v>
      </c>
      <c r="BB8" s="946" t="s">
        <v>1361</v>
      </c>
      <c r="BC8" s="946" t="s">
        <v>1310</v>
      </c>
      <c r="BE8" s="946">
        <v>2006</v>
      </c>
      <c r="BF8" s="946" t="s">
        <v>1362</v>
      </c>
      <c r="BH8" s="948" t="s">
        <v>1363</v>
      </c>
      <c r="BJ8" s="948" t="s">
        <v>1364</v>
      </c>
      <c r="BL8" s="948" t="s">
        <v>1364</v>
      </c>
      <c r="BN8" s="948" t="s">
        <v>1365</v>
      </c>
      <c r="BQ8" s="946">
        <v>4213776</v>
      </c>
      <c r="BR8" s="948" t="s">
        <v>162</v>
      </c>
      <c r="BS8" s="951"/>
      <c r="BT8" s="946">
        <v>64236874</v>
      </c>
      <c r="BU8" s="952" t="s">
        <v>1366</v>
      </c>
      <c r="BV8" s="209"/>
      <c r="BW8" s="946">
        <v>4213770</v>
      </c>
      <c r="BX8" s="952" t="s">
        <v>1367</v>
      </c>
      <c r="BZ8" s="946">
        <v>64237512</v>
      </c>
      <c r="CA8" s="948" t="s">
        <v>246</v>
      </c>
    </row>
    <row r="9" spans="1:79" ht="11.25" customHeight="1">
      <c r="A9" s="134" t="s">
        <v>1368</v>
      </c>
      <c r="B9" s="933">
        <v>2007</v>
      </c>
      <c r="E9" s="934" t="s">
        <v>1369</v>
      </c>
      <c r="F9" s="174"/>
      <c r="G9" s="925" t="s">
        <v>1370</v>
      </c>
      <c r="H9" s="925" t="s">
        <v>1371</v>
      </c>
      <c r="I9" s="934" t="s">
        <v>108</v>
      </c>
      <c r="O9" s="934" t="s">
        <v>1372</v>
      </c>
      <c r="V9" s="955" t="s">
        <v>108</v>
      </c>
      <c r="W9" s="942"/>
      <c r="X9" s="933" t="s">
        <v>186</v>
      </c>
      <c r="Y9" s="933" t="s">
        <v>1207</v>
      </c>
      <c r="Z9" s="100">
        <v>1</v>
      </c>
      <c r="AA9" s="636"/>
      <c r="AK9" s="934" t="s">
        <v>1373</v>
      </c>
      <c r="AP9" s="605" t="s">
        <v>1374</v>
      </c>
      <c r="AQ9" s="945" t="s">
        <v>1374</v>
      </c>
      <c r="AW9" s="946" t="s">
        <v>1375</v>
      </c>
      <c r="AX9" s="946" t="s">
        <v>1375</v>
      </c>
      <c r="AZ9" s="946" t="s">
        <v>1376</v>
      </c>
      <c r="BB9" s="946" t="s">
        <v>1377</v>
      </c>
      <c r="BC9" s="946" t="s">
        <v>1310</v>
      </c>
      <c r="BE9" s="946">
        <v>2007</v>
      </c>
      <c r="BF9" s="946" t="s">
        <v>1378</v>
      </c>
      <c r="BH9" s="948" t="s">
        <v>1379</v>
      </c>
      <c r="BJ9" s="948" t="s">
        <v>1380</v>
      </c>
      <c r="BL9" s="948" t="s">
        <v>1380</v>
      </c>
      <c r="BN9" s="948" t="s">
        <v>1381</v>
      </c>
      <c r="BQ9" s="946">
        <v>4213777</v>
      </c>
      <c r="BR9" s="948" t="s">
        <v>168</v>
      </c>
      <c r="BS9" s="951"/>
      <c r="BT9" s="946">
        <v>64236875</v>
      </c>
      <c r="BU9" s="948" t="s">
        <v>226</v>
      </c>
      <c r="BV9" s="209"/>
      <c r="BW9" s="59"/>
      <c r="BX9" s="59"/>
    </row>
    <row r="10" spans="1:79" ht="11.25" customHeight="1">
      <c r="A10" s="134" t="s">
        <v>1382</v>
      </c>
      <c r="B10" s="933">
        <v>2008</v>
      </c>
      <c r="E10" s="934" t="s">
        <v>1383</v>
      </c>
      <c r="F10" s="174"/>
      <c r="G10" s="934" t="s">
        <v>1384</v>
      </c>
      <c r="H10" s="934" t="s">
        <v>1385</v>
      </c>
      <c r="I10" s="934" t="s">
        <v>144</v>
      </c>
      <c r="J10" s="924" t="s">
        <v>1386</v>
      </c>
      <c r="K10" s="924" t="s">
        <v>1387</v>
      </c>
      <c r="O10" s="934" t="s">
        <v>1388</v>
      </c>
      <c r="V10" s="957" t="s">
        <v>144</v>
      </c>
      <c r="W10" s="958"/>
      <c r="X10" s="958" t="s">
        <v>1389</v>
      </c>
      <c r="Y10" s="959" t="s">
        <v>1390</v>
      </c>
      <c r="Z10" s="100"/>
      <c r="AP10" s="605" t="s">
        <v>1389</v>
      </c>
      <c r="AQ10" s="945" t="s">
        <v>1389</v>
      </c>
      <c r="AW10" s="946" t="s">
        <v>1391</v>
      </c>
      <c r="AX10" s="946" t="s">
        <v>1391</v>
      </c>
      <c r="AZ10" s="946" t="s">
        <v>1392</v>
      </c>
      <c r="BB10" s="946" t="s">
        <v>1393</v>
      </c>
      <c r="BC10" s="946" t="s">
        <v>1310</v>
      </c>
      <c r="BE10" s="946">
        <v>2008</v>
      </c>
      <c r="BF10" s="946" t="s">
        <v>1394</v>
      </c>
      <c r="BH10" s="948" t="s">
        <v>1395</v>
      </c>
      <c r="BJ10" s="948" t="s">
        <v>1396</v>
      </c>
      <c r="BL10" s="948" t="s">
        <v>1396</v>
      </c>
      <c r="BN10" s="948" t="s">
        <v>1397</v>
      </c>
      <c r="BQ10" s="946">
        <v>4213778</v>
      </c>
      <c r="BR10" s="948" t="s">
        <v>174</v>
      </c>
      <c r="BS10" s="951"/>
      <c r="BT10" s="946">
        <v>64236876</v>
      </c>
      <c r="BU10" s="948" t="s">
        <v>206</v>
      </c>
      <c r="BV10" s="209"/>
      <c r="BW10" s="59"/>
      <c r="BX10" s="59"/>
    </row>
    <row r="11" spans="1:79" ht="11.25" customHeight="1">
      <c r="A11" s="134" t="s">
        <v>1398</v>
      </c>
      <c r="B11" s="933">
        <v>2009</v>
      </c>
      <c r="E11" s="934" t="s">
        <v>1399</v>
      </c>
      <c r="F11" s="174"/>
      <c r="G11" s="934" t="s">
        <v>1400</v>
      </c>
      <c r="H11" s="934" t="s">
        <v>1401</v>
      </c>
      <c r="I11" s="934" t="s">
        <v>145</v>
      </c>
      <c r="J11" s="934" t="s">
        <v>1402</v>
      </c>
      <c r="K11" s="960" t="s">
        <v>1403</v>
      </c>
      <c r="O11" s="934" t="s">
        <v>1404</v>
      </c>
      <c r="V11" s="955" t="s">
        <v>145</v>
      </c>
      <c r="W11" s="961"/>
      <c r="X11" s="942" t="s">
        <v>1374</v>
      </c>
      <c r="Y11" s="933" t="s">
        <v>1405</v>
      </c>
      <c r="Z11" s="100"/>
      <c r="AP11" s="605" t="s">
        <v>186</v>
      </c>
      <c r="AQ11" s="962" t="s">
        <v>186</v>
      </c>
      <c r="AW11" s="946" t="s">
        <v>1406</v>
      </c>
      <c r="AX11" s="946" t="s">
        <v>1406</v>
      </c>
      <c r="AZ11" s="946" t="s">
        <v>1407</v>
      </c>
      <c r="BB11" s="946" t="s">
        <v>1408</v>
      </c>
      <c r="BC11" s="946" t="s">
        <v>1310</v>
      </c>
      <c r="BE11" s="946">
        <v>2009</v>
      </c>
      <c r="BF11" s="946" t="s">
        <v>1409</v>
      </c>
      <c r="BH11" s="948" t="s">
        <v>1410</v>
      </c>
      <c r="BJ11" s="948" t="s">
        <v>1379</v>
      </c>
      <c r="BL11" s="948" t="s">
        <v>1379</v>
      </c>
      <c r="BN11" s="948" t="s">
        <v>1411</v>
      </c>
      <c r="BQ11" s="946">
        <v>4213780</v>
      </c>
      <c r="BR11" s="948" t="s">
        <v>180</v>
      </c>
      <c r="BS11" s="951"/>
      <c r="BW11" s="59"/>
      <c r="BX11" s="59"/>
    </row>
    <row r="12" spans="1:79" ht="11.25" customHeight="1">
      <c r="A12" s="134" t="s">
        <v>1412</v>
      </c>
      <c r="B12" s="933">
        <v>2010</v>
      </c>
      <c r="E12" s="934" t="s">
        <v>1413</v>
      </c>
      <c r="F12" s="174"/>
      <c r="G12" s="934" t="s">
        <v>1401</v>
      </c>
      <c r="I12" s="934" t="s">
        <v>146</v>
      </c>
      <c r="J12" s="934" t="s">
        <v>1414</v>
      </c>
      <c r="K12" s="960" t="s">
        <v>1415</v>
      </c>
      <c r="O12" s="934" t="s">
        <v>506</v>
      </c>
      <c r="V12" s="955" t="s">
        <v>146</v>
      </c>
      <c r="W12" s="962"/>
      <c r="X12" s="942" t="s">
        <v>1416</v>
      </c>
      <c r="Y12" s="933" t="s">
        <v>1207</v>
      </c>
      <c r="AP12" s="605"/>
      <c r="AW12" s="946" t="s">
        <v>145</v>
      </c>
      <c r="AX12" s="946" t="s">
        <v>145</v>
      </c>
      <c r="AZ12" s="946" t="s">
        <v>1417</v>
      </c>
      <c r="BB12" s="946" t="s">
        <v>1418</v>
      </c>
      <c r="BC12" s="946" t="s">
        <v>1310</v>
      </c>
      <c r="BE12" s="946">
        <v>2010</v>
      </c>
      <c r="BF12" s="946" t="s">
        <v>1419</v>
      </c>
      <c r="BH12" s="948" t="s">
        <v>1420</v>
      </c>
      <c r="BJ12" s="948" t="s">
        <v>1421</v>
      </c>
      <c r="BL12" s="948" t="s">
        <v>1421</v>
      </c>
      <c r="BN12" s="948" t="s">
        <v>1422</v>
      </c>
      <c r="BQ12" s="946">
        <v>4213779</v>
      </c>
      <c r="BR12" s="948" t="s">
        <v>1374</v>
      </c>
      <c r="BS12" s="951"/>
      <c r="BT12" s="209"/>
      <c r="BU12" s="209"/>
      <c r="BV12" s="209"/>
      <c r="BW12" s="59"/>
      <c r="BX12" s="59"/>
    </row>
    <row r="13" spans="1:79" ht="11.25" customHeight="1">
      <c r="A13" s="134" t="s">
        <v>1423</v>
      </c>
      <c r="B13" s="933">
        <v>2011</v>
      </c>
      <c r="E13" s="934" t="s">
        <v>1424</v>
      </c>
      <c r="F13" s="174"/>
      <c r="I13" s="934" t="s">
        <v>147</v>
      </c>
      <c r="K13" s="960" t="s">
        <v>1373</v>
      </c>
      <c r="V13" s="955" t="s">
        <v>147</v>
      </c>
      <c r="W13" s="962"/>
      <c r="X13" s="962"/>
      <c r="Y13" s="962"/>
      <c r="AW13" s="946" t="s">
        <v>146</v>
      </c>
      <c r="AX13" s="946" t="s">
        <v>146</v>
      </c>
      <c r="BB13" s="946" t="s">
        <v>1425</v>
      </c>
      <c r="BC13" s="946" t="s">
        <v>1426</v>
      </c>
      <c r="BE13" s="946">
        <v>2011</v>
      </c>
      <c r="BF13" s="946" t="s">
        <v>1427</v>
      </c>
      <c r="BH13" s="948" t="s">
        <v>1428</v>
      </c>
      <c r="BJ13" s="948" t="s">
        <v>1410</v>
      </c>
      <c r="BL13" s="948" t="s">
        <v>1410</v>
      </c>
      <c r="BN13" s="948" t="s">
        <v>1429</v>
      </c>
      <c r="BQ13" s="946">
        <v>4213783</v>
      </c>
      <c r="BR13" s="948" t="s">
        <v>1389</v>
      </c>
      <c r="BS13" s="951"/>
      <c r="BT13" s="209"/>
      <c r="BU13" s="209"/>
      <c r="BV13" s="209"/>
      <c r="BW13" s="209"/>
      <c r="BX13" s="59"/>
    </row>
    <row r="14" spans="1:79" ht="11.25" customHeight="1">
      <c r="A14" s="134" t="s">
        <v>1430</v>
      </c>
      <c r="B14" s="933">
        <v>2012</v>
      </c>
      <c r="I14" s="934" t="s">
        <v>148</v>
      </c>
      <c r="J14" s="924" t="s">
        <v>1431</v>
      </c>
      <c r="N14" s="924" t="s">
        <v>1432</v>
      </c>
      <c r="V14" s="941">
        <v>13</v>
      </c>
      <c r="W14" s="942"/>
      <c r="X14" s="942" t="s">
        <v>1241</v>
      </c>
      <c r="Y14" s="933" t="s">
        <v>1207</v>
      </c>
      <c r="AW14" s="946" t="s">
        <v>147</v>
      </c>
      <c r="AX14" s="946" t="s">
        <v>147</v>
      </c>
      <c r="AZ14" s="924" t="s">
        <v>1433</v>
      </c>
      <c r="BB14" s="946" t="s">
        <v>1434</v>
      </c>
      <c r="BC14" s="946" t="s">
        <v>1426</v>
      </c>
      <c r="BE14" s="946">
        <v>2012</v>
      </c>
      <c r="BH14" s="948" t="s">
        <v>1350</v>
      </c>
      <c r="BJ14" s="963" t="s">
        <v>1435</v>
      </c>
      <c r="BL14" s="963" t="s">
        <v>1435</v>
      </c>
      <c r="BN14" s="948" t="s">
        <v>1436</v>
      </c>
      <c r="BQ14" s="946">
        <v>4213782</v>
      </c>
      <c r="BR14" s="948" t="s">
        <v>186</v>
      </c>
      <c r="BS14" s="951"/>
      <c r="BT14" s="209"/>
      <c r="BU14" s="209"/>
      <c r="BV14" s="209"/>
      <c r="BW14" s="209"/>
      <c r="BX14" s="59"/>
    </row>
    <row r="15" spans="1:79" ht="19.5" customHeight="1">
      <c r="A15" s="134" t="s">
        <v>1437</v>
      </c>
      <c r="B15" s="933">
        <v>2013</v>
      </c>
      <c r="E15" s="964" t="s">
        <v>1438</v>
      </c>
      <c r="G15" s="925" t="s">
        <v>1439</v>
      </c>
      <c r="H15" s="925" t="s">
        <v>1440</v>
      </c>
      <c r="I15" s="935" t="s">
        <v>149</v>
      </c>
      <c r="J15" s="962" t="s">
        <v>563</v>
      </c>
      <c r="N15" s="965" t="s">
        <v>1441</v>
      </c>
      <c r="X15" s="605"/>
      <c r="AW15" s="946" t="s">
        <v>148</v>
      </c>
      <c r="AX15" s="946" t="s">
        <v>148</v>
      </c>
      <c r="AZ15" s="946" t="s">
        <v>1360</v>
      </c>
      <c r="BB15" s="946" t="s">
        <v>1442</v>
      </c>
      <c r="BC15" s="946" t="s">
        <v>1426</v>
      </c>
      <c r="BE15" s="946">
        <v>2013</v>
      </c>
      <c r="BH15" s="948" t="s">
        <v>1365</v>
      </c>
      <c r="BJ15" s="963" t="s">
        <v>1443</v>
      </c>
      <c r="BL15" s="963" t="s">
        <v>1443</v>
      </c>
      <c r="BN15" s="948" t="s">
        <v>1444</v>
      </c>
      <c r="BR15" s="209"/>
      <c r="BS15" s="209"/>
      <c r="BT15" s="209"/>
      <c r="BU15" s="209"/>
      <c r="BV15" s="209"/>
      <c r="BW15" s="209"/>
      <c r="BX15" s="59"/>
    </row>
    <row r="16" spans="1:79" ht="21" customHeight="1">
      <c r="A16" s="966" t="s">
        <v>1445</v>
      </c>
      <c r="B16" s="933">
        <v>2014</v>
      </c>
      <c r="E16" s="967" t="s">
        <v>1446</v>
      </c>
      <c r="G16" s="934" t="s">
        <v>1447</v>
      </c>
      <c r="H16" s="934" t="s">
        <v>1448</v>
      </c>
      <c r="I16" s="935" t="s">
        <v>1449</v>
      </c>
      <c r="J16" s="962" t="s">
        <v>536</v>
      </c>
      <c r="N16" s="965" t="s">
        <v>1450</v>
      </c>
      <c r="AW16" s="946" t="s">
        <v>149</v>
      </c>
      <c r="AX16" s="946" t="s">
        <v>149</v>
      </c>
      <c r="AZ16" s="946" t="s">
        <v>1376</v>
      </c>
      <c r="BB16" s="946" t="s">
        <v>1451</v>
      </c>
      <c r="BC16" s="946" t="s">
        <v>1426</v>
      </c>
      <c r="BE16" s="946">
        <v>2014</v>
      </c>
      <c r="BH16" s="948" t="s">
        <v>1381</v>
      </c>
      <c r="BJ16" s="963" t="s">
        <v>1452</v>
      </c>
      <c r="BL16" s="963" t="s">
        <v>1452</v>
      </c>
      <c r="BN16" s="948" t="s">
        <v>1453</v>
      </c>
      <c r="BR16" s="209"/>
      <c r="BS16" s="209"/>
      <c r="BT16" s="209"/>
      <c r="BU16" s="209"/>
      <c r="BV16" s="209"/>
      <c r="BW16" s="209"/>
      <c r="BX16" s="59"/>
    </row>
    <row r="17" spans="1:82" ht="21" customHeight="1">
      <c r="A17" s="134" t="s">
        <v>1454</v>
      </c>
      <c r="B17" s="933">
        <v>2015</v>
      </c>
      <c r="G17" s="934" t="s">
        <v>1401</v>
      </c>
      <c r="H17" s="934" t="s">
        <v>1401</v>
      </c>
      <c r="I17" s="934" t="s">
        <v>1455</v>
      </c>
      <c r="N17" s="965" t="s">
        <v>1456</v>
      </c>
      <c r="X17" s="605"/>
      <c r="AW17" s="946" t="s">
        <v>1449</v>
      </c>
      <c r="AX17" s="946" t="s">
        <v>1449</v>
      </c>
      <c r="AZ17" s="946" t="s">
        <v>1457</v>
      </c>
      <c r="BB17" s="946" t="s">
        <v>1458</v>
      </c>
      <c r="BC17" s="946" t="s">
        <v>1310</v>
      </c>
      <c r="BE17" s="946">
        <v>2015</v>
      </c>
      <c r="BH17" s="948" t="s">
        <v>1397</v>
      </c>
      <c r="BJ17" s="963" t="s">
        <v>1459</v>
      </c>
      <c r="BL17" s="963" t="s">
        <v>1459</v>
      </c>
      <c r="BN17" s="948" t="s">
        <v>1460</v>
      </c>
      <c r="BR17" s="924" t="s">
        <v>1252</v>
      </c>
      <c r="BS17" s="947"/>
      <c r="BU17" s="924" t="s">
        <v>1461</v>
      </c>
      <c r="BV17" s="209"/>
      <c r="BW17" s="59"/>
      <c r="BX17" s="924" t="s">
        <v>1462</v>
      </c>
      <c r="CA17" s="924" t="s">
        <v>1463</v>
      </c>
      <c r="CD17" s="924" t="s">
        <v>1464</v>
      </c>
    </row>
    <row r="18" spans="1:82" ht="21" customHeight="1">
      <c r="A18" s="134" t="s">
        <v>1465</v>
      </c>
      <c r="B18" s="933">
        <v>2016</v>
      </c>
      <c r="I18" s="934" t="s">
        <v>1466</v>
      </c>
      <c r="N18" s="965" t="s">
        <v>1467</v>
      </c>
      <c r="X18" s="605"/>
      <c r="AW18" s="946" t="s">
        <v>1455</v>
      </c>
      <c r="AX18" s="946" t="s">
        <v>1455</v>
      </c>
      <c r="BB18" s="946" t="s">
        <v>1468</v>
      </c>
      <c r="BC18" s="946" t="s">
        <v>1310</v>
      </c>
      <c r="BE18" s="946">
        <v>2016</v>
      </c>
      <c r="BH18" s="948" t="s">
        <v>1411</v>
      </c>
      <c r="BJ18" s="963" t="s">
        <v>1469</v>
      </c>
      <c r="BL18" s="963" t="s">
        <v>1469</v>
      </c>
      <c r="BN18" s="948" t="s">
        <v>1470</v>
      </c>
      <c r="BQ18" s="949" t="s">
        <v>1282</v>
      </c>
      <c r="BR18" s="605" t="s">
        <v>1283</v>
      </c>
      <c r="BS18" s="605"/>
      <c r="BT18" s="949" t="s">
        <v>1471</v>
      </c>
      <c r="BU18" s="605" t="s">
        <v>1472</v>
      </c>
      <c r="BV18" s="209"/>
      <c r="BW18" s="949" t="s">
        <v>1473</v>
      </c>
      <c r="BX18" s="605" t="s">
        <v>1474</v>
      </c>
      <c r="BZ18" s="949" t="s">
        <v>1475</v>
      </c>
      <c r="CA18" s="605" t="s">
        <v>1476</v>
      </c>
      <c r="CC18" s="949" t="s">
        <v>1477</v>
      </c>
      <c r="CD18" s="605" t="s">
        <v>1478</v>
      </c>
    </row>
    <row r="19" spans="1:82" ht="21" customHeight="1">
      <c r="A19" s="966" t="s">
        <v>1479</v>
      </c>
      <c r="B19" s="933">
        <v>2017</v>
      </c>
      <c r="I19" s="934" t="s">
        <v>1480</v>
      </c>
      <c r="N19" s="965" t="s">
        <v>1481</v>
      </c>
      <c r="X19" s="605"/>
      <c r="AW19" s="946" t="s">
        <v>1466</v>
      </c>
      <c r="AX19" s="946" t="s">
        <v>1466</v>
      </c>
      <c r="AZ19" s="924" t="s">
        <v>1482</v>
      </c>
      <c r="BB19" s="946" t="s">
        <v>1483</v>
      </c>
      <c r="BC19" s="946" t="s">
        <v>1310</v>
      </c>
      <c r="BE19" s="946">
        <v>2017</v>
      </c>
      <c r="BH19" s="948" t="s">
        <v>1484</v>
      </c>
      <c r="BJ19" s="963" t="s">
        <v>1485</v>
      </c>
      <c r="BL19" s="963" t="s">
        <v>1485</v>
      </c>
      <c r="BQ19" s="946">
        <v>4190064</v>
      </c>
      <c r="BR19" s="948" t="s">
        <v>1486</v>
      </c>
      <c r="BS19" s="951"/>
      <c r="BT19" s="946">
        <v>4189671</v>
      </c>
      <c r="BU19" s="948" t="s">
        <v>1487</v>
      </c>
      <c r="BV19" s="209"/>
      <c r="BW19" s="946">
        <v>4189706</v>
      </c>
      <c r="BX19" s="948" t="s">
        <v>1488</v>
      </c>
      <c r="BZ19" s="946">
        <v>4189714</v>
      </c>
      <c r="CA19" s="948" t="s">
        <v>247</v>
      </c>
      <c r="CC19" s="946">
        <v>4189708</v>
      </c>
      <c r="CD19" s="948" t="s">
        <v>1489</v>
      </c>
    </row>
    <row r="20" spans="1:82" ht="21" customHeight="1">
      <c r="A20" s="134" t="s">
        <v>1490</v>
      </c>
      <c r="B20" s="933">
        <v>2018</v>
      </c>
      <c r="I20" s="934" t="s">
        <v>1491</v>
      </c>
      <c r="N20" s="965" t="s">
        <v>1492</v>
      </c>
      <c r="AW20" s="946" t="s">
        <v>1480</v>
      </c>
      <c r="AX20" s="946" t="s">
        <v>1480</v>
      </c>
      <c r="AZ20" s="946" t="s">
        <v>1493</v>
      </c>
      <c r="BB20" s="946" t="s">
        <v>1494</v>
      </c>
      <c r="BC20" s="946" t="s">
        <v>1426</v>
      </c>
      <c r="BE20" s="946">
        <v>2018</v>
      </c>
      <c r="BH20" s="948" t="s">
        <v>1422</v>
      </c>
      <c r="BJ20" s="948" t="s">
        <v>1350</v>
      </c>
      <c r="BL20" s="948" t="s">
        <v>1350</v>
      </c>
      <c r="BQ20" s="946">
        <v>4190065</v>
      </c>
      <c r="BR20" s="948" t="s">
        <v>1495</v>
      </c>
      <c r="BS20" s="951"/>
      <c r="BT20" s="946">
        <v>4189672</v>
      </c>
      <c r="BU20" s="948" t="s">
        <v>1496</v>
      </c>
      <c r="BV20" s="209"/>
      <c r="BW20" s="946">
        <v>4189705</v>
      </c>
      <c r="BX20" s="948" t="s">
        <v>1497</v>
      </c>
      <c r="BZ20" s="946">
        <v>4189713</v>
      </c>
      <c r="CA20" s="948" t="s">
        <v>1497</v>
      </c>
      <c r="CC20" s="946">
        <v>4189709</v>
      </c>
      <c r="CD20" s="948" t="s">
        <v>1498</v>
      </c>
    </row>
    <row r="21" spans="1:82" ht="21" customHeight="1">
      <c r="A21" s="134" t="s">
        <v>1499</v>
      </c>
      <c r="B21" s="933">
        <v>2019</v>
      </c>
      <c r="I21" s="934" t="s">
        <v>1500</v>
      </c>
      <c r="N21" s="965" t="s">
        <v>1501</v>
      </c>
      <c r="AW21" s="946" t="s">
        <v>1491</v>
      </c>
      <c r="AX21" s="946" t="s">
        <v>1491</v>
      </c>
      <c r="AZ21" s="946" t="s">
        <v>1502</v>
      </c>
      <c r="BB21" s="946" t="s">
        <v>1503</v>
      </c>
      <c r="BC21" s="946" t="s">
        <v>1310</v>
      </c>
      <c r="BE21" s="946">
        <v>2019</v>
      </c>
      <c r="BH21" s="948" t="s">
        <v>1429</v>
      </c>
      <c r="BJ21" s="948" t="s">
        <v>1365</v>
      </c>
      <c r="BL21" s="948" t="s">
        <v>1365</v>
      </c>
      <c r="BQ21" s="946">
        <v>4190066</v>
      </c>
      <c r="BR21" s="948" t="s">
        <v>1504</v>
      </c>
      <c r="BS21" s="951"/>
      <c r="BT21" s="946">
        <v>4189673</v>
      </c>
      <c r="BU21" s="948" t="s">
        <v>1505</v>
      </c>
      <c r="BV21" s="209"/>
      <c r="BW21" s="946">
        <v>4189707</v>
      </c>
      <c r="BX21" s="948" t="s">
        <v>1506</v>
      </c>
      <c r="BZ21" s="946">
        <v>4189712</v>
      </c>
      <c r="CA21" s="948" t="s">
        <v>1507</v>
      </c>
      <c r="CC21" s="946">
        <v>4189710</v>
      </c>
      <c r="CD21" s="948" t="s">
        <v>1508</v>
      </c>
    </row>
    <row r="22" spans="1:82" ht="21" customHeight="1">
      <c r="A22" s="134" t="s">
        <v>1509</v>
      </c>
      <c r="B22" s="933">
        <v>2020</v>
      </c>
      <c r="N22" s="965" t="s">
        <v>1510</v>
      </c>
      <c r="AW22" s="946" t="s">
        <v>1500</v>
      </c>
      <c r="AX22" s="946" t="s">
        <v>1500</v>
      </c>
      <c r="AZ22" s="946" t="s">
        <v>1511</v>
      </c>
      <c r="BB22" s="946" t="s">
        <v>1512</v>
      </c>
      <c r="BC22" s="946" t="s">
        <v>1310</v>
      </c>
      <c r="BE22" s="946">
        <v>2020</v>
      </c>
      <c r="BH22" s="948" t="s">
        <v>1436</v>
      </c>
      <c r="BJ22" s="948" t="s">
        <v>1381</v>
      </c>
      <c r="BL22" s="948" t="s">
        <v>1381</v>
      </c>
      <c r="BQ22" s="946">
        <v>4190067</v>
      </c>
      <c r="BR22" s="948" t="s">
        <v>1513</v>
      </c>
      <c r="BS22" s="951"/>
      <c r="BT22" s="946">
        <v>4189674</v>
      </c>
      <c r="BU22" s="948" t="s">
        <v>1514</v>
      </c>
      <c r="BV22" s="209"/>
      <c r="BW22" s="209"/>
      <c r="CC22" s="946">
        <v>4189711</v>
      </c>
      <c r="CD22" s="948" t="s">
        <v>280</v>
      </c>
    </row>
    <row r="23" spans="1:82" ht="21" customHeight="1">
      <c r="A23" s="134" t="s">
        <v>1515</v>
      </c>
      <c r="B23" s="933">
        <v>2021</v>
      </c>
      <c r="AW23" s="946" t="s">
        <v>1516</v>
      </c>
      <c r="AX23" s="946" t="s">
        <v>1516</v>
      </c>
      <c r="AZ23" s="946" t="s">
        <v>1517</v>
      </c>
      <c r="BB23" s="946" t="s">
        <v>1518</v>
      </c>
      <c r="BC23" s="946" t="s">
        <v>1218</v>
      </c>
      <c r="BE23" s="946">
        <v>2021</v>
      </c>
      <c r="BH23" s="948" t="s">
        <v>1444</v>
      </c>
      <c r="BJ23" s="948" t="s">
        <v>1397</v>
      </c>
      <c r="BL23" s="948" t="s">
        <v>1397</v>
      </c>
      <c r="BQ23" s="946">
        <v>4190068</v>
      </c>
      <c r="BR23" s="948" t="s">
        <v>1519</v>
      </c>
      <c r="BS23" s="951"/>
      <c r="BT23" s="946">
        <v>4189675</v>
      </c>
      <c r="BU23" s="948" t="s">
        <v>1520</v>
      </c>
      <c r="BV23" s="209"/>
      <c r="BW23" s="209"/>
      <c r="CC23" s="946">
        <v>5110778</v>
      </c>
      <c r="CD23" s="948" t="s">
        <v>1521</v>
      </c>
    </row>
    <row r="24" spans="1:82" ht="21" customHeight="1">
      <c r="A24" s="134" t="s">
        <v>1522</v>
      </c>
      <c r="B24" s="933">
        <v>2022</v>
      </c>
      <c r="AW24" s="946" t="s">
        <v>1523</v>
      </c>
      <c r="AX24" s="946" t="s">
        <v>1523</v>
      </c>
      <c r="AZ24" s="946" t="s">
        <v>1524</v>
      </c>
      <c r="BB24" s="946" t="s">
        <v>1525</v>
      </c>
      <c r="BC24" s="946" t="s">
        <v>1526</v>
      </c>
      <c r="BE24" s="946">
        <v>2022</v>
      </c>
      <c r="BH24" s="948" t="s">
        <v>1453</v>
      </c>
      <c r="BJ24" s="948" t="s">
        <v>1411</v>
      </c>
      <c r="BL24" s="948" t="s">
        <v>1411</v>
      </c>
      <c r="BQ24" s="946">
        <v>4190069</v>
      </c>
      <c r="BR24" s="948" t="s">
        <v>1527</v>
      </c>
      <c r="BS24" s="951"/>
      <c r="BT24" s="946">
        <v>4189676</v>
      </c>
      <c r="BU24" s="948" t="s">
        <v>1528</v>
      </c>
      <c r="BV24" s="209"/>
      <c r="BW24" s="209"/>
      <c r="CC24" s="946">
        <v>25575374</v>
      </c>
      <c r="CD24" s="948" t="s">
        <v>1529</v>
      </c>
    </row>
    <row r="25" spans="1:82" ht="11.25" customHeight="1">
      <c r="A25" s="134" t="s">
        <v>1530</v>
      </c>
      <c r="B25" s="933">
        <v>2023</v>
      </c>
      <c r="AW25" s="946" t="s">
        <v>1531</v>
      </c>
      <c r="AX25" s="946" t="s">
        <v>1531</v>
      </c>
      <c r="AZ25" s="946" t="s">
        <v>1532</v>
      </c>
      <c r="BB25" s="946" t="s">
        <v>1533</v>
      </c>
      <c r="BC25" s="946" t="s">
        <v>1526</v>
      </c>
      <c r="BE25" s="946">
        <v>2023</v>
      </c>
      <c r="BH25" s="948" t="s">
        <v>1460</v>
      </c>
      <c r="BJ25" s="948" t="s">
        <v>1484</v>
      </c>
      <c r="BL25" s="948" t="s">
        <v>1484</v>
      </c>
      <c r="BQ25" s="946">
        <v>4190070</v>
      </c>
      <c r="BR25" s="948" t="s">
        <v>1534</v>
      </c>
      <c r="BS25" s="951"/>
      <c r="BT25" s="946">
        <v>4189677</v>
      </c>
      <c r="BU25" s="948" t="s">
        <v>1535</v>
      </c>
      <c r="BV25" s="209"/>
      <c r="BW25" s="209"/>
    </row>
    <row r="26" spans="1:82" ht="11.25" customHeight="1">
      <c r="A26" s="134" t="s">
        <v>1536</v>
      </c>
      <c r="B26" s="933">
        <v>2024</v>
      </c>
      <c r="J26" s="968" t="s">
        <v>1537</v>
      </c>
      <c r="AX26" s="946" t="s">
        <v>1538</v>
      </c>
      <c r="AZ26" s="946" t="s">
        <v>1404</v>
      </c>
      <c r="BB26" s="946" t="s">
        <v>1539</v>
      </c>
      <c r="BC26" s="946" t="s">
        <v>1526</v>
      </c>
      <c r="BE26" s="946">
        <v>2024</v>
      </c>
      <c r="BH26" s="948" t="s">
        <v>1470</v>
      </c>
      <c r="BJ26" s="948" t="s">
        <v>1422</v>
      </c>
      <c r="BL26" s="948" t="s">
        <v>1422</v>
      </c>
      <c r="BQ26" s="946">
        <v>4190071</v>
      </c>
      <c r="BR26" s="948" t="s">
        <v>1540</v>
      </c>
      <c r="BS26" s="951"/>
      <c r="BV26" s="209"/>
      <c r="BW26" s="209"/>
    </row>
    <row r="27" spans="1:82" ht="11.25" customHeight="1">
      <c r="A27" s="134" t="s">
        <v>1541</v>
      </c>
      <c r="B27" s="933">
        <v>2025</v>
      </c>
      <c r="J27" s="140" t="s">
        <v>502</v>
      </c>
      <c r="AX27" s="946" t="s">
        <v>1542</v>
      </c>
      <c r="BB27" s="946" t="s">
        <v>1543</v>
      </c>
      <c r="BC27" s="946" t="s">
        <v>1526</v>
      </c>
      <c r="BE27" s="946">
        <v>2025</v>
      </c>
      <c r="BJ27" s="948" t="s">
        <v>1429</v>
      </c>
      <c r="BL27" s="948" t="s">
        <v>1429</v>
      </c>
      <c r="BQ27" s="946">
        <v>4190072</v>
      </c>
      <c r="BR27" s="948" t="s">
        <v>1544</v>
      </c>
      <c r="BS27" s="951"/>
      <c r="BV27" s="209"/>
      <c r="BW27" s="209"/>
    </row>
    <row r="28" spans="1:82" ht="11.25" customHeight="1">
      <c r="A28" s="134" t="s">
        <v>1545</v>
      </c>
      <c r="D28" s="134"/>
      <c r="E28" s="969"/>
      <c r="F28" s="969"/>
      <c r="H28" s="207" t="s">
        <v>1546</v>
      </c>
      <c r="AX28" s="946" t="s">
        <v>1547</v>
      </c>
      <c r="AZ28" s="924" t="s">
        <v>1548</v>
      </c>
      <c r="BB28" s="946" t="s">
        <v>1549</v>
      </c>
      <c r="BC28" s="946" t="s">
        <v>1550</v>
      </c>
      <c r="BE28" s="946">
        <v>2026</v>
      </c>
      <c r="BJ28" s="948" t="s">
        <v>1436</v>
      </c>
      <c r="BL28" s="948" t="s">
        <v>1436</v>
      </c>
      <c r="BQ28" s="946">
        <v>4190073</v>
      </c>
      <c r="BR28" s="948" t="s">
        <v>1551</v>
      </c>
      <c r="BS28" s="951"/>
      <c r="BV28" s="209"/>
      <c r="BW28" s="209"/>
    </row>
    <row r="29" spans="1:82" ht="11.25" customHeight="1">
      <c r="A29" s="134" t="s">
        <v>1552</v>
      </c>
      <c r="D29" s="970" t="s">
        <v>1553</v>
      </c>
      <c r="E29" s="971">
        <f>IF(TEMPLATE_GROUP="","",INDEX(StartDateList,MATCH(TEMPLATE_GROUP,CodeTemplateList,0),1))</f>
        <v>45292.4626041667</v>
      </c>
      <c r="F29" s="971">
        <f>IF(TEMPLATE_GROUP="","",INDEX(EndDateList,MATCH(TEMPLATE_GROUP,CodeTemplateList,0),1))</f>
        <v>47483.462662037004</v>
      </c>
      <c r="H29" s="972" t="s">
        <v>1554</v>
      </c>
      <c r="AX29" s="946" t="s">
        <v>1555</v>
      </c>
      <c r="AZ29" s="946" t="s">
        <v>1202</v>
      </c>
      <c r="BB29" s="946" t="s">
        <v>1404</v>
      </c>
      <c r="BC29" s="100"/>
      <c r="BE29" s="946">
        <v>2027</v>
      </c>
      <c r="BJ29" s="948" t="s">
        <v>1444</v>
      </c>
      <c r="BL29" s="948" t="s">
        <v>1444</v>
      </c>
    </row>
    <row r="30" spans="1:82" ht="11.25" customHeight="1">
      <c r="A30" s="134" t="s">
        <v>1556</v>
      </c>
      <c r="D30" s="973"/>
      <c r="E30" s="974"/>
      <c r="F30" s="974"/>
      <c r="AX30" s="946" t="s">
        <v>1557</v>
      </c>
      <c r="AZ30" s="946" t="s">
        <v>1230</v>
      </c>
      <c r="BE30" s="946">
        <v>2028</v>
      </c>
      <c r="BJ30" s="948" t="s">
        <v>1558</v>
      </c>
      <c r="BL30" s="948" t="s">
        <v>1558</v>
      </c>
    </row>
    <row r="31" spans="1:82" ht="12.75" customHeight="1">
      <c r="A31" s="134" t="s">
        <v>1559</v>
      </c>
      <c r="D31" s="134"/>
      <c r="E31" s="969"/>
      <c r="F31" s="969"/>
      <c r="H31" s="975"/>
      <c r="AX31" s="946" t="s">
        <v>1560</v>
      </c>
      <c r="AZ31" s="946" t="s">
        <v>1561</v>
      </c>
      <c r="BE31" s="946">
        <v>2029</v>
      </c>
      <c r="BJ31" s="948" t="s">
        <v>1562</v>
      </c>
      <c r="BL31" s="948" t="s">
        <v>1562</v>
      </c>
    </row>
    <row r="32" spans="1:82" ht="11.25" customHeight="1">
      <c r="A32" s="134" t="s">
        <v>1563</v>
      </c>
      <c r="D32" s="970" t="s">
        <v>1564</v>
      </c>
      <c r="E32" s="971">
        <f>IF(TEMPLATE_GROUP="","",INDEX(StartDateList,MATCH(TEMPLATE_GROUP,CodeTemplateList,0),1))</f>
        <v>45292.4626041667</v>
      </c>
      <c r="F32" s="971">
        <f>IF(TEMPLATE_GROUP="","",INDEX(EndDateList,MATCH(TEMPLATE_GROUP,CodeTemplateList,0),1))</f>
        <v>47483.462662037004</v>
      </c>
      <c r="H32" s="976" t="s">
        <v>1565</v>
      </c>
      <c r="O32" s="134" t="s">
        <v>1201</v>
      </c>
      <c r="AX32" s="946" t="s">
        <v>1566</v>
      </c>
      <c r="AZ32" s="946" t="s">
        <v>1298</v>
      </c>
      <c r="BE32" s="946">
        <v>2030</v>
      </c>
      <c r="BJ32" s="948" t="s">
        <v>1453</v>
      </c>
      <c r="BL32" s="948" t="s">
        <v>1453</v>
      </c>
    </row>
    <row r="33" spans="1:66" ht="11.25" customHeight="1">
      <c r="A33" s="134" t="s">
        <v>1567</v>
      </c>
      <c r="O33" s="134" t="s">
        <v>1227</v>
      </c>
      <c r="AX33" s="946" t="s">
        <v>1568</v>
      </c>
      <c r="AZ33" s="946" t="s">
        <v>506</v>
      </c>
      <c r="BE33" s="946">
        <v>2031</v>
      </c>
      <c r="BJ33" s="948" t="s">
        <v>1460</v>
      </c>
      <c r="BL33" s="948" t="s">
        <v>1460</v>
      </c>
    </row>
    <row r="34" spans="1:66" ht="11.25" customHeight="1">
      <c r="A34" s="134" t="s">
        <v>1569</v>
      </c>
      <c r="O34" s="134" t="s">
        <v>1263</v>
      </c>
      <c r="AX34" s="946" t="s">
        <v>1570</v>
      </c>
      <c r="BE34" s="946">
        <v>2032</v>
      </c>
      <c r="BJ34" s="948" t="s">
        <v>1470</v>
      </c>
      <c r="BL34" s="948" t="s">
        <v>1470</v>
      </c>
    </row>
    <row r="35" spans="1:66" ht="11.25" customHeight="1">
      <c r="A35" s="134" t="s">
        <v>1571</v>
      </c>
      <c r="O35" s="134" t="s">
        <v>1296</v>
      </c>
      <c r="AX35" s="946" t="s">
        <v>1572</v>
      </c>
      <c r="AZ35" s="924" t="s">
        <v>1573</v>
      </c>
      <c r="BE35" s="946">
        <v>2033</v>
      </c>
      <c r="BL35" s="948" t="s">
        <v>1574</v>
      </c>
    </row>
    <row r="36" spans="1:66" ht="11.25" customHeight="1">
      <c r="A36" s="966" t="s">
        <v>1575</v>
      </c>
      <c r="D36" s="977" t="s">
        <v>1576</v>
      </c>
      <c r="E36" s="978" t="s">
        <v>800</v>
      </c>
      <c r="F36" s="945" t="str">
        <f>INDEX(E37:E41,MATCH(TEMPLATE_SPHERE,F37:F41,0))</f>
        <v>водоотведения</v>
      </c>
      <c r="G36" s="945" t="str">
        <f>INDEX(G37:G41,MATCH(TEMPLATE_SPHERE,F37:F41,0))</f>
        <v>водоотведение</v>
      </c>
      <c r="O36" s="134" t="s">
        <v>1321</v>
      </c>
      <c r="AX36" s="946" t="s">
        <v>1577</v>
      </c>
      <c r="AZ36" s="946" t="s">
        <v>506</v>
      </c>
      <c r="BE36" s="946">
        <v>2034</v>
      </c>
      <c r="BL36" s="948" t="s">
        <v>1578</v>
      </c>
    </row>
    <row r="37" spans="1:66" ht="11.25" customHeight="1">
      <c r="A37" s="134" t="s">
        <v>1579</v>
      </c>
      <c r="E37" s="979" t="s">
        <v>1580</v>
      </c>
      <c r="F37" s="980" t="s">
        <v>702</v>
      </c>
      <c r="G37" s="979" t="s">
        <v>1581</v>
      </c>
      <c r="O37" s="134" t="s">
        <v>1340</v>
      </c>
      <c r="AX37" s="946" t="s">
        <v>1582</v>
      </c>
      <c r="AZ37" s="946" t="s">
        <v>1229</v>
      </c>
      <c r="BE37" s="946">
        <v>2035</v>
      </c>
    </row>
    <row r="38" spans="1:66" ht="11.25" customHeight="1">
      <c r="A38" s="134" t="s">
        <v>1583</v>
      </c>
      <c r="E38" s="979" t="s">
        <v>1584</v>
      </c>
      <c r="F38" s="981" t="s">
        <v>748</v>
      </c>
      <c r="G38" s="979" t="s">
        <v>1585</v>
      </c>
      <c r="O38" s="134" t="s">
        <v>1356</v>
      </c>
      <c r="AX38" s="946" t="s">
        <v>1586</v>
      </c>
      <c r="AZ38" s="946" t="s">
        <v>1264</v>
      </c>
      <c r="BE38" s="946">
        <v>2036</v>
      </c>
      <c r="BH38" s="924" t="s">
        <v>1587</v>
      </c>
      <c r="BJ38" s="924" t="s">
        <v>1588</v>
      </c>
      <c r="BL38" s="924" t="s">
        <v>1589</v>
      </c>
      <c r="BN38" s="924" t="s">
        <v>1590</v>
      </c>
    </row>
    <row r="39" spans="1:66" ht="11.25" customHeight="1">
      <c r="A39" s="134" t="s">
        <v>1591</v>
      </c>
      <c r="E39" s="979" t="s">
        <v>1592</v>
      </c>
      <c r="F39" s="981" t="s">
        <v>800</v>
      </c>
      <c r="G39" s="979" t="s">
        <v>1593</v>
      </c>
      <c r="O39" s="134" t="s">
        <v>1372</v>
      </c>
      <c r="AX39" s="946" t="s">
        <v>1594</v>
      </c>
      <c r="AZ39" s="946" t="s">
        <v>1297</v>
      </c>
      <c r="BE39" s="946">
        <v>2037</v>
      </c>
      <c r="BH39" s="948" t="s">
        <v>1595</v>
      </c>
      <c r="BJ39" s="963" t="s">
        <v>1595</v>
      </c>
      <c r="BL39" s="963" t="s">
        <v>1595</v>
      </c>
      <c r="BN39" s="948" t="s">
        <v>1596</v>
      </c>
    </row>
    <row r="40" spans="1:66" ht="11.25" customHeight="1">
      <c r="A40" s="134" t="s">
        <v>1597</v>
      </c>
      <c r="E40" s="979" t="s">
        <v>1598</v>
      </c>
      <c r="F40" s="981" t="s">
        <v>786</v>
      </c>
      <c r="G40" s="979" t="s">
        <v>1599</v>
      </c>
      <c r="O40" s="134" t="s">
        <v>1388</v>
      </c>
      <c r="AX40" s="946" t="s">
        <v>1600</v>
      </c>
      <c r="BE40" s="946">
        <v>2038</v>
      </c>
      <c r="BH40" s="948" t="s">
        <v>1601</v>
      </c>
      <c r="BJ40" s="963" t="s">
        <v>921</v>
      </c>
      <c r="BL40" s="963" t="s">
        <v>921</v>
      </c>
      <c r="BN40" s="948" t="s">
        <v>955</v>
      </c>
    </row>
    <row r="41" spans="1:66" ht="11.25" customHeight="1">
      <c r="A41" s="134" t="s">
        <v>1602</v>
      </c>
      <c r="E41" s="979" t="s">
        <v>1603</v>
      </c>
      <c r="F41" s="981" t="s">
        <v>1604</v>
      </c>
      <c r="G41" s="979" t="s">
        <v>1603</v>
      </c>
      <c r="O41" s="134" t="s">
        <v>1404</v>
      </c>
      <c r="AX41" s="946" t="s">
        <v>1605</v>
      </c>
      <c r="AZ41" s="924" t="s">
        <v>1606</v>
      </c>
      <c r="BE41" s="946">
        <v>2039</v>
      </c>
      <c r="BH41" s="948" t="s">
        <v>1607</v>
      </c>
      <c r="BJ41" s="963" t="s">
        <v>917</v>
      </c>
      <c r="BL41" s="963" t="s">
        <v>917</v>
      </c>
      <c r="BN41" s="948" t="s">
        <v>942</v>
      </c>
    </row>
    <row r="42" spans="1:66" ht="11.25" customHeight="1">
      <c r="A42" s="134" t="s">
        <v>1608</v>
      </c>
      <c r="AX42" s="946" t="s">
        <v>1609</v>
      </c>
      <c r="AZ42" s="946" t="s">
        <v>1201</v>
      </c>
      <c r="BE42" s="946">
        <v>2040</v>
      </c>
      <c r="BH42" s="948" t="s">
        <v>939</v>
      </c>
      <c r="BJ42" s="963" t="s">
        <v>919</v>
      </c>
      <c r="BL42" s="963" t="s">
        <v>919</v>
      </c>
      <c r="BN42" s="948" t="s">
        <v>1610</v>
      </c>
    </row>
    <row r="43" spans="1:66" ht="11.25" customHeight="1">
      <c r="A43" s="134" t="s">
        <v>1611</v>
      </c>
      <c r="AX43" s="946" t="s">
        <v>1612</v>
      </c>
      <c r="AZ43" s="946" t="s">
        <v>1227</v>
      </c>
      <c r="BE43" s="946">
        <v>2041</v>
      </c>
      <c r="BH43" s="948" t="s">
        <v>1613</v>
      </c>
      <c r="BJ43" s="963" t="s">
        <v>1607</v>
      </c>
      <c r="BL43" s="963" t="s">
        <v>1607</v>
      </c>
      <c r="BN43" s="948" t="s">
        <v>1614</v>
      </c>
    </row>
    <row r="44" spans="1:66" ht="11.25" customHeight="1">
      <c r="A44" s="134" t="s">
        <v>1615</v>
      </c>
      <c r="I44" s="982" t="s">
        <v>1616</v>
      </c>
      <c r="J44" s="962" t="s">
        <v>1617</v>
      </c>
      <c r="K44" s="962" t="s">
        <v>1618</v>
      </c>
      <c r="AX44" s="946" t="s">
        <v>95</v>
      </c>
      <c r="AZ44" s="946" t="s">
        <v>1263</v>
      </c>
      <c r="BE44" s="946">
        <v>2042</v>
      </c>
      <c r="BH44" s="948" t="s">
        <v>1619</v>
      </c>
      <c r="BJ44" s="963" t="s">
        <v>939</v>
      </c>
      <c r="BL44" s="963" t="s">
        <v>939</v>
      </c>
      <c r="BN44" s="948" t="s">
        <v>1620</v>
      </c>
    </row>
    <row r="45" spans="1:66" ht="11.25" customHeight="1">
      <c r="A45" s="134" t="s">
        <v>1621</v>
      </c>
      <c r="D45" s="977" t="s">
        <v>1622</v>
      </c>
      <c r="E45" s="978" t="s">
        <v>1623</v>
      </c>
      <c r="F45" s="926" t="s">
        <v>1624</v>
      </c>
      <c r="G45" s="983" t="s">
        <v>1625</v>
      </c>
      <c r="H45" s="982" t="s">
        <v>1626</v>
      </c>
      <c r="I45" s="984" t="b">
        <f>INDEX(PeriodIsEmptyList,MATCH(TEMPLATE_GROUP,CodeTemplateList,0),1)</f>
        <v>0</v>
      </c>
      <c r="J45" s="985" t="str">
        <f>INDEX(NameTemplatesInTitleList,MATCH(TEMPLATE_GROUP,CodeTemplateList,0),1)</f>
        <v>Показатели, подлежащие раскрытию в сфере водоотведения (цены и тарифы)</v>
      </c>
      <c r="K45" s="9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46" t="s">
        <v>1627</v>
      </c>
      <c r="AZ45" s="946" t="s">
        <v>1296</v>
      </c>
      <c r="BE45" s="946">
        <v>2043</v>
      </c>
      <c r="BH45" s="948" t="s">
        <v>1628</v>
      </c>
      <c r="BJ45" s="963" t="s">
        <v>933</v>
      </c>
      <c r="BL45" s="963" t="s">
        <v>933</v>
      </c>
      <c r="BN45" s="948" t="s">
        <v>1629</v>
      </c>
    </row>
    <row r="46" spans="1:66" ht="11.25" customHeight="1">
      <c r="A46" s="134" t="s">
        <v>1630</v>
      </c>
      <c r="E46" s="979" t="s">
        <v>22</v>
      </c>
      <c r="F46" s="980" t="s">
        <v>1631</v>
      </c>
      <c r="G46" s="986"/>
      <c r="H46" s="986"/>
      <c r="I46" s="987" t="b">
        <f>IF(TITLE_DATE_FIL="",TRUE(),FALSE())</f>
        <v>1</v>
      </c>
      <c r="J46" s="988" t="str">
        <f>"Общая информация о регулируемой организации ("&amp;TEMPLATE_SPHERE_RUS&amp;")"</f>
        <v>Общая информация о регулируемой организации (водоотведения)</v>
      </c>
      <c r="K46" s="989"/>
      <c r="AX46" s="946" t="s">
        <v>1632</v>
      </c>
      <c r="AZ46" s="946" t="s">
        <v>1321</v>
      </c>
      <c r="BE46" s="946">
        <v>2044</v>
      </c>
      <c r="BH46" s="948" t="s">
        <v>942</v>
      </c>
      <c r="BJ46" s="963" t="s">
        <v>923</v>
      </c>
      <c r="BL46" s="963" t="s">
        <v>923</v>
      </c>
      <c r="BN46" s="948" t="s">
        <v>1633</v>
      </c>
    </row>
    <row r="47" spans="1:66" ht="11.25" customHeight="1">
      <c r="A47" s="134" t="s">
        <v>1634</v>
      </c>
      <c r="E47" s="979" t="s">
        <v>28</v>
      </c>
      <c r="F47" s="981" t="s">
        <v>1635</v>
      </c>
      <c r="G47" s="990" t="str">
        <f>IF(f_year="","",IF(LEN(f_quart)=0,"",IF(f_quart="I квартал","01.01."&amp;f_year,IF(f_quart="II квартал","01.04."&amp;f_year,(IF(f_quart="III квартал","01.07."&amp;f_year,"01.10."&amp;f_year))))))</f>
        <v/>
      </c>
      <c r="H47" s="990" t="str">
        <f>IF(f_year="","",IF(LEN(f_quart)=0,"",IF(f_quart="I квартал","31.03."&amp;f_year,IF(f_quart="II квартал","30.06."&amp;f_year,(IF(f_quart="III квартал","30.09."&amp;f_year,"31.12."&amp;f_year))))))</f>
        <v/>
      </c>
      <c r="I47" s="991" t="b">
        <f>IF(OR(f_year="",f_quart=""),TRUE(),FALSE())</f>
        <v>1</v>
      </c>
      <c r="J47" s="9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89"/>
      <c r="AX47" s="946" t="s">
        <v>1636</v>
      </c>
      <c r="AZ47" s="946" t="s">
        <v>1340</v>
      </c>
      <c r="BE47" s="946">
        <v>2045</v>
      </c>
      <c r="BH47" s="948" t="s">
        <v>1610</v>
      </c>
      <c r="BJ47" s="963" t="s">
        <v>925</v>
      </c>
      <c r="BL47" s="963" t="s">
        <v>925</v>
      </c>
      <c r="BN47" s="948" t="s">
        <v>1637</v>
      </c>
    </row>
    <row r="48" spans="1:66" ht="11.25" customHeight="1">
      <c r="A48" s="134" t="s">
        <v>1638</v>
      </c>
      <c r="E48" s="979" t="s">
        <v>1639</v>
      </c>
      <c r="F48" s="981" t="s">
        <v>1640</v>
      </c>
      <c r="G48" s="990" t="str">
        <f>IF(f_year="","","01.01."&amp;f_year)</f>
        <v/>
      </c>
      <c r="H48" s="990" t="str">
        <f>IF(f_year="","","31.12."&amp;f_year)</f>
        <v/>
      </c>
      <c r="I48" s="987" t="b">
        <f>IF(f_year="",TRUE(),FALSE())</f>
        <v>1</v>
      </c>
      <c r="J48" s="988" t="s">
        <v>1641</v>
      </c>
      <c r="K48" s="989"/>
      <c r="AX48" s="946" t="s">
        <v>1642</v>
      </c>
      <c r="AZ48" s="946" t="s">
        <v>1356</v>
      </c>
      <c r="BE48" s="946">
        <v>2046</v>
      </c>
      <c r="BH48" s="948" t="s">
        <v>1614</v>
      </c>
      <c r="BJ48" s="963" t="s">
        <v>927</v>
      </c>
      <c r="BL48" s="963" t="s">
        <v>927</v>
      </c>
      <c r="BN48" s="948" t="s">
        <v>1643</v>
      </c>
    </row>
    <row r="49" spans="1:64" ht="11.25" customHeight="1">
      <c r="A49" s="134" t="s">
        <v>1644</v>
      </c>
      <c r="E49" s="979" t="s">
        <v>1645</v>
      </c>
      <c r="F49" s="981" t="s">
        <v>1646</v>
      </c>
      <c r="G49" s="990" t="str">
        <f>IF(f_year="","","01.01."&amp;f_year)</f>
        <v/>
      </c>
      <c r="H49" s="990" t="str">
        <f>IF(f_year="","","31.12."&amp;f_year)</f>
        <v/>
      </c>
      <c r="I49" s="987" t="b">
        <f>IF(f_year="",TRUE(),FALSE())</f>
        <v>1</v>
      </c>
      <c r="J49" s="9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89"/>
      <c r="AX49" s="946" t="s">
        <v>1647</v>
      </c>
      <c r="AZ49" s="946" t="s">
        <v>1372</v>
      </c>
      <c r="BE49" s="946">
        <v>2047</v>
      </c>
      <c r="BH49" s="948" t="s">
        <v>943</v>
      </c>
      <c r="BJ49" s="963" t="s">
        <v>929</v>
      </c>
      <c r="BL49" s="963" t="s">
        <v>929</v>
      </c>
    </row>
    <row r="50" spans="1:64" ht="11.25" customHeight="1">
      <c r="A50" s="134" t="s">
        <v>1648</v>
      </c>
      <c r="E50" s="979" t="s">
        <v>1649</v>
      </c>
      <c r="F50" s="981" t="s">
        <v>913</v>
      </c>
      <c r="G50" s="990" t="str">
        <f>IF(f_year="","","01.01."&amp;f_year)</f>
        <v/>
      </c>
      <c r="H50" s="990" t="str">
        <f>IF(f_year="","","31.12."&amp;f_year)</f>
        <v/>
      </c>
      <c r="I50" s="987" t="b">
        <f>IF(f_year="",TRUE(),FALSE())</f>
        <v>1</v>
      </c>
      <c r="J50" s="9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89"/>
      <c r="AX50" s="946" t="s">
        <v>1650</v>
      </c>
      <c r="AZ50" s="946" t="s">
        <v>1388</v>
      </c>
      <c r="BE50" s="946">
        <v>2048</v>
      </c>
      <c r="BH50" s="948" t="s">
        <v>1620</v>
      </c>
      <c r="BJ50" s="963" t="s">
        <v>931</v>
      </c>
      <c r="BL50" s="963" t="s">
        <v>931</v>
      </c>
    </row>
    <row r="51" spans="1:64" ht="11.25" customHeight="1">
      <c r="A51" s="134" t="s">
        <v>1651</v>
      </c>
      <c r="E51" s="979" t="s">
        <v>1652</v>
      </c>
      <c r="F51" s="981" t="s">
        <v>1653</v>
      </c>
      <c r="G51" s="990">
        <f>IF(TITLE_PERIOD_START="","",TITLE_PERIOD_START)</f>
        <v>45292.4626041667</v>
      </c>
      <c r="H51" s="990">
        <f>IF(TITLE_PERIOD_END="","",TITLE_PERIOD_END)</f>
        <v>47483.462662037004</v>
      </c>
      <c r="I51" s="991" t="b">
        <f>IF(OR(TITLE_PERIOD_START="",TITLE_PERIOD_END=""),TRUE(),FALSE())</f>
        <v>0</v>
      </c>
      <c r="J51" s="9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89"/>
      <c r="AX51" s="946" t="s">
        <v>1654</v>
      </c>
      <c r="AZ51" s="946" t="s">
        <v>1404</v>
      </c>
      <c r="BE51" s="946">
        <v>2049</v>
      </c>
      <c r="BH51" s="948" t="s">
        <v>1629</v>
      </c>
      <c r="BJ51" s="963" t="s">
        <v>1655</v>
      </c>
      <c r="BL51" s="963" t="s">
        <v>1655</v>
      </c>
    </row>
    <row r="52" spans="1:64" ht="11.25" customHeight="1">
      <c r="A52" s="134" t="s">
        <v>1656</v>
      </c>
      <c r="E52" s="979" t="s">
        <v>1657</v>
      </c>
      <c r="F52" s="981" t="s">
        <v>1623</v>
      </c>
      <c r="G52" s="990">
        <f>IF(TITLE_PERIOD_START="","",TITLE_PERIOD_START)</f>
        <v>45292.4626041667</v>
      </c>
      <c r="H52" s="990">
        <f>IF(TITLE_PERIOD_END="","",TITLE_PERIOD_END)</f>
        <v>47483.462662037004</v>
      </c>
      <c r="I52" s="991" t="b">
        <f>IF(OR(TITLE_PERIOD_START="",TITLE_PERIOD_END=""),TRUE(),FALSE())</f>
        <v>0</v>
      </c>
      <c r="J52" s="988" t="str">
        <f>"Показатели, подлежащие раскрытию в сфере "&amp;TEMPLATE_SPHERE_RUS&amp;" (цены и тарифы)"</f>
        <v>Показатели, подлежащие раскрытию в сфере водоотведения (цены и тарифы)</v>
      </c>
      <c r="K52" s="989"/>
      <c r="AX52" s="946" t="s">
        <v>1658</v>
      </c>
      <c r="AZ52" s="946" t="s">
        <v>506</v>
      </c>
      <c r="BE52" s="946">
        <v>2050</v>
      </c>
      <c r="BH52" s="948" t="s">
        <v>1633</v>
      </c>
      <c r="BJ52" s="963" t="s">
        <v>942</v>
      </c>
      <c r="BL52" s="963" t="s">
        <v>942</v>
      </c>
    </row>
    <row r="53" spans="1:64" ht="11.25" customHeight="1">
      <c r="A53" s="134" t="s">
        <v>1659</v>
      </c>
      <c r="E53" s="979" t="s">
        <v>1660</v>
      </c>
      <c r="F53" s="981" t="s">
        <v>1660</v>
      </c>
      <c r="G53" s="990" t="str">
        <f>IF(f_year="","","01.01."&amp;f_year)</f>
        <v/>
      </c>
      <c r="H53" s="990" t="str">
        <f>IF(f_year="","","31.12."&amp;f_year)</f>
        <v/>
      </c>
      <c r="I53" s="987" t="b">
        <f>IF(AND(f_year="",TITLE_DATE_FIL=""),TRUE(),FALSE())</f>
        <v>1</v>
      </c>
      <c r="J53" s="988" t="s">
        <v>1661</v>
      </c>
      <c r="K53" s="989"/>
      <c r="AX53" s="946" t="s">
        <v>1662</v>
      </c>
      <c r="BE53" s="946">
        <v>2051</v>
      </c>
      <c r="BH53" s="948" t="s">
        <v>1637</v>
      </c>
      <c r="BJ53" s="963" t="s">
        <v>1610</v>
      </c>
      <c r="BL53" s="963" t="s">
        <v>1610</v>
      </c>
    </row>
    <row r="54" spans="1:64" ht="11.25" customHeight="1">
      <c r="A54" s="134" t="s">
        <v>1663</v>
      </c>
      <c r="AX54" s="946" t="s">
        <v>1664</v>
      </c>
      <c r="AZ54" s="924" t="s">
        <v>1665</v>
      </c>
      <c r="BE54" s="946">
        <v>2052</v>
      </c>
      <c r="BH54" s="948" t="s">
        <v>1643</v>
      </c>
      <c r="BJ54" s="963" t="s">
        <v>1614</v>
      </c>
      <c r="BL54" s="963" t="s">
        <v>1614</v>
      </c>
    </row>
    <row r="55" spans="1:64" ht="11.25" customHeight="1">
      <c r="A55" s="134" t="s">
        <v>1666</v>
      </c>
      <c r="AX55" s="946" t="s">
        <v>1667</v>
      </c>
      <c r="AZ55" s="946" t="s">
        <v>1203</v>
      </c>
      <c r="BE55" s="946">
        <v>2053</v>
      </c>
      <c r="BJ55" s="963" t="s">
        <v>943</v>
      </c>
      <c r="BL55" s="963" t="s">
        <v>943</v>
      </c>
    </row>
    <row r="56" spans="1:64" ht="11.25" customHeight="1">
      <c r="A56" s="134" t="s">
        <v>1668</v>
      </c>
      <c r="D56" s="992" t="s">
        <v>1669</v>
      </c>
      <c r="E56" s="962">
        <v>55</v>
      </c>
      <c r="F56" s="134" t="s">
        <v>1670</v>
      </c>
      <c r="AX56" s="946" t="s">
        <v>1671</v>
      </c>
      <c r="AZ56" s="946" t="s">
        <v>1231</v>
      </c>
      <c r="BE56" s="946">
        <v>2054</v>
      </c>
      <c r="BJ56" s="963" t="s">
        <v>1620</v>
      </c>
      <c r="BL56" s="963" t="s">
        <v>1620</v>
      </c>
    </row>
    <row r="57" spans="1:64" ht="11.25" customHeight="1">
      <c r="A57" s="134" t="s">
        <v>1672</v>
      </c>
      <c r="D57" s="992" t="s">
        <v>1673</v>
      </c>
      <c r="E57" s="962">
        <v>66</v>
      </c>
      <c r="F57" s="134" t="s">
        <v>1670</v>
      </c>
      <c r="AX57" s="946" t="s">
        <v>1674</v>
      </c>
      <c r="AZ57" s="946" t="s">
        <v>1266</v>
      </c>
      <c r="BE57" s="946">
        <v>2055</v>
      </c>
      <c r="BJ57" s="963" t="s">
        <v>1629</v>
      </c>
      <c r="BL57" s="963" t="s">
        <v>1629</v>
      </c>
    </row>
    <row r="58" spans="1:64" ht="11.25" customHeight="1">
      <c r="A58" s="134" t="s">
        <v>1675</v>
      </c>
      <c r="D58" s="992" t="s">
        <v>1676</v>
      </c>
      <c r="E58" s="962">
        <v>44</v>
      </c>
      <c r="F58" s="134" t="s">
        <v>1670</v>
      </c>
      <c r="AX58" s="946" t="s">
        <v>1677</v>
      </c>
      <c r="BE58" s="946">
        <v>2056</v>
      </c>
      <c r="BJ58" s="963" t="s">
        <v>1633</v>
      </c>
      <c r="BL58" s="963" t="s">
        <v>1633</v>
      </c>
    </row>
    <row r="59" spans="1:64" ht="11.25" customHeight="1">
      <c r="A59" s="134" t="s">
        <v>1678</v>
      </c>
      <c r="D59" s="992" t="s">
        <v>127</v>
      </c>
      <c r="E59" s="962" t="s">
        <v>1500</v>
      </c>
      <c r="F59" s="134" t="s">
        <v>1679</v>
      </c>
      <c r="AX59" s="946" t="s">
        <v>1680</v>
      </c>
      <c r="AZ59" s="924" t="s">
        <v>1681</v>
      </c>
      <c r="BE59" s="946">
        <v>2057</v>
      </c>
      <c r="BJ59" s="963" t="s">
        <v>1637</v>
      </c>
      <c r="BL59" s="963" t="s">
        <v>1637</v>
      </c>
    </row>
    <row r="60" spans="1:64" ht="11.25" customHeight="1">
      <c r="A60" s="134" t="s">
        <v>1682</v>
      </c>
      <c r="D60" s="992" t="s">
        <v>1683</v>
      </c>
      <c r="E60" s="962" t="s">
        <v>1500</v>
      </c>
      <c r="F60" s="134" t="s">
        <v>1679</v>
      </c>
      <c r="AX60" s="946" t="s">
        <v>1684</v>
      </c>
      <c r="AZ60" s="946" t="s">
        <v>1204</v>
      </c>
      <c r="BE60" s="946">
        <v>2058</v>
      </c>
      <c r="BJ60" s="963" t="s">
        <v>1643</v>
      </c>
      <c r="BL60" s="963" t="s">
        <v>1643</v>
      </c>
    </row>
    <row r="61" spans="1:64" ht="11.25" customHeight="1">
      <c r="A61" s="134" t="s">
        <v>1685</v>
      </c>
      <c r="D61" s="992" t="s">
        <v>1686</v>
      </c>
      <c r="E61" s="962">
        <v>26</v>
      </c>
      <c r="F61" s="134" t="s">
        <v>1679</v>
      </c>
      <c r="AX61" s="946" t="s">
        <v>1687</v>
      </c>
      <c r="AZ61" s="946" t="s">
        <v>1232</v>
      </c>
      <c r="BE61" s="946">
        <v>2059</v>
      </c>
      <c r="BL61" s="963" t="s">
        <v>935</v>
      </c>
    </row>
    <row r="62" spans="1:64" ht="11.25" customHeight="1">
      <c r="A62" s="134" t="s">
        <v>1688</v>
      </c>
      <c r="D62" s="992" t="s">
        <v>126</v>
      </c>
      <c r="E62" s="962">
        <v>30</v>
      </c>
      <c r="F62" s="134" t="s">
        <v>1679</v>
      </c>
      <c r="AZ62" s="946" t="s">
        <v>1267</v>
      </c>
      <c r="BE62" s="946">
        <v>2060</v>
      </c>
      <c r="BL62" s="963" t="s">
        <v>937</v>
      </c>
    </row>
    <row r="63" spans="1:64" ht="11.25" customHeight="1">
      <c r="A63" s="134" t="s">
        <v>1689</v>
      </c>
      <c r="D63" s="992" t="s">
        <v>1690</v>
      </c>
      <c r="E63" s="962">
        <v>30</v>
      </c>
      <c r="F63" s="134" t="s">
        <v>1679</v>
      </c>
      <c r="AZ63" s="946" t="s">
        <v>1299</v>
      </c>
      <c r="BE63" s="946">
        <v>2061</v>
      </c>
    </row>
    <row r="64" spans="1:64" ht="11.25" customHeight="1">
      <c r="A64" s="134" t="s">
        <v>1691</v>
      </c>
      <c r="D64" s="992" t="s">
        <v>1692</v>
      </c>
      <c r="E64" s="962">
        <v>30</v>
      </c>
      <c r="F64" s="134" t="s">
        <v>1679</v>
      </c>
      <c r="AZ64" s="946" t="s">
        <v>1322</v>
      </c>
      <c r="BE64" s="946">
        <v>2062</v>
      </c>
    </row>
    <row r="65" spans="1:66" ht="11.25" customHeight="1">
      <c r="A65" s="134" t="s">
        <v>1693</v>
      </c>
      <c r="D65" s="134"/>
      <c r="BE65" s="946">
        <v>2063</v>
      </c>
    </row>
    <row r="66" spans="1:66" ht="11.25" customHeight="1">
      <c r="A66" s="134" t="s">
        <v>1694</v>
      </c>
      <c r="AZ66" s="924" t="s">
        <v>1695</v>
      </c>
      <c r="BE66" s="946">
        <v>2064</v>
      </c>
    </row>
    <row r="67" spans="1:66" ht="11.25" customHeight="1">
      <c r="A67" s="134" t="s">
        <v>1696</v>
      </c>
      <c r="AZ67" s="946" t="s">
        <v>1205</v>
      </c>
      <c r="BE67" s="946">
        <v>2065</v>
      </c>
    </row>
    <row r="68" spans="1:66" ht="11.25" customHeight="1">
      <c r="A68" s="134" t="s">
        <v>1697</v>
      </c>
      <c r="AZ68" s="946" t="s">
        <v>1233</v>
      </c>
      <c r="BE68" s="946">
        <v>2066</v>
      </c>
      <c r="BH68" s="924" t="s">
        <v>1698</v>
      </c>
      <c r="BJ68" s="924" t="s">
        <v>1699</v>
      </c>
      <c r="BL68" s="924" t="s">
        <v>1700</v>
      </c>
      <c r="BN68" s="924" t="s">
        <v>1701</v>
      </c>
    </row>
    <row r="69" spans="1:66" ht="11.25" customHeight="1">
      <c r="A69" s="134" t="s">
        <v>1702</v>
      </c>
      <c r="AZ69" s="946" t="s">
        <v>1268</v>
      </c>
      <c r="BE69" s="946">
        <v>2067</v>
      </c>
      <c r="BH69" s="948" t="s">
        <v>1703</v>
      </c>
      <c r="BI69" s="209" t="s">
        <v>105</v>
      </c>
      <c r="BJ69" s="948" t="s">
        <v>1704</v>
      </c>
      <c r="BK69" s="209" t="s">
        <v>105</v>
      </c>
      <c r="BL69" s="948" t="s">
        <v>1705</v>
      </c>
      <c r="BN69" s="948" t="s">
        <v>1706</v>
      </c>
    </row>
    <row r="70" spans="1:66" ht="11.25" customHeight="1">
      <c r="A70" s="134" t="s">
        <v>1707</v>
      </c>
      <c r="AZ70" s="946" t="s">
        <v>1300</v>
      </c>
      <c r="BE70" s="946">
        <v>2068</v>
      </c>
      <c r="BH70" s="948" t="s">
        <v>1708</v>
      </c>
      <c r="BJ70" s="948" t="s">
        <v>1709</v>
      </c>
      <c r="BL70" s="948" t="s">
        <v>1710</v>
      </c>
      <c r="BN70" s="948" t="s">
        <v>1711</v>
      </c>
    </row>
    <row r="71" spans="1:66" ht="11.25" customHeight="1">
      <c r="A71" s="134" t="s">
        <v>1712</v>
      </c>
      <c r="AZ71" s="946" t="s">
        <v>1302</v>
      </c>
      <c r="BE71" s="946">
        <v>2069</v>
      </c>
      <c r="BH71" s="948" t="s">
        <v>1713</v>
      </c>
      <c r="BI71" s="209" t="s">
        <v>86</v>
      </c>
      <c r="BJ71" s="948" t="s">
        <v>1714</v>
      </c>
      <c r="BK71" s="209" t="s">
        <v>86</v>
      </c>
      <c r="BL71" s="948" t="s">
        <v>1715</v>
      </c>
      <c r="BN71" s="948" t="s">
        <v>1716</v>
      </c>
    </row>
    <row r="72" spans="1:66" ht="11.25" customHeight="1">
      <c r="A72" s="134" t="s">
        <v>1717</v>
      </c>
      <c r="AZ72" s="946" t="s">
        <v>53</v>
      </c>
      <c r="BE72" s="946">
        <v>2070</v>
      </c>
      <c r="BH72" s="948" t="s">
        <v>1718</v>
      </c>
      <c r="BJ72" s="948" t="s">
        <v>1718</v>
      </c>
      <c r="BL72" s="948" t="s">
        <v>1718</v>
      </c>
      <c r="BN72" s="948" t="s">
        <v>1719</v>
      </c>
    </row>
    <row r="73" spans="1:66" ht="11.25" customHeight="1">
      <c r="A73" s="134" t="s">
        <v>14</v>
      </c>
      <c r="BH73" s="948" t="s">
        <v>1720</v>
      </c>
      <c r="BI73" s="209" t="s">
        <v>107</v>
      </c>
      <c r="BJ73" s="948" t="s">
        <v>1721</v>
      </c>
      <c r="BK73" s="209" t="s">
        <v>107</v>
      </c>
      <c r="BL73" s="948" t="s">
        <v>1722</v>
      </c>
      <c r="BN73" s="948" t="s">
        <v>1723</v>
      </c>
    </row>
    <row r="74" spans="1:66" ht="11.25" customHeight="1">
      <c r="A74" s="134" t="s">
        <v>1724</v>
      </c>
      <c r="BH74" s="948" t="s">
        <v>1725</v>
      </c>
      <c r="BJ74" s="948" t="s">
        <v>1726</v>
      </c>
      <c r="BL74" s="948" t="s">
        <v>1727</v>
      </c>
      <c r="BN74" s="948" t="s">
        <v>1728</v>
      </c>
    </row>
    <row r="75" spans="1:66" ht="11.25" customHeight="1">
      <c r="A75" s="134" t="s">
        <v>1729</v>
      </c>
      <c r="AZ75" s="924" t="s">
        <v>1730</v>
      </c>
      <c r="BH75" s="948" t="s">
        <v>1731</v>
      </c>
      <c r="BJ75" s="948" t="s">
        <v>1731</v>
      </c>
      <c r="BL75" s="948" t="s">
        <v>1731</v>
      </c>
    </row>
    <row r="76" spans="1:66" ht="11.25" customHeight="1">
      <c r="A76" s="134" t="s">
        <v>1732</v>
      </c>
      <c r="AZ76" s="946" t="s">
        <v>1214</v>
      </c>
      <c r="BH76" s="948" t="s">
        <v>1733</v>
      </c>
      <c r="BJ76" s="948" t="s">
        <v>1734</v>
      </c>
      <c r="BL76" s="993" t="s">
        <v>1735</v>
      </c>
    </row>
    <row r="77" spans="1:66" ht="11.25" customHeight="1">
      <c r="A77" s="134" t="s">
        <v>1736</v>
      </c>
      <c r="AZ77" s="946" t="s">
        <v>1243</v>
      </c>
    </row>
    <row r="78" spans="1:66" ht="11.25" customHeight="1">
      <c r="A78" s="134" t="s">
        <v>1737</v>
      </c>
      <c r="AZ78" s="946" t="s">
        <v>1275</v>
      </c>
    </row>
    <row r="79" spans="1:66" ht="11.25" customHeight="1">
      <c r="A79" s="134" t="s">
        <v>1738</v>
      </c>
      <c r="AZ79" s="946" t="s">
        <v>1306</v>
      </c>
      <c r="BH79" s="924" t="s">
        <v>1739</v>
      </c>
      <c r="BJ79" s="924" t="s">
        <v>1740</v>
      </c>
      <c r="BL79" s="924" t="s">
        <v>1741</v>
      </c>
    </row>
    <row r="80" spans="1:66" ht="11.25" customHeight="1">
      <c r="A80" s="134" t="s">
        <v>1742</v>
      </c>
      <c r="AZ80" s="946" t="s">
        <v>1327</v>
      </c>
      <c r="BH80" s="948" t="s">
        <v>1743</v>
      </c>
      <c r="BJ80" s="948" t="s">
        <v>1744</v>
      </c>
      <c r="BL80" s="948" t="s">
        <v>1745</v>
      </c>
    </row>
    <row r="81" spans="1:66" ht="11.25" customHeight="1">
      <c r="A81" s="134" t="s">
        <v>1746</v>
      </c>
      <c r="AZ81" s="946" t="s">
        <v>1344</v>
      </c>
      <c r="BH81" s="948" t="s">
        <v>1747</v>
      </c>
      <c r="BJ81" s="948" t="s">
        <v>1748</v>
      </c>
      <c r="BL81" s="948" t="s">
        <v>1749</v>
      </c>
    </row>
    <row r="82" spans="1:66" ht="11.25" customHeight="1">
      <c r="A82" s="134" t="s">
        <v>1750</v>
      </c>
      <c r="AZ82" s="946" t="s">
        <v>1358</v>
      </c>
      <c r="BH82" s="948" t="s">
        <v>1751</v>
      </c>
      <c r="BJ82" s="948" t="s">
        <v>1752</v>
      </c>
      <c r="BL82" s="948" t="s">
        <v>1753</v>
      </c>
    </row>
    <row r="83" spans="1:66" ht="11.25" customHeight="1">
      <c r="A83" s="134" t="s">
        <v>1754</v>
      </c>
      <c r="BH83" s="948" t="s">
        <v>1755</v>
      </c>
      <c r="BJ83" s="948" t="s">
        <v>1756</v>
      </c>
      <c r="BL83" s="948" t="s">
        <v>1757</v>
      </c>
    </row>
    <row r="84" spans="1:66" ht="11.25" customHeight="1">
      <c r="A84" s="134" t="s">
        <v>1758</v>
      </c>
      <c r="AZ84" s="924" t="s">
        <v>1759</v>
      </c>
    </row>
    <row r="85" spans="1:66" ht="11.25" customHeight="1">
      <c r="A85" s="966" t="s">
        <v>1760</v>
      </c>
      <c r="AZ85" s="946" t="s">
        <v>1761</v>
      </c>
    </row>
    <row r="86" spans="1:66" ht="11.25" customHeight="1">
      <c r="A86" s="134" t="s">
        <v>1762</v>
      </c>
      <c r="AZ86" s="946" t="s">
        <v>1763</v>
      </c>
      <c r="BH86" s="924" t="s">
        <v>1764</v>
      </c>
      <c r="BJ86" s="924" t="s">
        <v>1765</v>
      </c>
      <c r="BL86" s="924" t="s">
        <v>1766</v>
      </c>
    </row>
    <row r="87" spans="1:66" ht="11.25" customHeight="1">
      <c r="A87" s="134" t="s">
        <v>1767</v>
      </c>
      <c r="AZ87" s="946" t="s">
        <v>1768</v>
      </c>
      <c r="BH87" s="948" t="s">
        <v>1769</v>
      </c>
      <c r="BJ87" s="948" t="s">
        <v>1770</v>
      </c>
      <c r="BL87" s="948" t="s">
        <v>1771</v>
      </c>
    </row>
    <row r="88" spans="1:66" ht="11.25" customHeight="1">
      <c r="A88" s="134" t="s">
        <v>1772</v>
      </c>
      <c r="AZ88" s="59"/>
      <c r="BH88" s="948" t="s">
        <v>1773</v>
      </c>
      <c r="BJ88" s="948" t="s">
        <v>1774</v>
      </c>
      <c r="BL88" s="948" t="s">
        <v>1775</v>
      </c>
    </row>
    <row r="89" spans="1:66" ht="11.25" customHeight="1">
      <c r="A89" s="134" t="s">
        <v>1776</v>
      </c>
      <c r="AZ89" s="924" t="s">
        <v>1777</v>
      </c>
    </row>
    <row r="90" spans="1:66" ht="11.25" customHeight="1">
      <c r="A90" s="134" t="s">
        <v>1778</v>
      </c>
      <c r="AZ90" s="946" t="s">
        <v>913</v>
      </c>
    </row>
    <row r="91" spans="1:66" ht="11.25" customHeight="1">
      <c r="A91" s="134" t="s">
        <v>1779</v>
      </c>
      <c r="AZ91" s="946" t="s">
        <v>949</v>
      </c>
      <c r="BH91" s="924" t="s">
        <v>1780</v>
      </c>
      <c r="BJ91" s="924" t="s">
        <v>1781</v>
      </c>
      <c r="BL91" s="924" t="s">
        <v>1782</v>
      </c>
    </row>
    <row r="92" spans="1:66" ht="11.25" customHeight="1">
      <c r="AZ92" s="946" t="s">
        <v>1783</v>
      </c>
      <c r="BH92" s="948" t="s">
        <v>1784</v>
      </c>
      <c r="BJ92" s="948" t="s">
        <v>1785</v>
      </c>
      <c r="BL92" s="948" t="s">
        <v>1786</v>
      </c>
    </row>
    <row r="93" spans="1:66" ht="11.25" customHeight="1">
      <c r="AZ93" s="946" t="s">
        <v>1787</v>
      </c>
      <c r="BH93" s="948" t="s">
        <v>1788</v>
      </c>
      <c r="BJ93" s="948" t="s">
        <v>1789</v>
      </c>
      <c r="BL93" s="948" t="s">
        <v>1790</v>
      </c>
    </row>
    <row r="94" spans="1:66" ht="11.25" customHeight="1">
      <c r="AZ94" s="946" t="s">
        <v>1791</v>
      </c>
    </row>
    <row r="96" spans="1:66" ht="11.25" customHeight="1">
      <c r="AZ96" s="924" t="s">
        <v>1792</v>
      </c>
      <c r="BH96" s="924" t="s">
        <v>1793</v>
      </c>
      <c r="BJ96" s="924" t="s">
        <v>1794</v>
      </c>
      <c r="BL96" s="924" t="s">
        <v>1795</v>
      </c>
      <c r="BN96" s="924" t="s">
        <v>1796</v>
      </c>
    </row>
    <row r="97" spans="52:66" ht="11.25" customHeight="1">
      <c r="AZ97" s="946" t="s">
        <v>1797</v>
      </c>
      <c r="BH97" s="948" t="s">
        <v>1798</v>
      </c>
      <c r="BJ97" s="948" t="s">
        <v>1799</v>
      </c>
      <c r="BL97" s="948" t="s">
        <v>1800</v>
      </c>
      <c r="BN97" s="948" t="s">
        <v>1801</v>
      </c>
    </row>
    <row r="98" spans="52:66" ht="11.25" customHeight="1">
      <c r="AZ98" s="946" t="s">
        <v>1802</v>
      </c>
      <c r="BH98" s="948" t="s">
        <v>1803</v>
      </c>
      <c r="BJ98" s="948" t="s">
        <v>1804</v>
      </c>
      <c r="BL98" s="948" t="s">
        <v>1805</v>
      </c>
      <c r="BN98" s="948" t="s">
        <v>1806</v>
      </c>
    </row>
    <row r="99" spans="52:66" ht="11.25" customHeight="1">
      <c r="AZ99" s="946" t="s">
        <v>1807</v>
      </c>
      <c r="BH99" s="948" t="s">
        <v>1808</v>
      </c>
      <c r="BJ99" s="948" t="s">
        <v>1809</v>
      </c>
      <c r="BL99" s="948" t="s">
        <v>1810</v>
      </c>
      <c r="BN99" s="948" t="s">
        <v>1811</v>
      </c>
    </row>
    <row r="100" spans="52:66" ht="11.25" customHeight="1">
      <c r="BJ100" s="948" t="s">
        <v>1404</v>
      </c>
      <c r="BL100" s="948" t="s">
        <v>1404</v>
      </c>
      <c r="BN100" s="948" t="s">
        <v>1812</v>
      </c>
    </row>
    <row r="101" spans="52:66" ht="11.25" customHeight="1">
      <c r="AZ101" s="924" t="s">
        <v>1813</v>
      </c>
      <c r="BN101" s="948" t="s">
        <v>1814</v>
      </c>
    </row>
    <row r="102" spans="52:66" ht="11.25" customHeight="1">
      <c r="AZ102" s="946" t="s">
        <v>1815</v>
      </c>
      <c r="BN102" s="948" t="s">
        <v>1816</v>
      </c>
    </row>
    <row r="103" spans="52:66" ht="11.25" customHeight="1">
      <c r="AZ103" s="946" t="s">
        <v>1817</v>
      </c>
      <c r="BN103" s="948" t="s">
        <v>1818</v>
      </c>
    </row>
    <row r="104" spans="52:66" ht="11.25" customHeight="1">
      <c r="AZ104" s="946" t="s">
        <v>551</v>
      </c>
      <c r="BN104" s="948" t="s">
        <v>1819</v>
      </c>
    </row>
    <row r="107" spans="52:66" ht="11.25" customHeight="1">
      <c r="BH107" s="924" t="s">
        <v>1820</v>
      </c>
      <c r="BJ107" s="924" t="s">
        <v>1821</v>
      </c>
      <c r="BL107" s="924" t="s">
        <v>1822</v>
      </c>
      <c r="BN107" s="924" t="s">
        <v>1823</v>
      </c>
    </row>
    <row r="108" spans="52:66" ht="11.25" customHeight="1">
      <c r="BH108" s="948" t="s">
        <v>1824</v>
      </c>
      <c r="BJ108" s="948" t="s">
        <v>1825</v>
      </c>
      <c r="BL108" s="948" t="s">
        <v>247</v>
      </c>
      <c r="BN108" s="948" t="s">
        <v>1826</v>
      </c>
    </row>
    <row r="109" spans="52:66" ht="11.25" customHeight="1">
      <c r="BH109" s="948" t="s">
        <v>1827</v>
      </c>
    </row>
    <row r="110" spans="52:66" ht="11.25" customHeight="1">
      <c r="BH110" s="948" t="s">
        <v>1827</v>
      </c>
    </row>
    <row r="114" spans="60:60" ht="11.25" customHeight="1">
      <c r="BH114" s="924" t="s">
        <v>1828</v>
      </c>
    </row>
    <row r="115" spans="60:60" ht="11.25" customHeight="1">
      <c r="BH115" s="948" t="s">
        <v>506</v>
      </c>
    </row>
    <row r="116" spans="60:60" ht="11.25" customHeight="1">
      <c r="BH116" s="948" t="s">
        <v>1229</v>
      </c>
    </row>
    <row r="117" spans="60:60" ht="11.25" customHeight="1">
      <c r="BH117" s="948" t="s">
        <v>1264</v>
      </c>
    </row>
    <row r="118" spans="60:60" ht="11.25" customHeight="1">
      <c r="BH118" s="948" t="s">
        <v>1297</v>
      </c>
    </row>
  </sheetData>
  <pageMargins left="0.75" right="0.75" top="0.875" bottom="0.875" header="0.5" footer="0.5"/>
  <pageSetup paperSize="9" orientation="portrait" horizontalDpi="300" verticalDpi="300"/>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zoomScaleNormal="100" workbookViewId="0"/>
  </sheetViews>
  <sheetFormatPr defaultColWidth="43.140625" defaultRowHeight="11.25"/>
  <cols>
    <col min="1" max="1" width="43.140625" style="994"/>
    <col min="2" max="2" width="43.140625" style="994" hidden="1"/>
    <col min="3" max="3" width="43.140625" style="994"/>
    <col min="4" max="5" width="36.42578125" style="994" customWidth="1"/>
    <col min="6" max="8" width="36.42578125" style="995" customWidth="1"/>
  </cols>
  <sheetData>
    <row r="1" spans="1:8" ht="9" customHeight="1">
      <c r="A1" s="996" t="s">
        <v>1829</v>
      </c>
      <c r="B1" s="996"/>
      <c r="C1" s="997" t="s">
        <v>1830</v>
      </c>
      <c r="D1" s="998" t="s">
        <v>702</v>
      </c>
      <c r="E1" s="998" t="s">
        <v>748</v>
      </c>
      <c r="F1" s="998" t="s">
        <v>800</v>
      </c>
      <c r="G1" s="998" t="s">
        <v>786</v>
      </c>
      <c r="H1" s="998" t="s">
        <v>1604</v>
      </c>
    </row>
    <row r="2" spans="1:8" ht="9" customHeight="1">
      <c r="A2" s="999" t="s">
        <v>1831</v>
      </c>
      <c r="B2" s="999"/>
      <c r="C2" s="1000" t="str">
        <f>INDEX(TEMPLATE_NUMBER_FORM_LIST,MATCH(TEMPLATE_SPHERE,TEMPLATE_SPHERE_LIST,0))</f>
        <v>10</v>
      </c>
      <c r="D2" s="999" t="s">
        <v>1455</v>
      </c>
      <c r="E2" s="999" t="s">
        <v>145</v>
      </c>
      <c r="F2" s="1001" t="s">
        <v>145</v>
      </c>
      <c r="G2" s="999" t="s">
        <v>145</v>
      </c>
      <c r="H2" s="1002"/>
    </row>
    <row r="3" spans="1:8" ht="63" customHeight="1">
      <c r="A3" s="996"/>
      <c r="B3" s="996" t="s">
        <v>105</v>
      </c>
      <c r="C3" s="100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00" t="s">
        <v>1832</v>
      </c>
      <c r="E3" s="100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01"/>
      <c r="G3" s="1002"/>
      <c r="H3" s="996"/>
    </row>
    <row r="4" spans="1:8" ht="243" customHeight="1">
      <c r="A4" s="996" t="s">
        <v>1833</v>
      </c>
      <c r="B4" s="996" t="s">
        <v>106</v>
      </c>
      <c r="C4" s="1000" t="str">
        <f>IF(TEMPLATE_SPHERE="HEAT",D4,IF(TEMPLATE_SPHERE="TKO",H4,E4))</f>
        <v>Форма 1. Информация об организации, осуществляющей водоотведение (общая информация)</v>
      </c>
      <c r="D4" s="999" t="s">
        <v>1834</v>
      </c>
      <c r="E4" s="100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9"/>
      <c r="G4" s="999"/>
      <c r="H4" s="996" t="s">
        <v>1835</v>
      </c>
    </row>
    <row r="5" spans="1:8" ht="117" customHeight="1">
      <c r="A5" s="996" t="s">
        <v>1836</v>
      </c>
      <c r="B5" s="996" t="s">
        <v>86</v>
      </c>
      <c r="C5" s="100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96" t="s">
        <v>1837</v>
      </c>
      <c r="E5" s="100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02"/>
      <c r="G5" s="1002"/>
      <c r="H5" s="996" t="s">
        <v>1838</v>
      </c>
    </row>
    <row r="6" spans="1:8" ht="45" customHeight="1">
      <c r="A6" s="996" t="s">
        <v>1839</v>
      </c>
      <c r="B6" s="996" t="s">
        <v>87</v>
      </c>
      <c r="C6" s="100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96" t="s">
        <v>1840</v>
      </c>
      <c r="E6" s="100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96"/>
      <c r="G6" s="996"/>
      <c r="H6" s="1002"/>
    </row>
    <row r="7" spans="1:8" ht="45" customHeight="1">
      <c r="A7" s="996" t="s">
        <v>1841</v>
      </c>
      <c r="B7" s="996" t="s">
        <v>107</v>
      </c>
      <c r="C7" s="100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96" t="s">
        <v>1842</v>
      </c>
      <c r="E7" s="996" t="s">
        <v>1843</v>
      </c>
      <c r="F7" s="1002"/>
      <c r="G7" s="1002"/>
      <c r="H7" s="1002"/>
    </row>
    <row r="8" spans="1:8" ht="108" customHeight="1">
      <c r="A8" s="996" t="s">
        <v>1844</v>
      </c>
      <c r="B8" s="996" t="s">
        <v>88</v>
      </c>
      <c r="C8" s="100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96" t="s">
        <v>1845</v>
      </c>
      <c r="E8" s="996" t="s">
        <v>1846</v>
      </c>
      <c r="F8" s="1002"/>
      <c r="G8" s="1002"/>
      <c r="H8" s="1002"/>
    </row>
    <row r="9" spans="1:8" ht="99" customHeight="1">
      <c r="A9" s="996" t="s">
        <v>1847</v>
      </c>
      <c r="B9" s="996"/>
      <c r="C9" s="996" t="s">
        <v>1848</v>
      </c>
      <c r="D9" s="996"/>
      <c r="E9" s="996"/>
      <c r="F9" s="1002"/>
      <c r="G9" s="1002"/>
      <c r="H9" s="1002"/>
    </row>
    <row r="10" spans="1:8" ht="126" customHeight="1">
      <c r="A10" s="996" t="s">
        <v>1849</v>
      </c>
      <c r="B10" s="996"/>
      <c r="C10" s="996" t="s">
        <v>1850</v>
      </c>
      <c r="D10" s="996"/>
      <c r="E10" s="996"/>
      <c r="F10" s="1002"/>
      <c r="G10" s="1002"/>
      <c r="H10" s="1002"/>
    </row>
    <row r="11" spans="1:8" ht="108" customHeight="1">
      <c r="A11" s="996" t="s">
        <v>1851</v>
      </c>
      <c r="B11" s="996"/>
      <c r="C11" s="996" t="s">
        <v>1852</v>
      </c>
      <c r="D11" s="996"/>
      <c r="E11" s="996"/>
      <c r="F11" s="1002"/>
      <c r="G11" s="1002"/>
      <c r="H11" s="1002"/>
    </row>
    <row r="12" spans="1:8" ht="54" customHeight="1">
      <c r="A12" s="996" t="s">
        <v>1853</v>
      </c>
      <c r="B12" s="996"/>
      <c r="C12" s="996" t="s">
        <v>1854</v>
      </c>
      <c r="D12" s="996"/>
      <c r="E12" s="996"/>
      <c r="F12" s="1002"/>
      <c r="G12" s="1002"/>
      <c r="H12" s="1002"/>
    </row>
    <row r="13" spans="1:8" ht="45" customHeight="1">
      <c r="A13" s="996" t="s">
        <v>1855</v>
      </c>
      <c r="B13" s="996"/>
      <c r="C13" s="996" t="s">
        <v>1856</v>
      </c>
      <c r="D13" s="996"/>
      <c r="E13" s="996"/>
      <c r="F13" s="1002"/>
      <c r="G13" s="1002"/>
      <c r="H13" s="1002"/>
    </row>
    <row r="14" spans="1:8" ht="117" customHeight="1">
      <c r="A14" s="996" t="s">
        <v>1857</v>
      </c>
      <c r="B14" s="996"/>
      <c r="C14" s="996" t="s">
        <v>1858</v>
      </c>
      <c r="D14" s="996"/>
      <c r="E14" s="996"/>
      <c r="F14" s="1002"/>
      <c r="G14" s="1002"/>
      <c r="H14" s="1002"/>
    </row>
    <row r="15" spans="1:8" ht="117" customHeight="1">
      <c r="A15" s="996" t="s">
        <v>1859</v>
      </c>
      <c r="B15" s="996"/>
      <c r="C15" s="996" t="s">
        <v>1860</v>
      </c>
      <c r="D15" s="996"/>
      <c r="E15" s="996"/>
      <c r="F15" s="1002"/>
      <c r="G15" s="1002"/>
      <c r="H15" s="1002"/>
    </row>
    <row r="16" spans="1:8" ht="63" customHeight="1">
      <c r="A16" s="996" t="s">
        <v>1861</v>
      </c>
      <c r="B16" s="996"/>
      <c r="C16" s="996" t="s">
        <v>1862</v>
      </c>
      <c r="D16" s="996"/>
      <c r="E16" s="996"/>
      <c r="F16" s="1002"/>
      <c r="G16" s="1002"/>
      <c r="H16" s="1002"/>
    </row>
    <row r="17" spans="1:8" ht="54" customHeight="1">
      <c r="A17" s="996" t="s">
        <v>1863</v>
      </c>
      <c r="B17" s="996"/>
      <c r="C17" s="1004" t="s">
        <v>1864</v>
      </c>
      <c r="D17" s="996"/>
      <c r="E17" s="996"/>
      <c r="F17" s="1002"/>
      <c r="G17" s="1002"/>
      <c r="H17" s="1002"/>
    </row>
    <row r="18" spans="1:8" ht="27" customHeight="1">
      <c r="A18" s="996" t="s">
        <v>1865</v>
      </c>
      <c r="B18" s="996"/>
      <c r="C18" s="1000" t="s">
        <v>1866</v>
      </c>
      <c r="D18" s="996"/>
      <c r="E18" s="996"/>
      <c r="F18" s="1002"/>
      <c r="G18" s="1002"/>
      <c r="H18" s="1002"/>
    </row>
    <row r="19" spans="1:8" ht="54" customHeight="1">
      <c r="A19" s="996" t="s">
        <v>1867</v>
      </c>
      <c r="B19" s="996"/>
      <c r="C19" s="1000" t="s">
        <v>1868</v>
      </c>
      <c r="D19" s="996"/>
      <c r="E19" s="996"/>
      <c r="F19" s="1002"/>
      <c r="G19" s="1002"/>
      <c r="H19" s="1002"/>
    </row>
    <row r="20" spans="1:8" ht="36" customHeight="1">
      <c r="A20" s="996" t="s">
        <v>1869</v>
      </c>
      <c r="B20" s="996"/>
      <c r="C20" s="1000" t="s">
        <v>1870</v>
      </c>
      <c r="D20" s="996"/>
      <c r="E20" s="996"/>
      <c r="F20" s="1002"/>
      <c r="G20" s="1002"/>
      <c r="H20" s="1002"/>
    </row>
    <row r="21" spans="1:8" ht="36" customHeight="1">
      <c r="A21" s="996" t="s">
        <v>1871</v>
      </c>
      <c r="B21" s="996"/>
      <c r="C21" s="1000" t="s">
        <v>1872</v>
      </c>
      <c r="D21" s="996"/>
      <c r="E21" s="996"/>
      <c r="F21" s="1002"/>
      <c r="G21" s="1002"/>
      <c r="H21" s="1002"/>
    </row>
    <row r="22" spans="1:8" ht="27" customHeight="1">
      <c r="A22" s="996" t="s">
        <v>1873</v>
      </c>
      <c r="B22" s="996"/>
      <c r="C22" s="1000" t="s">
        <v>1874</v>
      </c>
      <c r="D22" s="996"/>
      <c r="E22" s="996"/>
      <c r="F22" s="1002"/>
      <c r="G22" s="1002"/>
      <c r="H22" s="1002"/>
    </row>
    <row r="23" spans="1:8" ht="36" customHeight="1">
      <c r="A23" s="996" t="s">
        <v>1875</v>
      </c>
      <c r="B23" s="996"/>
      <c r="C23" s="1000" t="s">
        <v>1876</v>
      </c>
      <c r="D23" s="996"/>
      <c r="E23" s="996"/>
      <c r="F23" s="1002"/>
      <c r="G23" s="1002"/>
      <c r="H23" s="1002"/>
    </row>
    <row r="24" spans="1:8" ht="28.5" customHeight="1">
      <c r="A24" s="996" t="s">
        <v>1877</v>
      </c>
      <c r="B24" s="996"/>
      <c r="C24" s="1000" t="s">
        <v>1878</v>
      </c>
      <c r="D24" s="996"/>
      <c r="E24" s="996"/>
      <c r="F24" s="1002"/>
      <c r="G24" s="1002"/>
      <c r="H24" s="1002"/>
    </row>
    <row r="25" spans="1:8" ht="36" customHeight="1">
      <c r="A25" s="996" t="s">
        <v>1879</v>
      </c>
      <c r="B25" s="996"/>
      <c r="C25" s="1000" t="s">
        <v>1880</v>
      </c>
      <c r="D25" s="996"/>
      <c r="E25" s="996"/>
      <c r="F25" s="1002"/>
      <c r="G25" s="1002"/>
      <c r="H25" s="1002"/>
    </row>
    <row r="26" spans="1:8" ht="27" customHeight="1">
      <c r="A26" s="996" t="s">
        <v>1881</v>
      </c>
      <c r="B26" s="996"/>
      <c r="C26" s="1000" t="s">
        <v>1882</v>
      </c>
      <c r="D26" s="996"/>
      <c r="E26" s="996"/>
      <c r="F26" s="1002"/>
      <c r="G26" s="1002"/>
      <c r="H26" s="1002"/>
    </row>
    <row r="27" spans="1:8" ht="36" customHeight="1">
      <c r="A27" s="996" t="s">
        <v>1883</v>
      </c>
      <c r="B27" s="996"/>
      <c r="C27" s="1000" t="s">
        <v>1884</v>
      </c>
      <c r="D27" s="996"/>
      <c r="E27" s="996"/>
      <c r="F27" s="1002"/>
      <c r="G27" s="1002"/>
      <c r="H27" s="1002"/>
    </row>
    <row r="28" spans="1:8" ht="28.5" customHeight="1">
      <c r="A28" s="996" t="s">
        <v>1885</v>
      </c>
      <c r="B28" s="996"/>
      <c r="C28" s="1000" t="s">
        <v>1886</v>
      </c>
      <c r="D28" s="996"/>
      <c r="E28" s="996"/>
      <c r="F28" s="1002"/>
      <c r="G28" s="1002"/>
      <c r="H28" s="1002"/>
    </row>
    <row r="29" spans="1:8" ht="126" customHeight="1">
      <c r="A29" s="996" t="s">
        <v>1887</v>
      </c>
      <c r="B29" s="996" t="s">
        <v>1555</v>
      </c>
      <c r="C29" s="100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96" t="s">
        <v>1888</v>
      </c>
      <c r="E29" s="100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02"/>
      <c r="G29" s="1002"/>
      <c r="H29" s="996" t="s">
        <v>1889</v>
      </c>
    </row>
    <row r="30" spans="1:8" ht="36" customHeight="1">
      <c r="A30" s="996" t="s">
        <v>1890</v>
      </c>
      <c r="B30" s="996"/>
      <c r="C30" s="100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96" t="s">
        <v>1891</v>
      </c>
      <c r="E30" s="100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02"/>
      <c r="G30" s="1002"/>
      <c r="H30" s="1002"/>
    </row>
    <row r="31" spans="1:8" ht="54" customHeight="1">
      <c r="A31" s="996" t="s">
        <v>1892</v>
      </c>
      <c r="B31" s="996"/>
      <c r="C31" s="1004" t="str">
        <f>IF(TEMPLATE_SPHERE="HEAT",D31,IF(TEMPLATE_SPHERE="TKO",H31,E31))</f>
        <v>Форма 1. Информация об организации, осуществляющей водоотведение (общая информация)</v>
      </c>
      <c r="D31" s="996" t="s">
        <v>1893</v>
      </c>
      <c r="E31" s="100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02"/>
      <c r="G31" s="1002"/>
      <c r="H31" s="1002"/>
    </row>
    <row r="32" spans="1:8" ht="198" customHeight="1">
      <c r="A32" s="996" t="s">
        <v>1894</v>
      </c>
      <c r="B32" s="996"/>
      <c r="C32" s="1004" t="str">
        <f>IF(TEMPLATE_SPHERE="HEAT",D32,IF(TEMPLATE_SPHERE="TKO",H32,E32))</f>
        <v>Форма 7. Информация об инвестиционных программах организации водоотведения и отчетах об их исполнении</v>
      </c>
      <c r="D32" s="996" t="s">
        <v>1895</v>
      </c>
      <c r="E32" s="100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02"/>
      <c r="G32" s="1002"/>
      <c r="H32" s="996" t="s">
        <v>1896</v>
      </c>
    </row>
    <row r="33" spans="1:8" ht="9" customHeight="1">
      <c r="A33" s="996"/>
      <c r="B33" s="996"/>
      <c r="C33" s="1004"/>
      <c r="D33" s="996"/>
      <c r="E33" s="996"/>
      <c r="F33" s="1002"/>
      <c r="G33" s="1002"/>
      <c r="H33" s="1002"/>
    </row>
    <row r="34" spans="1:8" ht="9" customHeight="1">
      <c r="A34" s="996"/>
      <c r="B34" s="996" t="s">
        <v>1491</v>
      </c>
      <c r="C34" s="1004">
        <f>INDEX(TEMPLATE_NAME_FORM_LIST,B34,MATCH(TEMPLATE_SPHERE,TEMPLATE_SPHERE_LIST,0))</f>
        <v>0</v>
      </c>
      <c r="D34" s="996"/>
      <c r="E34" s="996"/>
      <c r="F34" s="1002"/>
      <c r="G34" s="1002"/>
      <c r="H34" s="1002"/>
    </row>
  </sheetData>
  <pageMargins left="0.7" right="0.7" top="0.625" bottom="0.62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zoomScaleNormal="100" workbookViewId="0"/>
  </sheetViews>
  <sheetFormatPr defaultColWidth="9.140625" defaultRowHeight="11.25"/>
  <cols>
    <col min="1" max="2" width="9.140625" style="994"/>
    <col min="3" max="7" width="8" style="1005" customWidth="1"/>
    <col min="8" max="12" width="8.5703125" style="1005" customWidth="1"/>
    <col min="13" max="14" width="27.7109375" style="1005" customWidth="1"/>
    <col min="15" max="19" width="5.140625" style="1005" customWidth="1"/>
    <col min="20" max="24" width="27.7109375" style="1005" customWidth="1"/>
    <col min="25" max="25" width="1.85546875" style="1006" customWidth="1"/>
    <col min="26" max="26" width="27.7109375" style="994" customWidth="1"/>
    <col min="27" max="27" width="27.7109375" style="1007" customWidth="1"/>
    <col min="28" max="29" width="27.7109375" style="994" customWidth="1"/>
    <col min="30" max="30" width="3.85546875" style="994" customWidth="1"/>
    <col min="31" max="34" width="9.140625" style="994"/>
  </cols>
  <sheetData>
    <row r="1" spans="1:34" s="1010" customFormat="1" ht="18" customHeight="1">
      <c r="A1" s="1008"/>
      <c r="B1" s="1008"/>
      <c r="C1" s="1008" t="s">
        <v>1897</v>
      </c>
      <c r="D1" s="1008"/>
      <c r="E1" s="1008"/>
      <c r="F1" s="1008"/>
      <c r="G1" s="1008"/>
      <c r="H1" s="1008" t="s">
        <v>1898</v>
      </c>
      <c r="I1" s="1008"/>
      <c r="J1" s="1008"/>
      <c r="K1" s="1008"/>
      <c r="L1" s="1008"/>
      <c r="M1" s="1008" t="s">
        <v>1899</v>
      </c>
      <c r="N1" s="1008" t="s">
        <v>1900</v>
      </c>
      <c r="O1" s="1304" t="s">
        <v>1901</v>
      </c>
      <c r="P1" s="1304"/>
      <c r="Q1" s="1304"/>
      <c r="R1" s="1304"/>
      <c r="S1" s="1304"/>
      <c r="T1" s="1304" t="s">
        <v>1899</v>
      </c>
      <c r="U1" s="1304"/>
      <c r="V1" s="1304"/>
      <c r="W1" s="1304"/>
      <c r="X1" s="1304"/>
      <c r="Y1" s="1009"/>
      <c r="Z1" s="1304" t="s">
        <v>1902</v>
      </c>
      <c r="AA1" s="1304"/>
      <c r="AB1" s="1304"/>
      <c r="AC1" s="1304"/>
      <c r="AD1" s="1304"/>
    </row>
    <row r="2" spans="1:34" ht="18" customHeight="1">
      <c r="A2" s="996"/>
      <c r="B2" s="996"/>
      <c r="C2" s="1011" t="s">
        <v>702</v>
      </c>
      <c r="D2" s="1011" t="s">
        <v>748</v>
      </c>
      <c r="E2" s="1011" t="s">
        <v>800</v>
      </c>
      <c r="F2" s="1011" t="s">
        <v>786</v>
      </c>
      <c r="G2" s="1011" t="s">
        <v>1604</v>
      </c>
      <c r="H2" s="1012"/>
      <c r="I2" s="1012"/>
      <c r="J2" s="1012"/>
      <c r="K2" s="1012"/>
      <c r="L2" s="1012"/>
      <c r="M2" s="1012"/>
      <c r="N2" s="1012"/>
      <c r="O2" s="1011" t="s">
        <v>702</v>
      </c>
      <c r="P2" s="1011" t="s">
        <v>748</v>
      </c>
      <c r="Q2" s="1011" t="s">
        <v>786</v>
      </c>
      <c r="R2" s="1011" t="s">
        <v>800</v>
      </c>
      <c r="S2" s="1011" t="s">
        <v>1604</v>
      </c>
      <c r="T2" s="1011" t="s">
        <v>702</v>
      </c>
      <c r="U2" s="1011" t="s">
        <v>748</v>
      </c>
      <c r="V2" s="1011" t="s">
        <v>786</v>
      </c>
      <c r="W2" s="1011" t="s">
        <v>800</v>
      </c>
      <c r="X2" s="1011" t="s">
        <v>1604</v>
      </c>
      <c r="Y2" s="1011"/>
      <c r="Z2" s="1011" t="s">
        <v>702</v>
      </c>
      <c r="AA2" s="1013" t="s">
        <v>748</v>
      </c>
      <c r="AB2" s="1011" t="s">
        <v>786</v>
      </c>
      <c r="AC2" s="1011" t="s">
        <v>800</v>
      </c>
      <c r="AD2" s="1011" t="s">
        <v>1604</v>
      </c>
    </row>
    <row r="3" spans="1:34" ht="162" customHeight="1">
      <c r="A3" s="1014" t="s">
        <v>22</v>
      </c>
      <c r="B3" s="1014"/>
      <c r="C3" s="1304" t="s">
        <v>1903</v>
      </c>
      <c r="D3" s="1304"/>
      <c r="E3" s="1304"/>
      <c r="F3" s="1304"/>
      <c r="G3" s="1012"/>
      <c r="H3" s="1012"/>
      <c r="I3" s="1012"/>
      <c r="J3" s="1012"/>
      <c r="K3" s="1012"/>
      <c r="L3" s="1012"/>
      <c r="M3" s="1012"/>
      <c r="N3" s="101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12"/>
      <c r="P3" s="1012"/>
      <c r="Q3" s="1012"/>
      <c r="R3" s="1012"/>
      <c r="S3" s="1012"/>
      <c r="T3" s="1012"/>
      <c r="U3" s="1012"/>
      <c r="V3" s="1012"/>
      <c r="W3" s="1012"/>
      <c r="X3" s="1012"/>
      <c r="Y3" s="1016"/>
      <c r="Z3" s="996" t="s">
        <v>1904</v>
      </c>
      <c r="AA3" s="1012" t="s">
        <v>1905</v>
      </c>
      <c r="AB3" s="996" t="s">
        <v>1906</v>
      </c>
      <c r="AC3" s="996" t="s">
        <v>1907</v>
      </c>
      <c r="AD3" s="996"/>
      <c r="AG3" s="996"/>
      <c r="AH3" s="996"/>
    </row>
    <row r="4" spans="1:34" ht="9" customHeight="1">
      <c r="A4" s="1014"/>
      <c r="B4" s="1014"/>
      <c r="C4" s="1012"/>
      <c r="D4" s="1012"/>
      <c r="E4" s="1012"/>
      <c r="F4" s="1012"/>
      <c r="G4" s="1012"/>
      <c r="H4" s="1012"/>
      <c r="I4" s="1012"/>
      <c r="J4" s="1012"/>
      <c r="K4" s="1012"/>
      <c r="L4" s="1012"/>
      <c r="M4" s="1012"/>
      <c r="N4" s="1012"/>
      <c r="O4" s="1012"/>
      <c r="P4" s="1012"/>
      <c r="Q4" s="1012"/>
      <c r="R4" s="1012"/>
      <c r="S4" s="1012"/>
      <c r="T4" s="1012"/>
      <c r="U4" s="1012"/>
      <c r="V4" s="1012"/>
      <c r="W4" s="1012"/>
      <c r="X4" s="1012"/>
      <c r="Y4" s="1016"/>
      <c r="Z4" s="996"/>
      <c r="AA4" s="1003"/>
      <c r="AB4" s="996"/>
      <c r="AC4" s="996"/>
      <c r="AD4" s="996"/>
    </row>
    <row r="5" spans="1:34" ht="9" customHeight="1">
      <c r="A5" s="1014"/>
      <c r="B5" s="1014"/>
      <c r="C5" s="1012"/>
      <c r="D5" s="1012"/>
      <c r="E5" s="1012"/>
      <c r="F5" s="1012"/>
      <c r="G5" s="1012"/>
      <c r="H5" s="1012"/>
      <c r="I5" s="1012"/>
      <c r="J5" s="1012"/>
      <c r="K5" s="1012"/>
      <c r="L5" s="1012"/>
      <c r="M5" s="1012"/>
      <c r="N5" s="1012"/>
      <c r="O5" s="1012"/>
      <c r="P5" s="1012"/>
      <c r="Q5" s="1012"/>
      <c r="R5" s="1012"/>
      <c r="S5" s="1012"/>
      <c r="T5" s="1012"/>
      <c r="U5" s="1012"/>
      <c r="V5" s="1012"/>
      <c r="W5" s="1012"/>
      <c r="X5" s="1012"/>
      <c r="Y5" s="1016"/>
      <c r="Z5" s="996"/>
      <c r="AA5" s="1003"/>
      <c r="AB5" s="996"/>
      <c r="AC5" s="996"/>
      <c r="AD5" s="996"/>
    </row>
    <row r="6" spans="1:34" ht="9" customHeight="1">
      <c r="A6" s="1014"/>
      <c r="B6" s="1014"/>
      <c r="C6" s="1012"/>
      <c r="D6" s="1012"/>
      <c r="E6" s="1012"/>
      <c r="F6" s="1012"/>
      <c r="G6" s="1012"/>
      <c r="H6" s="1012"/>
      <c r="I6" s="1012"/>
      <c r="J6" s="1012"/>
      <c r="K6" s="1012"/>
      <c r="L6" s="1012"/>
      <c r="M6" s="1012"/>
      <c r="N6" s="1012"/>
      <c r="O6" s="1012"/>
      <c r="P6" s="1012"/>
      <c r="Q6" s="1012"/>
      <c r="R6" s="1012"/>
      <c r="S6" s="1012"/>
      <c r="T6" s="1012"/>
      <c r="U6" s="1012"/>
      <c r="V6" s="1012"/>
      <c r="W6" s="1012"/>
      <c r="X6" s="1012"/>
      <c r="Y6" s="1016"/>
      <c r="Z6" s="996"/>
      <c r="AA6" s="1003"/>
      <c r="AB6" s="996"/>
      <c r="AC6" s="996"/>
      <c r="AD6" s="996"/>
    </row>
    <row r="7" spans="1:34" ht="9" customHeight="1">
      <c r="A7" s="1014"/>
      <c r="B7" s="1014"/>
      <c r="C7" s="1012"/>
      <c r="D7" s="1012"/>
      <c r="E7" s="1012"/>
      <c r="F7" s="1012"/>
      <c r="G7" s="1012"/>
      <c r="H7" s="1012"/>
      <c r="I7" s="1012"/>
      <c r="J7" s="1012"/>
      <c r="K7" s="1012"/>
      <c r="L7" s="1012"/>
      <c r="M7" s="1012"/>
      <c r="N7" s="1012"/>
      <c r="O7" s="1012"/>
      <c r="P7" s="1012"/>
      <c r="Q7" s="1012"/>
      <c r="R7" s="1012"/>
      <c r="S7" s="1012"/>
      <c r="T7" s="1012"/>
      <c r="U7" s="1012"/>
      <c r="V7" s="1012"/>
      <c r="W7" s="1012"/>
      <c r="X7" s="1012"/>
      <c r="Y7" s="1016"/>
      <c r="Z7" s="996"/>
      <c r="AA7" s="1003"/>
      <c r="AB7" s="996"/>
      <c r="AC7" s="996"/>
      <c r="AD7" s="996"/>
    </row>
    <row r="8" spans="1:34" ht="9" customHeight="1">
      <c r="A8" s="1014"/>
      <c r="B8" s="1014"/>
      <c r="C8" s="1012"/>
      <c r="D8" s="1012"/>
      <c r="E8" s="1012"/>
      <c r="F8" s="1012"/>
      <c r="G8" s="1012"/>
      <c r="H8" s="1012"/>
      <c r="I8" s="1012"/>
      <c r="J8" s="1012"/>
      <c r="K8" s="1012"/>
      <c r="L8" s="1012"/>
      <c r="M8" s="1012"/>
      <c r="N8" s="1012"/>
      <c r="O8" s="1012"/>
      <c r="P8" s="1012"/>
      <c r="Q8" s="1012"/>
      <c r="R8" s="1012"/>
      <c r="S8" s="1012"/>
      <c r="T8" s="1012"/>
      <c r="U8" s="1012"/>
      <c r="V8" s="1012"/>
      <c r="W8" s="1012"/>
      <c r="X8" s="1012"/>
      <c r="Y8" s="1016"/>
      <c r="Z8" s="996"/>
      <c r="AA8" s="1003"/>
      <c r="AB8" s="996"/>
      <c r="AC8" s="996"/>
      <c r="AD8" s="996"/>
    </row>
    <row r="9" spans="1:34" ht="9" customHeight="1">
      <c r="A9" s="1014"/>
      <c r="B9" s="1014"/>
      <c r="C9" s="1012"/>
      <c r="D9" s="1012"/>
      <c r="E9" s="1012"/>
      <c r="F9" s="1012"/>
      <c r="G9" s="1012"/>
      <c r="H9" s="1012"/>
      <c r="I9" s="1012"/>
      <c r="J9" s="1012"/>
      <c r="K9" s="1012"/>
      <c r="L9" s="1012"/>
      <c r="M9" s="1012"/>
      <c r="N9" s="1012"/>
      <c r="O9" s="1012"/>
      <c r="P9" s="1012"/>
      <c r="Q9" s="1012"/>
      <c r="R9" s="1012"/>
      <c r="S9" s="1012"/>
      <c r="T9" s="1012"/>
      <c r="U9" s="1012"/>
      <c r="V9" s="1012"/>
      <c r="W9" s="1012"/>
      <c r="X9" s="1012"/>
      <c r="Y9" s="1016"/>
      <c r="Z9" s="996"/>
      <c r="AA9" s="1003"/>
      <c r="AB9" s="996"/>
      <c r="AC9" s="996"/>
      <c r="AD9" s="996"/>
    </row>
    <row r="10" spans="1:34" ht="9" customHeight="1">
      <c r="A10" s="1017"/>
      <c r="B10" s="1017"/>
      <c r="C10" s="1017"/>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row>
    <row r="11" spans="1:34" ht="45" customHeight="1">
      <c r="A11" s="1305" t="s">
        <v>28</v>
      </c>
      <c r="B11" s="1017">
        <v>1</v>
      </c>
      <c r="C11" s="1304" t="s">
        <v>1542</v>
      </c>
      <c r="D11" s="1304" t="s">
        <v>1538</v>
      </c>
      <c r="E11" s="1304" t="s">
        <v>1636</v>
      </c>
      <c r="F11" s="1304" t="s">
        <v>1908</v>
      </c>
      <c r="G11" s="1304"/>
      <c r="H11" s="1008" t="s">
        <v>1909</v>
      </c>
      <c r="I11" s="1008"/>
      <c r="J11" s="1008"/>
      <c r="K11" s="1008"/>
      <c r="L11" s="1008"/>
      <c r="M11" s="1015" t="str">
        <f>IF(TEMPLATE_SPHERE="HEAT",T11,U11)</f>
        <v xml:space="preserve">Количество поданных заявлений </v>
      </c>
      <c r="N11" s="101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12"/>
      <c r="P11" s="1012"/>
      <c r="Q11" s="1012"/>
      <c r="R11" s="1012"/>
      <c r="S11" s="1012"/>
      <c r="T11" s="1012" t="s">
        <v>1910</v>
      </c>
      <c r="U11" s="1012" t="s">
        <v>1911</v>
      </c>
      <c r="V11" s="1012"/>
      <c r="W11" s="1012"/>
      <c r="X11" s="1012"/>
      <c r="Y11" s="1016"/>
      <c r="Z11" s="996" t="s">
        <v>1912</v>
      </c>
      <c r="AA11" s="100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96"/>
      <c r="AC11" s="996"/>
      <c r="AD11" s="996"/>
    </row>
    <row r="12" spans="1:34" ht="45" customHeight="1">
      <c r="A12" s="1305"/>
      <c r="B12" s="1017">
        <v>2</v>
      </c>
      <c r="C12" s="1304"/>
      <c r="D12" s="1304"/>
      <c r="E12" s="1304"/>
      <c r="F12" s="1304"/>
      <c r="G12" s="1304"/>
      <c r="H12" s="1008" t="s">
        <v>1913</v>
      </c>
      <c r="I12" s="1008"/>
      <c r="J12" s="1008"/>
      <c r="K12" s="1008"/>
      <c r="L12" s="1008"/>
      <c r="M12" s="1015" t="str">
        <f>IF(TEMPLATE_SPHERE="HEAT",T12,U12)</f>
        <v xml:space="preserve">Количество исполненных заявлений </v>
      </c>
      <c r="N12" s="101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12"/>
      <c r="P12" s="1012"/>
      <c r="Q12" s="1012"/>
      <c r="R12" s="1012"/>
      <c r="S12" s="1012"/>
      <c r="T12" s="1012" t="s">
        <v>1914</v>
      </c>
      <c r="U12" s="1012" t="s">
        <v>1915</v>
      </c>
      <c r="V12" s="1012"/>
      <c r="W12" s="1012"/>
      <c r="X12" s="1012"/>
      <c r="Y12" s="1016"/>
      <c r="Z12" s="996" t="s">
        <v>1916</v>
      </c>
      <c r="AA12" s="100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96"/>
      <c r="AC12" s="996"/>
      <c r="AD12" s="996"/>
    </row>
    <row r="13" spans="1:34" ht="72" customHeight="1">
      <c r="A13" s="1305"/>
      <c r="B13" s="1017">
        <v>3</v>
      </c>
      <c r="C13" s="1304"/>
      <c r="D13" s="1304"/>
      <c r="E13" s="1304"/>
      <c r="F13" s="1304"/>
      <c r="G13" s="1304"/>
      <c r="H13" s="1304" t="s">
        <v>1917</v>
      </c>
      <c r="I13" s="1008"/>
      <c r="J13" s="1008"/>
      <c r="K13" s="1008"/>
      <c r="L13" s="1008"/>
      <c r="M13" s="1015" t="str">
        <f>IF(TEMPLATE_SPHERE="HEAT",T13,U13)</f>
        <v>Количество заявлений о заключении договоров о подключении (технологическом присоединении)</v>
      </c>
      <c r="N13" s="101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12"/>
      <c r="P13" s="1015"/>
      <c r="Q13" s="1015"/>
      <c r="R13" s="1015"/>
      <c r="S13" s="1012"/>
      <c r="T13" s="1012" t="s">
        <v>1918</v>
      </c>
      <c r="U13" s="1015" t="s">
        <v>1919</v>
      </c>
      <c r="V13" s="1015"/>
      <c r="W13" s="1015"/>
      <c r="X13" s="1012"/>
      <c r="Y13" s="1016"/>
      <c r="Z13" s="996" t="s">
        <v>1920</v>
      </c>
      <c r="AA13" s="100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96"/>
      <c r="AC13" s="996"/>
      <c r="AD13" s="996"/>
    </row>
    <row r="14" spans="1:34" ht="45" customHeight="1">
      <c r="A14" s="1305"/>
      <c r="B14" s="1017">
        <v>4</v>
      </c>
      <c r="C14" s="1304"/>
      <c r="D14" s="1304"/>
      <c r="E14" s="1304"/>
      <c r="F14" s="1304"/>
      <c r="G14" s="1304"/>
      <c r="H14" s="1304"/>
      <c r="I14" s="1018"/>
      <c r="J14" s="1018"/>
      <c r="K14" s="1018"/>
      <c r="L14" s="1018"/>
      <c r="M14" s="101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15" t="str">
        <f t="shared" si="0"/>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2"/>
      <c r="P14" s="1015"/>
      <c r="Q14" s="1015"/>
      <c r="R14" s="1015"/>
      <c r="S14" s="1012"/>
      <c r="T14" s="1012" t="s">
        <v>1921</v>
      </c>
      <c r="U14" s="101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15"/>
      <c r="W14" s="1015"/>
      <c r="X14" s="1012"/>
      <c r="Y14" s="1016"/>
      <c r="Z14" s="996" t="s">
        <v>1922</v>
      </c>
      <c r="AA14" s="1003" t="s">
        <v>1922</v>
      </c>
      <c r="AB14" s="996"/>
      <c r="AC14" s="996"/>
      <c r="AD14" s="996"/>
    </row>
    <row r="15" spans="1:34" ht="108" customHeight="1">
      <c r="A15" s="1305"/>
      <c r="B15" s="1017">
        <v>5</v>
      </c>
      <c r="C15" s="1304"/>
      <c r="D15" s="1304"/>
      <c r="E15" s="1304"/>
      <c r="F15" s="1304"/>
      <c r="G15" s="1304"/>
      <c r="H15" s="1306" t="s">
        <v>1923</v>
      </c>
      <c r="I15" s="1020"/>
      <c r="J15" s="1020"/>
      <c r="K15" s="1020"/>
      <c r="L15" s="1020"/>
      <c r="M15" s="100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21"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12"/>
      <c r="P15" s="1015"/>
      <c r="Q15" s="1015"/>
      <c r="R15" s="1015"/>
      <c r="S15" s="1012"/>
      <c r="T15" s="1012" t="s">
        <v>1924</v>
      </c>
      <c r="U15" s="10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15"/>
      <c r="W15" s="1015"/>
      <c r="X15" s="1012"/>
      <c r="Y15" s="1016"/>
      <c r="Z15" s="996" t="s">
        <v>1925</v>
      </c>
      <c r="AA15" s="100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96"/>
      <c r="AC15" s="996"/>
      <c r="AD15" s="996"/>
    </row>
    <row r="16" spans="1:34" ht="108" customHeight="1">
      <c r="A16" s="1017"/>
      <c r="B16" s="1017">
        <v>6</v>
      </c>
      <c r="C16" s="1304"/>
      <c r="D16" s="1304"/>
      <c r="E16" s="1304"/>
      <c r="F16" s="1304"/>
      <c r="G16" s="1304"/>
      <c r="H16" s="1306"/>
      <c r="I16" s="1022"/>
      <c r="J16" s="1022"/>
      <c r="K16" s="1022"/>
      <c r="L16" s="1022"/>
      <c r="M16" s="1023"/>
      <c r="N16" s="1021"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12"/>
      <c r="P16" s="1015"/>
      <c r="Q16" s="1015"/>
      <c r="R16" s="1015"/>
      <c r="S16" s="1012"/>
      <c r="T16" s="1012"/>
      <c r="U16" s="1015"/>
      <c r="V16" s="1015"/>
      <c r="W16" s="1015"/>
      <c r="X16" s="1012"/>
      <c r="Y16" s="1016"/>
      <c r="Z16" s="996" t="s">
        <v>1925</v>
      </c>
      <c r="AA16" s="100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96"/>
      <c r="AC16" s="996"/>
      <c r="AD16" s="996"/>
    </row>
    <row r="17" spans="1:30" ht="9" customHeight="1">
      <c r="A17" s="1017"/>
      <c r="B17" s="1017"/>
      <c r="C17" s="1017">
        <v>22</v>
      </c>
      <c r="D17" s="1017">
        <v>21</v>
      </c>
      <c r="E17" s="1017">
        <v>42</v>
      </c>
      <c r="F17" s="1017">
        <v>63</v>
      </c>
      <c r="G17" s="1017"/>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row>
    <row r="18" spans="1:30" ht="27" customHeight="1">
      <c r="A18" s="1014" t="s">
        <v>1639</v>
      </c>
      <c r="B18" s="1017">
        <v>1</v>
      </c>
      <c r="C18" s="1012" t="s">
        <v>1909</v>
      </c>
      <c r="D18" s="1024" t="s">
        <v>1909</v>
      </c>
      <c r="E18" s="1012" t="s">
        <v>1909</v>
      </c>
      <c r="F18" s="1012" t="s">
        <v>1909</v>
      </c>
      <c r="G18" s="1012"/>
      <c r="H18" s="1025"/>
      <c r="I18" s="1026">
        <f t="shared" ref="I18:I49" si="1">INDEX(TEMPLATE_NUMBER_POINT_FHD,B18,MATCH(TEMPLATE_SPHERE,TEMPLATE_SPHERE_LIST_FOR_NOTE,0))</f>
        <v>1</v>
      </c>
      <c r="J18" s="1026" t="str">
        <f t="shared" ref="J18:J49" si="2">INDEX(TEMPLATE_DATA_POINT_FHD,B18,MATCH(TEMPLATE_SPHERE,TEMPLATE_SPHERE_LIST_FOR_NOTE,0))</f>
        <v>Выручка от регулируемых видов деятельности в сфере водоотведения</v>
      </c>
      <c r="K18" s="1026" t="str">
        <f t="shared" ref="K18:K49" si="3">INDEX(TEMPLATE_NOTE_POINT_FHD,B18,MATCH(TEMPLATE_SPHERE,TEMPLATE_SPHERE_LIST_FOR_NOTE,0))</f>
        <v>Указывается выручка с распределением по видам деятельности.</v>
      </c>
      <c r="L18" s="1015">
        <f t="shared" ref="L18:L49" si="4">IF(I18=0,"",I18)</f>
        <v>1</v>
      </c>
      <c r="M18" s="1015" t="str">
        <f t="shared" ref="M18:M49" si="5">IF(J18=0,"",J18)</f>
        <v>Выручка от регулируемых видов деятельности в сфере водоотведения</v>
      </c>
      <c r="N18" s="1015" t="str">
        <f t="shared" ref="N18:N49" si="6">IF(K18=0,"",K18)</f>
        <v>Указывается выручка с распределением по видам деятельности.</v>
      </c>
      <c r="O18" s="1027">
        <v>1</v>
      </c>
      <c r="P18" s="1027">
        <v>1</v>
      </c>
      <c r="Q18" s="1027">
        <v>1</v>
      </c>
      <c r="R18" s="1027">
        <v>1</v>
      </c>
      <c r="S18" s="1027"/>
      <c r="T18" s="1028" t="s">
        <v>1926</v>
      </c>
      <c r="U18" s="996" t="s">
        <v>1927</v>
      </c>
      <c r="V18" s="996" t="s">
        <v>1928</v>
      </c>
      <c r="W18" s="996" t="s">
        <v>1929</v>
      </c>
      <c r="X18" s="1012"/>
      <c r="Y18" s="1016"/>
      <c r="Z18" s="996" t="s">
        <v>1930</v>
      </c>
      <c r="AA18" s="1003" t="s">
        <v>1931</v>
      </c>
      <c r="AB18" s="1003" t="s">
        <v>1931</v>
      </c>
      <c r="AC18" s="1003" t="s">
        <v>1931</v>
      </c>
      <c r="AD18" s="996"/>
    </row>
    <row r="19" spans="1:30" ht="36" customHeight="1">
      <c r="A19" s="1014"/>
      <c r="B19" s="1017">
        <v>2</v>
      </c>
      <c r="C19" s="1012" t="s">
        <v>1913</v>
      </c>
      <c r="D19" s="1024" t="s">
        <v>1913</v>
      </c>
      <c r="E19" s="1012" t="s">
        <v>1913</v>
      </c>
      <c r="F19" s="1012" t="s">
        <v>1913</v>
      </c>
      <c r="G19" s="1012"/>
      <c r="H19" s="1025"/>
      <c r="I19" s="1026">
        <f t="shared" si="1"/>
        <v>2</v>
      </c>
      <c r="J19" s="1026" t="str">
        <f t="shared" si="2"/>
        <v>Себестоимость производимых товаров (оказываемых услуг) по регулируемым видам деятельности в сфере водоотведения, включая:</v>
      </c>
      <c r="K19" s="1026" t="str">
        <f t="shared" si="3"/>
        <v>Указывается суммарная себестоимость производимых товаров.</v>
      </c>
      <c r="L19" s="1015">
        <f t="shared" si="4"/>
        <v>2</v>
      </c>
      <c r="M19" s="1015" t="str">
        <f t="shared" si="5"/>
        <v>Себестоимость производимых товаров (оказываемых услуг) по регулируемым видам деятельности в сфере водоотведения, включая:</v>
      </c>
      <c r="N19" s="1015" t="str">
        <f t="shared" si="6"/>
        <v>Указывается суммарная себестоимость производимых товаров.</v>
      </c>
      <c r="O19" s="1027">
        <v>2</v>
      </c>
      <c r="P19" s="1027">
        <v>2</v>
      </c>
      <c r="Q19" s="1027">
        <v>2</v>
      </c>
      <c r="R19" s="1027">
        <v>2</v>
      </c>
      <c r="S19" s="1027"/>
      <c r="T19" s="1028" t="s">
        <v>1932</v>
      </c>
      <c r="U19" s="996" t="s">
        <v>1933</v>
      </c>
      <c r="V19" s="996" t="s">
        <v>1934</v>
      </c>
      <c r="W19" s="996" t="s">
        <v>1935</v>
      </c>
      <c r="X19" s="1012"/>
      <c r="Y19" s="1016"/>
      <c r="Z19" s="996" t="s">
        <v>1936</v>
      </c>
      <c r="AA19" s="1003" t="s">
        <v>1936</v>
      </c>
      <c r="AB19" s="1003" t="s">
        <v>1936</v>
      </c>
      <c r="AC19" s="1003" t="s">
        <v>1936</v>
      </c>
      <c r="AD19" s="996"/>
    </row>
    <row r="20" spans="1:30" ht="27" customHeight="1">
      <c r="A20" s="1014"/>
      <c r="B20" s="1017">
        <v>3</v>
      </c>
      <c r="C20" s="1012">
        <v>1</v>
      </c>
      <c r="D20" s="1024"/>
      <c r="E20" s="1012"/>
      <c r="F20" s="1012"/>
      <c r="G20" s="1012"/>
      <c r="H20" s="1025"/>
      <c r="I20" s="1026" t="str">
        <f t="shared" si="1"/>
        <v>2.1</v>
      </c>
      <c r="J20" s="1026" t="str">
        <f t="shared" si="2"/>
        <v>Расходы на оплату услуг по приему, транспортировке и очистке сточных вод другими организациями</v>
      </c>
      <c r="K20" s="1026">
        <f t="shared" si="3"/>
        <v>0</v>
      </c>
      <c r="L20" s="1015" t="str">
        <f t="shared" si="4"/>
        <v>2.1</v>
      </c>
      <c r="M20" s="1015" t="str">
        <f t="shared" si="5"/>
        <v>Расходы на оплату услуг по приему, транспортировке и очистке сточных вод другими организациями</v>
      </c>
      <c r="N20" s="1015" t="str">
        <f t="shared" si="6"/>
        <v/>
      </c>
      <c r="O20" s="1027" t="s">
        <v>602</v>
      </c>
      <c r="P20" s="1027" t="s">
        <v>602</v>
      </c>
      <c r="Q20" s="1027" t="s">
        <v>602</v>
      </c>
      <c r="R20" s="1027" t="s">
        <v>602</v>
      </c>
      <c r="S20" s="1027"/>
      <c r="T20" s="1028" t="s">
        <v>1937</v>
      </c>
      <c r="U20" s="996" t="s">
        <v>1938</v>
      </c>
      <c r="V20" s="996" t="s">
        <v>1939</v>
      </c>
      <c r="W20" s="996" t="s">
        <v>1940</v>
      </c>
      <c r="X20" s="1012"/>
      <c r="Y20" s="1016"/>
      <c r="Z20" s="996"/>
      <c r="AA20" s="1003"/>
      <c r="AB20" s="996"/>
      <c r="AC20" s="996"/>
      <c r="AD20" s="996"/>
    </row>
    <row r="21" spans="1:30" ht="36" customHeight="1">
      <c r="A21" s="1014"/>
      <c r="B21" s="1017">
        <v>4</v>
      </c>
      <c r="C21" s="1012">
        <v>2</v>
      </c>
      <c r="D21" s="1024"/>
      <c r="E21" s="1012"/>
      <c r="F21" s="1012"/>
      <c r="G21" s="1012"/>
      <c r="H21" s="1025"/>
      <c r="I21" s="1026">
        <f t="shared" si="1"/>
        <v>0</v>
      </c>
      <c r="J21" s="1026">
        <f t="shared" si="2"/>
        <v>0</v>
      </c>
      <c r="K21" s="1026">
        <f t="shared" si="3"/>
        <v>0</v>
      </c>
      <c r="L21" s="1015" t="str">
        <f t="shared" si="4"/>
        <v/>
      </c>
      <c r="M21" s="1015" t="str">
        <f t="shared" si="5"/>
        <v/>
      </c>
      <c r="N21" s="1015" t="str">
        <f t="shared" si="6"/>
        <v/>
      </c>
      <c r="O21" s="1027" t="s">
        <v>294</v>
      </c>
      <c r="P21" s="1027"/>
      <c r="Q21" s="1027"/>
      <c r="R21" s="1027"/>
      <c r="S21" s="1027"/>
      <c r="T21" s="1028" t="s">
        <v>1941</v>
      </c>
      <c r="U21" s="996"/>
      <c r="V21" s="996"/>
      <c r="W21" s="996"/>
      <c r="X21" s="1012"/>
      <c r="Y21" s="1016"/>
      <c r="Z21" s="996" t="s">
        <v>1942</v>
      </c>
      <c r="AA21" s="1003"/>
      <c r="AB21" s="996"/>
      <c r="AC21" s="996"/>
      <c r="AD21" s="996"/>
    </row>
    <row r="22" spans="1:30" ht="36" customHeight="1">
      <c r="A22" s="1014"/>
      <c r="B22" s="1017">
        <v>5</v>
      </c>
      <c r="C22" s="1012">
        <v>3</v>
      </c>
      <c r="D22" s="1024"/>
      <c r="E22" s="1012"/>
      <c r="F22" s="1012"/>
      <c r="G22" s="1029"/>
      <c r="H22" s="1030"/>
      <c r="I22" s="1026">
        <f t="shared" si="1"/>
        <v>0</v>
      </c>
      <c r="J22" s="1026">
        <f t="shared" si="2"/>
        <v>0</v>
      </c>
      <c r="K22" s="1026">
        <f t="shared" si="3"/>
        <v>0</v>
      </c>
      <c r="L22" s="1015" t="str">
        <f t="shared" si="4"/>
        <v/>
      </c>
      <c r="M22" s="1015" t="str">
        <f t="shared" si="5"/>
        <v/>
      </c>
      <c r="N22" s="1015" t="str">
        <f t="shared" si="6"/>
        <v/>
      </c>
      <c r="O22" s="1027"/>
      <c r="P22" s="1027"/>
      <c r="Q22" s="1027" t="s">
        <v>294</v>
      </c>
      <c r="R22" s="1027"/>
      <c r="S22" s="1027"/>
      <c r="T22" s="1028"/>
      <c r="U22" s="996"/>
      <c r="V22" s="996" t="s">
        <v>1943</v>
      </c>
      <c r="W22" s="996"/>
      <c r="X22" s="1012"/>
      <c r="Y22" s="1016"/>
      <c r="Z22" s="996"/>
      <c r="AA22" s="1003"/>
      <c r="AB22" s="996"/>
      <c r="AC22" s="996"/>
      <c r="AD22" s="996"/>
    </row>
    <row r="23" spans="1:30" ht="27" customHeight="1">
      <c r="A23" s="1014"/>
      <c r="B23" s="1017">
        <v>6</v>
      </c>
      <c r="C23" s="1012">
        <v>4</v>
      </c>
      <c r="D23" s="1024"/>
      <c r="E23" s="1012"/>
      <c r="F23" s="1012"/>
      <c r="G23" s="1029"/>
      <c r="H23" s="1030"/>
      <c r="I23" s="1026">
        <f t="shared" si="1"/>
        <v>0</v>
      </c>
      <c r="J23" s="1026">
        <f t="shared" si="2"/>
        <v>0</v>
      </c>
      <c r="K23" s="1026">
        <f t="shared" si="3"/>
        <v>0</v>
      </c>
      <c r="L23" s="1015" t="str">
        <f t="shared" si="4"/>
        <v/>
      </c>
      <c r="M23" s="1015" t="str">
        <f t="shared" si="5"/>
        <v/>
      </c>
      <c r="N23" s="1015" t="str">
        <f t="shared" si="6"/>
        <v/>
      </c>
      <c r="O23" s="1027"/>
      <c r="P23" s="1027"/>
      <c r="Q23" s="1027" t="s">
        <v>297</v>
      </c>
      <c r="R23" s="1027"/>
      <c r="S23" s="1027"/>
      <c r="T23" s="1028"/>
      <c r="U23" s="996"/>
      <c r="V23" s="996" t="s">
        <v>1944</v>
      </c>
      <c r="W23" s="996"/>
      <c r="X23" s="1012"/>
      <c r="Y23" s="1016"/>
      <c r="Z23" s="996"/>
      <c r="AA23" s="1003"/>
      <c r="AB23" s="996"/>
      <c r="AC23" s="996"/>
      <c r="AD23" s="996"/>
    </row>
    <row r="24" spans="1:30" ht="36" customHeight="1">
      <c r="A24" s="1014"/>
      <c r="B24" s="1017">
        <v>7</v>
      </c>
      <c r="C24" s="1012">
        <v>5</v>
      </c>
      <c r="D24" s="1024"/>
      <c r="E24" s="1012"/>
      <c r="F24" s="1012"/>
      <c r="G24" s="1029"/>
      <c r="H24" s="1030"/>
      <c r="I24" s="1026">
        <f t="shared" si="1"/>
        <v>0</v>
      </c>
      <c r="J24" s="1026">
        <f t="shared" si="2"/>
        <v>0</v>
      </c>
      <c r="K24" s="1026">
        <f t="shared" si="3"/>
        <v>0</v>
      </c>
      <c r="L24" s="1015" t="str">
        <f t="shared" si="4"/>
        <v/>
      </c>
      <c r="M24" s="1015" t="str">
        <f t="shared" si="5"/>
        <v/>
      </c>
      <c r="N24" s="1015" t="str">
        <f t="shared" si="6"/>
        <v/>
      </c>
      <c r="O24" s="1027"/>
      <c r="P24" s="1027"/>
      <c r="Q24" s="1027" t="s">
        <v>622</v>
      </c>
      <c r="R24" s="1027"/>
      <c r="S24" s="1027"/>
      <c r="T24" s="1028"/>
      <c r="U24" s="996"/>
      <c r="V24" s="996" t="s">
        <v>1945</v>
      </c>
      <c r="W24" s="996"/>
      <c r="X24" s="1012"/>
      <c r="Y24" s="1016"/>
      <c r="Z24" s="996"/>
      <c r="AA24" s="1003"/>
      <c r="AB24" s="996"/>
      <c r="AC24" s="996"/>
      <c r="AD24" s="996"/>
    </row>
    <row r="25" spans="1:30" ht="36" customHeight="1">
      <c r="A25" s="1014"/>
      <c r="B25" s="1017">
        <v>8</v>
      </c>
      <c r="C25" s="1012">
        <v>6</v>
      </c>
      <c r="D25" s="1024"/>
      <c r="E25" s="1012"/>
      <c r="F25" s="1012"/>
      <c r="G25" s="1029"/>
      <c r="H25" s="1030"/>
      <c r="I25" s="1026" t="str">
        <f t="shared" si="1"/>
        <v>2.2</v>
      </c>
      <c r="J25" s="1026" t="str">
        <f t="shared" si="2"/>
        <v>Расходы на приобретаемую электрическую энергию (мощность), используемую в технологическом процессе</v>
      </c>
      <c r="K25" s="1026">
        <f t="shared" si="3"/>
        <v>0</v>
      </c>
      <c r="L25" s="1015" t="str">
        <f t="shared" si="4"/>
        <v>2.2</v>
      </c>
      <c r="M25" s="1015" t="str">
        <f t="shared" si="5"/>
        <v>Расходы на приобретаемую электрическую энергию (мощность), используемую в технологическом процессе</v>
      </c>
      <c r="N25" s="1015" t="str">
        <f t="shared" si="6"/>
        <v/>
      </c>
      <c r="O25" s="1027" t="s">
        <v>297</v>
      </c>
      <c r="P25" s="1027" t="s">
        <v>294</v>
      </c>
      <c r="Q25" s="1027" t="s">
        <v>629</v>
      </c>
      <c r="R25" s="1027" t="s">
        <v>294</v>
      </c>
      <c r="S25" s="1027"/>
      <c r="T25" s="1028" t="s">
        <v>1946</v>
      </c>
      <c r="U25" s="996" t="s">
        <v>1946</v>
      </c>
      <c r="V25" s="996" t="s">
        <v>1946</v>
      </c>
      <c r="W25" s="996" t="s">
        <v>1946</v>
      </c>
      <c r="X25" s="1012"/>
      <c r="Y25" s="1016"/>
      <c r="Z25" s="996"/>
      <c r="AA25" s="1003"/>
      <c r="AB25" s="996"/>
      <c r="AC25" s="996"/>
      <c r="AD25" s="996"/>
    </row>
    <row r="26" spans="1:30" ht="18" customHeight="1">
      <c r="A26" s="1014"/>
      <c r="B26" s="1017">
        <v>9</v>
      </c>
      <c r="C26" s="1012" t="s">
        <v>798</v>
      </c>
      <c r="D26" s="1024"/>
      <c r="E26" s="1012"/>
      <c r="F26" s="1012"/>
      <c r="G26" s="1029"/>
      <c r="H26" s="1030"/>
      <c r="I26" s="1026" t="str">
        <f t="shared" si="1"/>
        <v>2.2.1</v>
      </c>
      <c r="J26" s="1026" t="str">
        <f t="shared" si="2"/>
        <v>Средневзвешенная стоимость 1 кВт.ч (с учетом мощности)</v>
      </c>
      <c r="K26" s="1026">
        <f t="shared" si="3"/>
        <v>0</v>
      </c>
      <c r="L26" s="1015" t="str">
        <f t="shared" si="4"/>
        <v>2.2.1</v>
      </c>
      <c r="M26" s="1015" t="str">
        <f t="shared" si="5"/>
        <v>Средневзвешенная стоимость 1 кВт.ч (с учетом мощности)</v>
      </c>
      <c r="N26" s="1015" t="str">
        <f t="shared" si="6"/>
        <v/>
      </c>
      <c r="O26" s="1027" t="s">
        <v>618</v>
      </c>
      <c r="P26" s="1027" t="s">
        <v>612</v>
      </c>
      <c r="Q26" s="1027" t="s">
        <v>1947</v>
      </c>
      <c r="R26" s="1027" t="s">
        <v>612</v>
      </c>
      <c r="S26" s="1027"/>
      <c r="T26" s="1028" t="s">
        <v>1948</v>
      </c>
      <c r="U26" s="1028" t="s">
        <v>1948</v>
      </c>
      <c r="V26" s="1028" t="s">
        <v>1948</v>
      </c>
      <c r="W26" s="1028" t="s">
        <v>1948</v>
      </c>
      <c r="X26" s="1012"/>
      <c r="Y26" s="1016"/>
      <c r="Z26" s="996"/>
      <c r="AA26" s="1003"/>
      <c r="AB26" s="996"/>
      <c r="AC26" s="996"/>
      <c r="AD26" s="996"/>
    </row>
    <row r="27" spans="1:30" ht="18" customHeight="1">
      <c r="A27" s="1014"/>
      <c r="B27" s="1017">
        <v>10</v>
      </c>
      <c r="C27" s="1012" t="s">
        <v>1949</v>
      </c>
      <c r="D27" s="1024"/>
      <c r="E27" s="1012"/>
      <c r="F27" s="1012"/>
      <c r="G27" s="1029"/>
      <c r="H27" s="1030"/>
      <c r="I27" s="1026" t="str">
        <f t="shared" si="1"/>
        <v>2.2.2</v>
      </c>
      <c r="J27" s="1026" t="str">
        <f t="shared" si="2"/>
        <v>Объём приобретения электрической энергии</v>
      </c>
      <c r="K27" s="1026">
        <f t="shared" si="3"/>
        <v>0</v>
      </c>
      <c r="L27" s="1015" t="str">
        <f t="shared" si="4"/>
        <v>2.2.2</v>
      </c>
      <c r="M27" s="1015" t="str">
        <f t="shared" si="5"/>
        <v>Объём приобретения электрической энергии</v>
      </c>
      <c r="N27" s="1015" t="str">
        <f t="shared" si="6"/>
        <v/>
      </c>
      <c r="O27" s="1027" t="s">
        <v>620</v>
      </c>
      <c r="P27" s="1027" t="s">
        <v>614</v>
      </c>
      <c r="Q27" s="1027" t="s">
        <v>1950</v>
      </c>
      <c r="R27" s="1027" t="s">
        <v>614</v>
      </c>
      <c r="S27" s="1027"/>
      <c r="T27" s="1028" t="s">
        <v>1951</v>
      </c>
      <c r="U27" s="1028" t="s">
        <v>1951</v>
      </c>
      <c r="V27" s="1028" t="s">
        <v>1951</v>
      </c>
      <c r="W27" s="1028" t="s">
        <v>1951</v>
      </c>
      <c r="X27" s="1012"/>
      <c r="Y27" s="1016"/>
      <c r="Z27" s="996"/>
      <c r="AA27" s="1003"/>
      <c r="AB27" s="996"/>
      <c r="AC27" s="996"/>
      <c r="AD27" s="996"/>
    </row>
    <row r="28" spans="1:30" ht="27" customHeight="1">
      <c r="A28" s="1014"/>
      <c r="B28" s="1017">
        <v>11</v>
      </c>
      <c r="C28" s="1012">
        <v>7</v>
      </c>
      <c r="D28" s="1024"/>
      <c r="E28" s="1012"/>
      <c r="F28" s="1012"/>
      <c r="G28" s="1029"/>
      <c r="H28" s="1030"/>
      <c r="I28" s="1026">
        <f t="shared" si="1"/>
        <v>0</v>
      </c>
      <c r="J28" s="1026">
        <f t="shared" si="2"/>
        <v>0</v>
      </c>
      <c r="K28" s="1026">
        <f t="shared" si="3"/>
        <v>0</v>
      </c>
      <c r="L28" s="1015" t="str">
        <f t="shared" si="4"/>
        <v/>
      </c>
      <c r="M28" s="1015" t="str">
        <f t="shared" si="5"/>
        <v/>
      </c>
      <c r="N28" s="1015" t="str">
        <f t="shared" si="6"/>
        <v/>
      </c>
      <c r="O28" s="1027" t="s">
        <v>622</v>
      </c>
      <c r="P28" s="1027"/>
      <c r="Q28" s="1027"/>
      <c r="R28" s="1027"/>
      <c r="S28" s="1027"/>
      <c r="T28" s="1028" t="s">
        <v>1952</v>
      </c>
      <c r="U28" s="996"/>
      <c r="V28" s="996"/>
      <c r="W28" s="996"/>
      <c r="X28" s="1012"/>
      <c r="Y28" s="1016"/>
      <c r="Z28" s="996"/>
      <c r="AA28" s="1003"/>
      <c r="AB28" s="996"/>
      <c r="AC28" s="996"/>
      <c r="AD28" s="996"/>
    </row>
    <row r="29" spans="1:30" ht="27" customHeight="1">
      <c r="A29" s="1014"/>
      <c r="B29" s="1017">
        <v>12</v>
      </c>
      <c r="C29" s="1012">
        <v>8</v>
      </c>
      <c r="D29" s="1024"/>
      <c r="E29" s="1012"/>
      <c r="F29" s="1012"/>
      <c r="G29" s="1029"/>
      <c r="H29" s="1030"/>
      <c r="I29" s="1026" t="str">
        <f t="shared" si="1"/>
        <v>2.3</v>
      </c>
      <c r="J29" s="1026" t="str">
        <f t="shared" si="2"/>
        <v>Расходы на химические реагенты, используемые в технологическом процессе</v>
      </c>
      <c r="K29" s="1026">
        <f t="shared" si="3"/>
        <v>0</v>
      </c>
      <c r="L29" s="1015" t="str">
        <f t="shared" si="4"/>
        <v>2.3</v>
      </c>
      <c r="M29" s="1015" t="str">
        <f t="shared" si="5"/>
        <v>Расходы на химические реагенты, используемые в технологическом процессе</v>
      </c>
      <c r="N29" s="1015" t="str">
        <f t="shared" si="6"/>
        <v/>
      </c>
      <c r="O29" s="1027" t="s">
        <v>629</v>
      </c>
      <c r="P29" s="1027" t="s">
        <v>297</v>
      </c>
      <c r="Q29" s="1027"/>
      <c r="R29" s="1027" t="s">
        <v>297</v>
      </c>
      <c r="S29" s="1027"/>
      <c r="T29" s="1028" t="s">
        <v>1953</v>
      </c>
      <c r="U29" s="996" t="s">
        <v>1953</v>
      </c>
      <c r="V29" s="996"/>
      <c r="W29" s="996" t="s">
        <v>1953</v>
      </c>
      <c r="X29" s="1012"/>
      <c r="Y29" s="1016"/>
      <c r="Z29" s="996"/>
      <c r="AA29" s="1003"/>
      <c r="AB29" s="996"/>
      <c r="AC29" s="996"/>
      <c r="AD29" s="996"/>
    </row>
    <row r="30" spans="1:30" ht="54" customHeight="1">
      <c r="A30" s="1014"/>
      <c r="B30" s="1017">
        <v>13</v>
      </c>
      <c r="C30" s="1012">
        <v>9</v>
      </c>
      <c r="D30" s="1024"/>
      <c r="E30" s="1012"/>
      <c r="F30" s="1012"/>
      <c r="G30" s="1029"/>
      <c r="H30" s="1030"/>
      <c r="I30" s="1026" t="str">
        <f t="shared" si="1"/>
        <v>2.4</v>
      </c>
      <c r="J30" s="10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6" t="str">
        <f t="shared" si="3"/>
        <v>Указывается общая сумма расходов на оплату труда и отчислений на социальные нужды основного производственного персонала.</v>
      </c>
      <c r="L30" s="1015" t="str">
        <f t="shared" si="4"/>
        <v>2.4</v>
      </c>
      <c r="M30" s="101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5" t="str">
        <f t="shared" si="6"/>
        <v>Указывается общая сумма расходов на оплату труда и отчислений на социальные нужды основного производственного персонала.</v>
      </c>
      <c r="O30" s="1027" t="s">
        <v>631</v>
      </c>
      <c r="P30" s="1027" t="s">
        <v>622</v>
      </c>
      <c r="Q30" s="1027" t="s">
        <v>631</v>
      </c>
      <c r="R30" s="1027" t="s">
        <v>622</v>
      </c>
      <c r="S30" s="1027"/>
      <c r="T30" s="1028" t="s">
        <v>1954</v>
      </c>
      <c r="U30" s="996" t="s">
        <v>1954</v>
      </c>
      <c r="V30" s="996" t="s">
        <v>1954</v>
      </c>
      <c r="W30" s="996" t="s">
        <v>1954</v>
      </c>
      <c r="X30" s="1012"/>
      <c r="Y30" s="1016"/>
      <c r="Z30" s="996"/>
      <c r="AA30" s="1003" t="s">
        <v>1955</v>
      </c>
      <c r="AB30" s="1003" t="s">
        <v>1955</v>
      </c>
      <c r="AC30" s="1003" t="s">
        <v>1955</v>
      </c>
      <c r="AD30" s="996"/>
    </row>
    <row r="31" spans="1:30" ht="18" customHeight="1">
      <c r="A31" s="1014"/>
      <c r="B31" s="1017">
        <v>14</v>
      </c>
      <c r="C31" s="1012" t="s">
        <v>1956</v>
      </c>
      <c r="D31" s="1024"/>
      <c r="E31" s="1012"/>
      <c r="F31" s="1012"/>
      <c r="G31" s="1029"/>
      <c r="H31" s="1030"/>
      <c r="I31" s="1026" t="str">
        <f t="shared" si="1"/>
        <v>2.4.1</v>
      </c>
      <c r="J31" s="1026" t="str">
        <f t="shared" si="2"/>
        <v>Расходы на оплату труда основного производственного персонала</v>
      </c>
      <c r="K31" s="1026">
        <f t="shared" si="3"/>
        <v>0</v>
      </c>
      <c r="L31" s="1015" t="str">
        <f t="shared" si="4"/>
        <v>2.4.1</v>
      </c>
      <c r="M31" s="1015" t="str">
        <f t="shared" si="5"/>
        <v>Расходы на оплату труда основного производственного персонала</v>
      </c>
      <c r="N31" s="1015" t="str">
        <f t="shared" si="6"/>
        <v/>
      </c>
      <c r="O31" s="1027" t="s">
        <v>1957</v>
      </c>
      <c r="P31" s="1027" t="s">
        <v>625</v>
      </c>
      <c r="Q31" s="1027" t="s">
        <v>1957</v>
      </c>
      <c r="R31" s="1027" t="s">
        <v>625</v>
      </c>
      <c r="S31" s="1027"/>
      <c r="T31" s="1031" t="s">
        <v>1958</v>
      </c>
      <c r="U31" s="996" t="s">
        <v>1958</v>
      </c>
      <c r="V31" s="996" t="s">
        <v>1958</v>
      </c>
      <c r="W31" s="996" t="s">
        <v>1958</v>
      </c>
      <c r="X31" s="1012"/>
      <c r="Y31" s="1016"/>
      <c r="Z31" s="996"/>
      <c r="AA31" s="1003"/>
      <c r="AB31" s="1003"/>
      <c r="AC31" s="1003"/>
      <c r="AD31" s="996"/>
    </row>
    <row r="32" spans="1:30" ht="36" customHeight="1">
      <c r="A32" s="1014"/>
      <c r="B32" s="1017">
        <v>15</v>
      </c>
      <c r="C32" s="1012" t="s">
        <v>1959</v>
      </c>
      <c r="D32" s="1024"/>
      <c r="E32" s="1012"/>
      <c r="F32" s="1012"/>
      <c r="G32" s="1029"/>
      <c r="H32" s="1030"/>
      <c r="I32" s="1026" t="str">
        <f t="shared" si="1"/>
        <v>2.4.2</v>
      </c>
      <c r="J32" s="10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1026">
        <f t="shared" si="3"/>
        <v>0</v>
      </c>
      <c r="L32" s="1015" t="str">
        <f t="shared" si="4"/>
        <v>2.4.2</v>
      </c>
      <c r="M32" s="1015" t="str">
        <f t="shared" si="5"/>
        <v>Страховые взносы на обязательное социальное страхование, выплачиваемые из фонда оплаты труда основного производственного персонала</v>
      </c>
      <c r="N32" s="1015" t="str">
        <f t="shared" si="6"/>
        <v/>
      </c>
      <c r="O32" s="1027" t="s">
        <v>1960</v>
      </c>
      <c r="P32" s="1027" t="s">
        <v>627</v>
      </c>
      <c r="Q32" s="1027" t="s">
        <v>1960</v>
      </c>
      <c r="R32" s="1027" t="s">
        <v>627</v>
      </c>
      <c r="S32" s="1027"/>
      <c r="T32" s="1032" t="s">
        <v>1961</v>
      </c>
      <c r="U32" s="996" t="s">
        <v>1961</v>
      </c>
      <c r="V32" s="996" t="s">
        <v>1961</v>
      </c>
      <c r="W32" s="996" t="s">
        <v>1961</v>
      </c>
      <c r="X32" s="1012"/>
      <c r="Y32" s="1016"/>
      <c r="Z32" s="996"/>
      <c r="AA32" s="1003"/>
      <c r="AB32" s="1003"/>
      <c r="AC32" s="1003"/>
      <c r="AD32" s="996"/>
    </row>
    <row r="33" spans="1:30" ht="45" customHeight="1">
      <c r="A33" s="1014"/>
      <c r="B33" s="1017">
        <v>16</v>
      </c>
      <c r="C33" s="1012">
        <v>10</v>
      </c>
      <c r="D33" s="1024"/>
      <c r="E33" s="1012"/>
      <c r="F33" s="1012"/>
      <c r="G33" s="1029"/>
      <c r="H33" s="1030"/>
      <c r="I33" s="1026" t="str">
        <f t="shared" si="1"/>
        <v>2.5</v>
      </c>
      <c r="J33" s="10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26" t="str">
        <f t="shared" si="3"/>
        <v>Указывается общая сумма расходов на оплату труда и отчислений на социальные нужды административно-управленческого персонала.</v>
      </c>
      <c r="L33" s="1015" t="str">
        <f t="shared" si="4"/>
        <v>2.5</v>
      </c>
      <c r="M33" s="101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15" t="str">
        <f t="shared" si="6"/>
        <v>Указывается общая сумма расходов на оплату труда и отчислений на социальные нужды административно-управленческого персонала.</v>
      </c>
      <c r="O33" s="1027" t="s">
        <v>633</v>
      </c>
      <c r="P33" s="1027" t="s">
        <v>629</v>
      </c>
      <c r="Q33" s="1027" t="s">
        <v>633</v>
      </c>
      <c r="R33" s="1027" t="s">
        <v>629</v>
      </c>
      <c r="S33" s="1027"/>
      <c r="T33" s="1031" t="s">
        <v>1962</v>
      </c>
      <c r="U33" s="996" t="s">
        <v>1962</v>
      </c>
      <c r="V33" s="996" t="s">
        <v>1962</v>
      </c>
      <c r="W33" s="996" t="s">
        <v>1963</v>
      </c>
      <c r="X33" s="1012"/>
      <c r="Y33" s="1016"/>
      <c r="Z33" s="996"/>
      <c r="AA33" s="1003" t="s">
        <v>1964</v>
      </c>
      <c r="AB33" s="1003" t="s">
        <v>1964</v>
      </c>
      <c r="AC33" s="1003" t="s">
        <v>1964</v>
      </c>
      <c r="AD33" s="996"/>
    </row>
    <row r="34" spans="1:30" ht="27" customHeight="1">
      <c r="A34" s="1014"/>
      <c r="B34" s="1017">
        <v>17</v>
      </c>
      <c r="C34" s="1012" t="s">
        <v>1965</v>
      </c>
      <c r="D34" s="1024"/>
      <c r="E34" s="1012"/>
      <c r="F34" s="1012"/>
      <c r="G34" s="1029"/>
      <c r="H34" s="1030"/>
      <c r="I34" s="1026" t="str">
        <f t="shared" si="1"/>
        <v>2.5.1</v>
      </c>
      <c r="J34" s="1026" t="str">
        <f t="shared" si="2"/>
        <v>Расходы на оплату труда административно-управленческого персонала, в том числе:</v>
      </c>
      <c r="K34" s="1026">
        <f t="shared" si="3"/>
        <v>0</v>
      </c>
      <c r="L34" s="1015" t="str">
        <f t="shared" si="4"/>
        <v>2.5.1</v>
      </c>
      <c r="M34" s="1015" t="str">
        <f t="shared" si="5"/>
        <v>Расходы на оплату труда административно-управленческого персонала, в том числе:</v>
      </c>
      <c r="N34" s="1015" t="str">
        <f t="shared" si="6"/>
        <v/>
      </c>
      <c r="O34" s="1027" t="s">
        <v>1966</v>
      </c>
      <c r="P34" s="1027" t="s">
        <v>1947</v>
      </c>
      <c r="Q34" s="1027" t="s">
        <v>1966</v>
      </c>
      <c r="R34" s="1027" t="s">
        <v>1947</v>
      </c>
      <c r="S34" s="1027"/>
      <c r="T34" s="1032" t="s">
        <v>1967</v>
      </c>
      <c r="U34" s="996" t="s">
        <v>1967</v>
      </c>
      <c r="V34" s="996" t="s">
        <v>1967</v>
      </c>
      <c r="W34" s="996" t="s">
        <v>1968</v>
      </c>
      <c r="X34" s="1012"/>
      <c r="Y34" s="1016"/>
      <c r="Z34" s="996"/>
      <c r="AA34" s="1003"/>
      <c r="AB34" s="996"/>
      <c r="AC34" s="996"/>
      <c r="AD34" s="996"/>
    </row>
    <row r="35" spans="1:30" ht="45" customHeight="1">
      <c r="A35" s="1014"/>
      <c r="B35" s="1017">
        <v>18</v>
      </c>
      <c r="C35" s="1012" t="s">
        <v>1969</v>
      </c>
      <c r="D35" s="1024"/>
      <c r="E35" s="1012"/>
      <c r="F35" s="1012"/>
      <c r="G35" s="1029"/>
      <c r="H35" s="1030"/>
      <c r="I35" s="1026" t="str">
        <f t="shared" si="1"/>
        <v>2.5.2</v>
      </c>
      <c r="J35" s="10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1026">
        <f t="shared" si="3"/>
        <v>0</v>
      </c>
      <c r="L35" s="1015" t="str">
        <f t="shared" si="4"/>
        <v>2.5.2</v>
      </c>
      <c r="M35" s="101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1015" t="str">
        <f t="shared" si="6"/>
        <v/>
      </c>
      <c r="O35" s="1027" t="s">
        <v>1970</v>
      </c>
      <c r="P35" s="1027" t="s">
        <v>1950</v>
      </c>
      <c r="Q35" s="1027" t="s">
        <v>1970</v>
      </c>
      <c r="R35" s="1027" t="s">
        <v>1950</v>
      </c>
      <c r="S35" s="1027"/>
      <c r="T35" s="1028" t="s">
        <v>1971</v>
      </c>
      <c r="U35" s="996" t="s">
        <v>1971</v>
      </c>
      <c r="V35" s="996" t="s">
        <v>1971</v>
      </c>
      <c r="W35" s="996" t="s">
        <v>1971</v>
      </c>
      <c r="X35" s="1012"/>
      <c r="Y35" s="1016"/>
      <c r="Z35" s="996"/>
      <c r="AA35" s="1003"/>
      <c r="AB35" s="996"/>
      <c r="AC35" s="996"/>
      <c r="AD35" s="996"/>
    </row>
    <row r="36" spans="1:30" ht="18" customHeight="1">
      <c r="A36" s="1014"/>
      <c r="B36" s="1017">
        <v>19</v>
      </c>
      <c r="C36" s="1012">
        <v>11</v>
      </c>
      <c r="D36" s="1024"/>
      <c r="E36" s="1012"/>
      <c r="F36" s="1012"/>
      <c r="G36" s="1029"/>
      <c r="H36" s="1030"/>
      <c r="I36" s="1026" t="str">
        <f t="shared" si="1"/>
        <v>2.6</v>
      </c>
      <c r="J36" s="1026" t="str">
        <f t="shared" si="2"/>
        <v>Расходы на амортизацию основных средств и нематериальных активов</v>
      </c>
      <c r="K36" s="1026">
        <f t="shared" si="3"/>
        <v>0</v>
      </c>
      <c r="L36" s="1015" t="str">
        <f t="shared" si="4"/>
        <v>2.6</v>
      </c>
      <c r="M36" s="1015" t="str">
        <f t="shared" si="5"/>
        <v>Расходы на амортизацию основных средств и нематериальных активов</v>
      </c>
      <c r="N36" s="1015" t="str">
        <f t="shared" si="6"/>
        <v/>
      </c>
      <c r="O36" s="1027" t="s">
        <v>635</v>
      </c>
      <c r="P36" s="1027" t="s">
        <v>631</v>
      </c>
      <c r="Q36" s="1027" t="s">
        <v>635</v>
      </c>
      <c r="R36" s="1027" t="s">
        <v>631</v>
      </c>
      <c r="S36" s="1027"/>
      <c r="T36" s="1028" t="s">
        <v>1972</v>
      </c>
      <c r="U36" s="996" t="s">
        <v>1972</v>
      </c>
      <c r="V36" s="996" t="s">
        <v>1972</v>
      </c>
      <c r="W36" s="996" t="s">
        <v>1972</v>
      </c>
      <c r="X36" s="1012"/>
      <c r="Y36" s="1016"/>
      <c r="Z36" s="996"/>
      <c r="AA36" s="1003"/>
      <c r="AB36" s="996"/>
      <c r="AC36" s="996"/>
      <c r="AD36" s="996"/>
    </row>
    <row r="37" spans="1:30" ht="18" customHeight="1">
      <c r="A37" s="1014"/>
      <c r="B37" s="1017">
        <v>20</v>
      </c>
      <c r="C37" s="1012" t="s">
        <v>1973</v>
      </c>
      <c r="D37" s="1024"/>
      <c r="E37" s="1012"/>
      <c r="F37" s="1012"/>
      <c r="G37" s="1029"/>
      <c r="H37" s="1030"/>
      <c r="I37" s="1026" t="str">
        <f t="shared" si="1"/>
        <v>2.6.1</v>
      </c>
      <c r="J37" s="1026" t="str">
        <f t="shared" si="2"/>
        <v>Расходы на амортизацию основных средств</v>
      </c>
      <c r="K37" s="1026">
        <f t="shared" si="3"/>
        <v>0</v>
      </c>
      <c r="L37" s="1015" t="str">
        <f t="shared" si="4"/>
        <v>2.6.1</v>
      </c>
      <c r="M37" s="1015" t="str">
        <f t="shared" si="5"/>
        <v>Расходы на амортизацию основных средств</v>
      </c>
      <c r="N37" s="1015" t="str">
        <f t="shared" si="6"/>
        <v/>
      </c>
      <c r="O37" s="1027" t="s">
        <v>1974</v>
      </c>
      <c r="P37" s="1027" t="s">
        <v>1957</v>
      </c>
      <c r="Q37" s="1027" t="s">
        <v>1974</v>
      </c>
      <c r="R37" s="1027" t="s">
        <v>1957</v>
      </c>
      <c r="S37" s="1027"/>
      <c r="T37" s="1028" t="s">
        <v>1975</v>
      </c>
      <c r="U37" s="996" t="s">
        <v>1975</v>
      </c>
      <c r="V37" s="996" t="s">
        <v>1975</v>
      </c>
      <c r="W37" s="996" t="s">
        <v>1975</v>
      </c>
      <c r="X37" s="1012"/>
      <c r="Y37" s="1016"/>
      <c r="Z37" s="996"/>
      <c r="AA37" s="1003"/>
      <c r="AB37" s="996"/>
      <c r="AC37" s="996"/>
      <c r="AD37" s="996"/>
    </row>
    <row r="38" spans="1:30" ht="18" customHeight="1">
      <c r="A38" s="1014"/>
      <c r="B38" s="1017">
        <v>21</v>
      </c>
      <c r="C38" s="1012" t="s">
        <v>1976</v>
      </c>
      <c r="D38" s="1024"/>
      <c r="E38" s="1012"/>
      <c r="F38" s="1012"/>
      <c r="G38" s="1029"/>
      <c r="H38" s="1030"/>
      <c r="I38" s="1026" t="str">
        <f t="shared" si="1"/>
        <v>2.6.2</v>
      </c>
      <c r="J38" s="1026" t="str">
        <f t="shared" si="2"/>
        <v>Расходы на амортизацию нематериальных активов</v>
      </c>
      <c r="K38" s="1026">
        <f t="shared" si="3"/>
        <v>0</v>
      </c>
      <c r="L38" s="1015" t="str">
        <f t="shared" si="4"/>
        <v>2.6.2</v>
      </c>
      <c r="M38" s="1015" t="str">
        <f t="shared" si="5"/>
        <v>Расходы на амортизацию нематериальных активов</v>
      </c>
      <c r="N38" s="1015" t="str">
        <f t="shared" si="6"/>
        <v/>
      </c>
      <c r="O38" s="1027" t="s">
        <v>1977</v>
      </c>
      <c r="P38" s="1027" t="s">
        <v>1960</v>
      </c>
      <c r="Q38" s="1027" t="s">
        <v>1977</v>
      </c>
      <c r="R38" s="1027" t="s">
        <v>1960</v>
      </c>
      <c r="S38" s="1027"/>
      <c r="T38" s="1028" t="s">
        <v>1978</v>
      </c>
      <c r="U38" s="996" t="s">
        <v>1978</v>
      </c>
      <c r="V38" s="996" t="s">
        <v>1978</v>
      </c>
      <c r="W38" s="996" t="s">
        <v>1978</v>
      </c>
      <c r="X38" s="1012"/>
      <c r="Y38" s="1016"/>
      <c r="Z38" s="996"/>
      <c r="AA38" s="1003"/>
      <c r="AB38" s="996"/>
      <c r="AC38" s="996"/>
      <c r="AD38" s="996"/>
    </row>
    <row r="39" spans="1:30" ht="36" customHeight="1">
      <c r="A39" s="1014"/>
      <c r="B39" s="1017">
        <v>22</v>
      </c>
      <c r="C39" s="1012">
        <v>12</v>
      </c>
      <c r="D39" s="1024"/>
      <c r="E39" s="1012"/>
      <c r="F39" s="1012"/>
      <c r="G39" s="1029"/>
      <c r="H39" s="1030"/>
      <c r="I39" s="1026" t="str">
        <f t="shared" si="1"/>
        <v>2.7</v>
      </c>
      <c r="J39" s="1026" t="str">
        <f t="shared" si="2"/>
        <v>Расходы на аренду имущества, используемого для осуществления регулируемых видов деятельности в сфере водоотведения</v>
      </c>
      <c r="K39" s="1026">
        <f t="shared" si="3"/>
        <v>0</v>
      </c>
      <c r="L39" s="1015" t="str">
        <f t="shared" si="4"/>
        <v>2.7</v>
      </c>
      <c r="M39" s="1015" t="str">
        <f t="shared" si="5"/>
        <v>Расходы на аренду имущества, используемого для осуществления регулируемых видов деятельности в сфере водоотведения</v>
      </c>
      <c r="N39" s="1015" t="str">
        <f t="shared" si="6"/>
        <v/>
      </c>
      <c r="O39" s="1027" t="s">
        <v>639</v>
      </c>
      <c r="P39" s="1027" t="s">
        <v>633</v>
      </c>
      <c r="Q39" s="1027" t="s">
        <v>639</v>
      </c>
      <c r="R39" s="1027" t="s">
        <v>633</v>
      </c>
      <c r="S39" s="1027"/>
      <c r="T39" s="1028" t="s">
        <v>1979</v>
      </c>
      <c r="U39" s="996" t="s">
        <v>1980</v>
      </c>
      <c r="V39" s="996" t="s">
        <v>1981</v>
      </c>
      <c r="W39" s="996" t="s">
        <v>1982</v>
      </c>
      <c r="X39" s="1012"/>
      <c r="Y39" s="1016"/>
      <c r="Z39" s="996"/>
      <c r="AA39" s="1003"/>
      <c r="AB39" s="996"/>
      <c r="AC39" s="996"/>
      <c r="AD39" s="996"/>
    </row>
    <row r="40" spans="1:30" ht="18" customHeight="1">
      <c r="A40" s="1014"/>
      <c r="B40" s="1017">
        <v>23</v>
      </c>
      <c r="C40" s="1012">
        <v>13</v>
      </c>
      <c r="D40" s="1024"/>
      <c r="E40" s="1012"/>
      <c r="F40" s="1012"/>
      <c r="G40" s="1012"/>
      <c r="H40" s="1033"/>
      <c r="I40" s="1026" t="str">
        <f t="shared" si="1"/>
        <v>2.8</v>
      </c>
      <c r="J40" s="1026" t="str">
        <f t="shared" si="2"/>
        <v>Общепроизводственные расходы, в том числе:</v>
      </c>
      <c r="K40" s="1026" t="str">
        <f t="shared" si="3"/>
        <v>Указывается общая сумма общепроизводственных расходов.</v>
      </c>
      <c r="L40" s="1015" t="str">
        <f t="shared" si="4"/>
        <v>2.8</v>
      </c>
      <c r="M40" s="1015" t="str">
        <f t="shared" si="5"/>
        <v>Общепроизводственные расходы, в том числе:</v>
      </c>
      <c r="N40" s="1015" t="str">
        <f t="shared" si="6"/>
        <v>Указывается общая сумма общепроизводственных расходов.</v>
      </c>
      <c r="O40" s="1027" t="s">
        <v>1983</v>
      </c>
      <c r="P40" s="1027" t="s">
        <v>635</v>
      </c>
      <c r="Q40" s="1027" t="s">
        <v>1983</v>
      </c>
      <c r="R40" s="1027" t="s">
        <v>635</v>
      </c>
      <c r="S40" s="1027"/>
      <c r="T40" s="1012" t="s">
        <v>1984</v>
      </c>
      <c r="U40" s="1012" t="s">
        <v>1984</v>
      </c>
      <c r="V40" s="1012" t="s">
        <v>1984</v>
      </c>
      <c r="W40" s="1012" t="s">
        <v>1984</v>
      </c>
      <c r="X40" s="1012"/>
      <c r="Y40" s="1016"/>
      <c r="Z40" s="996" t="s">
        <v>1985</v>
      </c>
      <c r="AA40" s="1003" t="s">
        <v>1985</v>
      </c>
      <c r="AB40" s="1003" t="s">
        <v>1985</v>
      </c>
      <c r="AC40" s="1003" t="s">
        <v>1985</v>
      </c>
      <c r="AD40" s="996"/>
    </row>
    <row r="41" spans="1:30" ht="27" customHeight="1">
      <c r="A41" s="1014"/>
      <c r="B41" s="1017">
        <v>24</v>
      </c>
      <c r="C41" s="1012" t="s">
        <v>1986</v>
      </c>
      <c r="D41" s="1024"/>
      <c r="E41" s="1012"/>
      <c r="F41" s="1012"/>
      <c r="G41" s="1012"/>
      <c r="H41" s="1029"/>
      <c r="I41" s="1026" t="str">
        <f t="shared" si="1"/>
        <v>2.8.1</v>
      </c>
      <c r="J41" s="1026" t="str">
        <f t="shared" si="2"/>
        <v>Расходы на текущий ремонт</v>
      </c>
      <c r="K41" s="1026" t="str">
        <f t="shared" si="3"/>
        <v>Указываются расходы на текущий ремонт, отнесенные к общепроизводственным расходам.</v>
      </c>
      <c r="L41" s="1015" t="str">
        <f t="shared" si="4"/>
        <v>2.8.1</v>
      </c>
      <c r="M41" s="1015" t="str">
        <f t="shared" si="5"/>
        <v>Расходы на текущий ремонт</v>
      </c>
      <c r="N41" s="1015" t="str">
        <f t="shared" si="6"/>
        <v>Указываются расходы на текущий ремонт, отнесенные к общепроизводственным расходам.</v>
      </c>
      <c r="O41" s="1027" t="s">
        <v>1987</v>
      </c>
      <c r="P41" s="1027" t="s">
        <v>1974</v>
      </c>
      <c r="Q41" s="1027" t="s">
        <v>1987</v>
      </c>
      <c r="R41" s="1027" t="s">
        <v>1974</v>
      </c>
      <c r="S41" s="1027"/>
      <c r="T41" s="1012" t="s">
        <v>1988</v>
      </c>
      <c r="U41" s="1012" t="s">
        <v>1988</v>
      </c>
      <c r="V41" s="1012" t="s">
        <v>1988</v>
      </c>
      <c r="W41" s="1012" t="s">
        <v>1988</v>
      </c>
      <c r="X41" s="1012"/>
      <c r="Y41" s="1016"/>
      <c r="Z41" s="996" t="s">
        <v>1989</v>
      </c>
      <c r="AA41" s="996" t="s">
        <v>1989</v>
      </c>
      <c r="AB41" s="996" t="s">
        <v>1989</v>
      </c>
      <c r="AC41" s="996" t="s">
        <v>1989</v>
      </c>
      <c r="AD41" s="996"/>
    </row>
    <row r="42" spans="1:30" ht="27" customHeight="1">
      <c r="A42" s="1014"/>
      <c r="B42" s="1017">
        <v>25</v>
      </c>
      <c r="C42" s="1012" t="s">
        <v>1990</v>
      </c>
      <c r="D42" s="1024"/>
      <c r="E42" s="1012"/>
      <c r="F42" s="1012"/>
      <c r="G42" s="1012"/>
      <c r="H42" s="1029"/>
      <c r="I42" s="1026" t="str">
        <f t="shared" si="1"/>
        <v>2.8.2</v>
      </c>
      <c r="J42" s="1026" t="str">
        <f t="shared" si="2"/>
        <v>Расходы на капитальный ремонт</v>
      </c>
      <c r="K42" s="1026" t="str">
        <f t="shared" si="3"/>
        <v>Указываются расходы на капитальный ремонт, отнесенные к общепроизводственным расходам.</v>
      </c>
      <c r="L42" s="1015" t="str">
        <f t="shared" si="4"/>
        <v>2.8.2</v>
      </c>
      <c r="M42" s="1015" t="str">
        <f t="shared" si="5"/>
        <v>Расходы на капитальный ремонт</v>
      </c>
      <c r="N42" s="1015" t="str">
        <f t="shared" si="6"/>
        <v>Указываются расходы на капитальный ремонт, отнесенные к общепроизводственным расходам.</v>
      </c>
      <c r="O42" s="1027" t="s">
        <v>1991</v>
      </c>
      <c r="P42" s="1027" t="s">
        <v>1977</v>
      </c>
      <c r="Q42" s="1027" t="s">
        <v>1991</v>
      </c>
      <c r="R42" s="1027" t="s">
        <v>1977</v>
      </c>
      <c r="S42" s="1027"/>
      <c r="T42" s="1012" t="s">
        <v>1992</v>
      </c>
      <c r="U42" s="1012" t="s">
        <v>1992</v>
      </c>
      <c r="V42" s="1012" t="s">
        <v>1992</v>
      </c>
      <c r="W42" s="1012" t="s">
        <v>1992</v>
      </c>
      <c r="X42" s="1012"/>
      <c r="Y42" s="1016"/>
      <c r="Z42" s="996" t="s">
        <v>1993</v>
      </c>
      <c r="AA42" s="996" t="s">
        <v>1993</v>
      </c>
      <c r="AB42" s="996" t="s">
        <v>1993</v>
      </c>
      <c r="AC42" s="996" t="s">
        <v>1993</v>
      </c>
      <c r="AD42" s="996"/>
    </row>
    <row r="43" spans="1:30" ht="18" customHeight="1">
      <c r="A43" s="1014"/>
      <c r="B43" s="1017">
        <v>26</v>
      </c>
      <c r="C43" s="1012">
        <v>14</v>
      </c>
      <c r="D43" s="1024"/>
      <c r="E43" s="1012"/>
      <c r="F43" s="1012"/>
      <c r="G43" s="1012"/>
      <c r="H43" s="1029"/>
      <c r="I43" s="1026" t="str">
        <f t="shared" si="1"/>
        <v>2.9</v>
      </c>
      <c r="J43" s="1026" t="str">
        <f t="shared" si="2"/>
        <v>Общехозяйственные расходы, в том числе:</v>
      </c>
      <c r="K43" s="1026" t="str">
        <f t="shared" si="3"/>
        <v>Указывается общая сумма общехозяйственных расходов.</v>
      </c>
      <c r="L43" s="1015" t="str">
        <f t="shared" si="4"/>
        <v>2.9</v>
      </c>
      <c r="M43" s="1015" t="str">
        <f t="shared" si="5"/>
        <v>Общехозяйственные расходы, в том числе:</v>
      </c>
      <c r="N43" s="1015" t="str">
        <f t="shared" si="6"/>
        <v>Указывается общая сумма общехозяйственных расходов.</v>
      </c>
      <c r="O43" s="1027" t="s">
        <v>1994</v>
      </c>
      <c r="P43" s="1027" t="s">
        <v>639</v>
      </c>
      <c r="Q43" s="1027" t="s">
        <v>1994</v>
      </c>
      <c r="R43" s="1027" t="s">
        <v>639</v>
      </c>
      <c r="S43" s="1027"/>
      <c r="T43" s="1012" t="s">
        <v>1995</v>
      </c>
      <c r="U43" s="1012" t="s">
        <v>1995</v>
      </c>
      <c r="V43" s="1012" t="s">
        <v>1995</v>
      </c>
      <c r="W43" s="1012" t="s">
        <v>1995</v>
      </c>
      <c r="X43" s="1012"/>
      <c r="Y43" s="1016"/>
      <c r="Z43" s="996" t="s">
        <v>1996</v>
      </c>
      <c r="AA43" s="996" t="s">
        <v>1996</v>
      </c>
      <c r="AB43" s="996" t="s">
        <v>1996</v>
      </c>
      <c r="AC43" s="996" t="s">
        <v>1996</v>
      </c>
      <c r="AD43" s="996"/>
    </row>
    <row r="44" spans="1:30" ht="27" customHeight="1">
      <c r="A44" s="1014"/>
      <c r="B44" s="1017">
        <v>27</v>
      </c>
      <c r="C44" s="1012" t="s">
        <v>1997</v>
      </c>
      <c r="D44" s="1024"/>
      <c r="E44" s="1012"/>
      <c r="F44" s="1012"/>
      <c r="G44" s="1012"/>
      <c r="H44" s="1029"/>
      <c r="I44" s="1026" t="str">
        <f t="shared" si="1"/>
        <v>2.9.1</v>
      </c>
      <c r="J44" s="1026" t="str">
        <f t="shared" si="2"/>
        <v>Расходы на текущий ремонт</v>
      </c>
      <c r="K44" s="1026" t="str">
        <f t="shared" si="3"/>
        <v>Указываются расходы на текущий ремонт, отнесенные к общехозяйственным расходам.</v>
      </c>
      <c r="L44" s="1015" t="str">
        <f t="shared" si="4"/>
        <v>2.9.1</v>
      </c>
      <c r="M44" s="1015" t="str">
        <f t="shared" si="5"/>
        <v>Расходы на текущий ремонт</v>
      </c>
      <c r="N44" s="1015" t="str">
        <f t="shared" si="6"/>
        <v>Указываются расходы на текущий ремонт, отнесенные к общехозяйственным расходам.</v>
      </c>
      <c r="O44" s="1027" t="s">
        <v>1998</v>
      </c>
      <c r="P44" s="1027" t="s">
        <v>1999</v>
      </c>
      <c r="Q44" s="1027" t="s">
        <v>1998</v>
      </c>
      <c r="R44" s="1027" t="s">
        <v>1999</v>
      </c>
      <c r="S44" s="1027"/>
      <c r="T44" s="1012" t="s">
        <v>1988</v>
      </c>
      <c r="U44" s="1012" t="s">
        <v>1988</v>
      </c>
      <c r="V44" s="1012" t="s">
        <v>1988</v>
      </c>
      <c r="W44" s="1012" t="s">
        <v>1988</v>
      </c>
      <c r="X44" s="1012"/>
      <c r="Y44" s="1016"/>
      <c r="Z44" s="996" t="s">
        <v>2000</v>
      </c>
      <c r="AA44" s="996" t="s">
        <v>2000</v>
      </c>
      <c r="AB44" s="996" t="s">
        <v>2000</v>
      </c>
      <c r="AC44" s="996" t="s">
        <v>2000</v>
      </c>
      <c r="AD44" s="996"/>
    </row>
    <row r="45" spans="1:30" ht="27" customHeight="1">
      <c r="A45" s="1014"/>
      <c r="B45" s="1017">
        <v>28</v>
      </c>
      <c r="C45" s="1012" t="s">
        <v>2001</v>
      </c>
      <c r="D45" s="1024"/>
      <c r="E45" s="1012"/>
      <c r="F45" s="1012"/>
      <c r="G45" s="1012"/>
      <c r="H45" s="1029"/>
      <c r="I45" s="1026" t="str">
        <f t="shared" si="1"/>
        <v>2.9.2</v>
      </c>
      <c r="J45" s="1026" t="str">
        <f t="shared" si="2"/>
        <v>Расходы на капитальный ремонт</v>
      </c>
      <c r="K45" s="1026" t="str">
        <f t="shared" si="3"/>
        <v>Указываются расходы на капитальный ремонт, отнесенные к общехозяйственным расходам.</v>
      </c>
      <c r="L45" s="1015" t="str">
        <f t="shared" si="4"/>
        <v>2.9.2</v>
      </c>
      <c r="M45" s="1015" t="str">
        <f t="shared" si="5"/>
        <v>Расходы на капитальный ремонт</v>
      </c>
      <c r="N45" s="1015" t="str">
        <f t="shared" si="6"/>
        <v>Указываются расходы на капитальный ремонт, отнесенные к общехозяйственным расходам.</v>
      </c>
      <c r="O45" s="1027" t="s">
        <v>2002</v>
      </c>
      <c r="P45" s="1027" t="s">
        <v>2003</v>
      </c>
      <c r="Q45" s="1027" t="s">
        <v>2002</v>
      </c>
      <c r="R45" s="1027" t="s">
        <v>2003</v>
      </c>
      <c r="S45" s="1027"/>
      <c r="T45" s="1012" t="s">
        <v>1992</v>
      </c>
      <c r="U45" s="1012" t="s">
        <v>1992</v>
      </c>
      <c r="V45" s="1012" t="s">
        <v>1992</v>
      </c>
      <c r="W45" s="1012" t="s">
        <v>1992</v>
      </c>
      <c r="X45" s="1012"/>
      <c r="Y45" s="1016"/>
      <c r="Z45" s="996" t="s">
        <v>2004</v>
      </c>
      <c r="AA45" s="996" t="s">
        <v>2004</v>
      </c>
      <c r="AB45" s="996" t="s">
        <v>2004</v>
      </c>
      <c r="AC45" s="996" t="s">
        <v>2004</v>
      </c>
      <c r="AD45" s="996"/>
    </row>
    <row r="46" spans="1:30" ht="54" customHeight="1">
      <c r="A46" s="1014"/>
      <c r="B46" s="1017">
        <v>29</v>
      </c>
      <c r="C46" s="1012">
        <v>15</v>
      </c>
      <c r="D46" s="1024"/>
      <c r="E46" s="1012"/>
      <c r="F46" s="1012"/>
      <c r="G46" s="1012"/>
      <c r="H46" s="1029"/>
      <c r="I46" s="1026" t="str">
        <f t="shared" si="1"/>
        <v>2.10</v>
      </c>
      <c r="J46" s="1026" t="str">
        <f t="shared" si="2"/>
        <v>Расходы на капитальный и текущий ремонт основных средств</v>
      </c>
      <c r="K46" s="10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5" t="str">
        <f t="shared" si="4"/>
        <v>2.10</v>
      </c>
      <c r="M46" s="1015" t="str">
        <f t="shared" si="5"/>
        <v>Расходы на капитальный и текущий ремонт основных средств</v>
      </c>
      <c r="N46" s="101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7" t="s">
        <v>2005</v>
      </c>
      <c r="P46" s="1027" t="s">
        <v>1983</v>
      </c>
      <c r="Q46" s="1027" t="s">
        <v>2005</v>
      </c>
      <c r="R46" s="1027" t="s">
        <v>1983</v>
      </c>
      <c r="S46" s="1027"/>
      <c r="T46" s="1012" t="s">
        <v>2006</v>
      </c>
      <c r="U46" s="1012" t="s">
        <v>2006</v>
      </c>
      <c r="V46" s="1012" t="s">
        <v>2006</v>
      </c>
      <c r="W46" s="1012" t="s">
        <v>2006</v>
      </c>
      <c r="X46" s="1012"/>
      <c r="Y46" s="1016"/>
      <c r="Z46" s="996" t="s">
        <v>2007</v>
      </c>
      <c r="AA46" s="996" t="s">
        <v>2008</v>
      </c>
      <c r="AB46" s="996" t="s">
        <v>2008</v>
      </c>
      <c r="AC46" s="996" t="s">
        <v>2008</v>
      </c>
      <c r="AD46" s="996"/>
    </row>
    <row r="47" spans="1:30" ht="54" customHeight="1">
      <c r="A47" s="1014"/>
      <c r="B47" s="1017">
        <v>30</v>
      </c>
      <c r="C47" s="1012" t="s">
        <v>2009</v>
      </c>
      <c r="D47" s="1024"/>
      <c r="E47" s="1012"/>
      <c r="F47" s="1012"/>
      <c r="G47" s="1012"/>
      <c r="H47" s="1029"/>
      <c r="I47" s="1026" t="str">
        <f t="shared" si="1"/>
        <v>2.10.1</v>
      </c>
      <c r="J47" s="10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6">
        <f t="shared" si="3"/>
        <v>0</v>
      </c>
      <c r="L47" s="1015" t="str">
        <f t="shared" si="4"/>
        <v>2.10.1</v>
      </c>
      <c r="M47" s="101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5" t="str">
        <f t="shared" si="6"/>
        <v/>
      </c>
      <c r="O47" s="1027" t="s">
        <v>2010</v>
      </c>
      <c r="P47" s="1027" t="s">
        <v>1987</v>
      </c>
      <c r="Q47" s="1027" t="s">
        <v>2010</v>
      </c>
      <c r="R47" s="1027" t="s">
        <v>1987</v>
      </c>
      <c r="S47" s="1027"/>
      <c r="T47" s="1012" t="s">
        <v>2011</v>
      </c>
      <c r="U47" s="1012" t="s">
        <v>2011</v>
      </c>
      <c r="V47" s="1012" t="s">
        <v>2011</v>
      </c>
      <c r="W47" s="1012" t="s">
        <v>2011</v>
      </c>
      <c r="X47" s="1012"/>
      <c r="Y47" s="1016"/>
      <c r="Z47" s="996"/>
      <c r="AA47" s="1003"/>
      <c r="AB47" s="1003"/>
      <c r="AC47" s="1003"/>
      <c r="AD47" s="996"/>
    </row>
    <row r="48" spans="1:30" ht="54" customHeight="1">
      <c r="A48" s="1014"/>
      <c r="B48" s="1017">
        <v>31</v>
      </c>
      <c r="C48" s="1012">
        <v>16</v>
      </c>
      <c r="D48" s="1024"/>
      <c r="E48" s="1012"/>
      <c r="F48" s="1012"/>
      <c r="G48" s="1012"/>
      <c r="H48" s="1029"/>
      <c r="I48" s="1026" t="str">
        <f t="shared" si="1"/>
        <v>2.11</v>
      </c>
      <c r="J48" s="102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5" t="str">
        <f t="shared" si="4"/>
        <v>2.11</v>
      </c>
      <c r="M48" s="101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7"/>
      <c r="P48" s="1027" t="s">
        <v>1994</v>
      </c>
      <c r="Q48" s="1027" t="s">
        <v>2012</v>
      </c>
      <c r="R48" s="1027" t="s">
        <v>1994</v>
      </c>
      <c r="S48" s="1027"/>
      <c r="T48" s="1012"/>
      <c r="U48" s="1012" t="s">
        <v>2013</v>
      </c>
      <c r="V48" s="1012" t="s">
        <v>2014</v>
      </c>
      <c r="W48" s="1012" t="s">
        <v>2014</v>
      </c>
      <c r="X48" s="1012"/>
      <c r="Y48" s="1016"/>
      <c r="Z48" s="996"/>
      <c r="AA48" s="1003" t="s">
        <v>2008</v>
      </c>
      <c r="AB48" s="1003" t="s">
        <v>2008</v>
      </c>
      <c r="AC48" s="1003" t="s">
        <v>2008</v>
      </c>
      <c r="AD48" s="996"/>
    </row>
    <row r="49" spans="1:30" ht="54" customHeight="1">
      <c r="A49" s="1014"/>
      <c r="B49" s="1017">
        <v>32</v>
      </c>
      <c r="C49" s="1012" t="s">
        <v>2015</v>
      </c>
      <c r="D49" s="1024"/>
      <c r="E49" s="1012"/>
      <c r="F49" s="1012"/>
      <c r="G49" s="1012"/>
      <c r="H49" s="1029"/>
      <c r="I49" s="1026" t="str">
        <f t="shared" si="1"/>
        <v>2.11.1</v>
      </c>
      <c r="J49" s="10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26">
        <f t="shared" si="3"/>
        <v>0</v>
      </c>
      <c r="L49" s="1015" t="str">
        <f t="shared" si="4"/>
        <v>2.11.1</v>
      </c>
      <c r="M49" s="101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5" t="str">
        <f t="shared" si="6"/>
        <v/>
      </c>
      <c r="O49" s="1027"/>
      <c r="P49" s="1027" t="s">
        <v>1998</v>
      </c>
      <c r="Q49" s="1027" t="s">
        <v>2016</v>
      </c>
      <c r="R49" s="1027" t="s">
        <v>1998</v>
      </c>
      <c r="S49" s="1027"/>
      <c r="T49" s="1012"/>
      <c r="U49" s="1012" t="s">
        <v>2011</v>
      </c>
      <c r="V49" s="1012" t="s">
        <v>2011</v>
      </c>
      <c r="W49" s="1012" t="s">
        <v>2011</v>
      </c>
      <c r="X49" s="1012"/>
      <c r="Y49" s="1016"/>
      <c r="Z49" s="996"/>
      <c r="AA49" s="1003"/>
      <c r="AB49" s="1003"/>
      <c r="AC49" s="1003"/>
      <c r="AD49" s="996"/>
    </row>
    <row r="50" spans="1:30" ht="126" customHeight="1">
      <c r="A50" s="1014"/>
      <c r="B50" s="1017">
        <v>33</v>
      </c>
      <c r="C50" s="1012">
        <v>17</v>
      </c>
      <c r="D50" s="1024"/>
      <c r="E50" s="1012"/>
      <c r="F50" s="1012"/>
      <c r="G50" s="1012"/>
      <c r="H50" s="1029"/>
      <c r="I50" s="1026" t="str">
        <f t="shared" ref="I50:I81" si="7">INDEX(TEMPLATE_NUMBER_POINT_FHD,B50,MATCH(TEMPLATE_SPHERE,TEMPLATE_SPHERE_LIST_FOR_NOTE,0))</f>
        <v>2.12</v>
      </c>
      <c r="J50" s="102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5" t="str">
        <f t="shared" ref="L50:L81" si="10">IF(I50=0,"",I50)</f>
        <v>2.12</v>
      </c>
      <c r="M50" s="101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1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7" t="s">
        <v>2012</v>
      </c>
      <c r="P50" s="1027" t="s">
        <v>2005</v>
      </c>
      <c r="Q50" s="1027" t="s">
        <v>2017</v>
      </c>
      <c r="R50" s="1027" t="s">
        <v>2005</v>
      </c>
      <c r="S50" s="1027"/>
      <c r="T50" s="1012" t="s">
        <v>2018</v>
      </c>
      <c r="U50" s="1012" t="s">
        <v>2019</v>
      </c>
      <c r="V50" s="1012" t="s">
        <v>2020</v>
      </c>
      <c r="W50" s="1012" t="s">
        <v>2021</v>
      </c>
      <c r="X50" s="1012"/>
      <c r="Y50" s="1016"/>
      <c r="Z50" s="996" t="s">
        <v>2022</v>
      </c>
      <c r="AA50" s="1003" t="s">
        <v>2023</v>
      </c>
      <c r="AB50" s="1003" t="s">
        <v>2023</v>
      </c>
      <c r="AC50" s="1003" t="s">
        <v>2023</v>
      </c>
      <c r="AD50" s="996"/>
    </row>
    <row r="51" spans="1:30" ht="27" customHeight="1">
      <c r="A51" s="1014"/>
      <c r="B51" s="1017">
        <v>34</v>
      </c>
      <c r="C51" s="1012" t="s">
        <v>2024</v>
      </c>
      <c r="D51" s="1024"/>
      <c r="E51" s="1012"/>
      <c r="F51" s="1012"/>
      <c r="G51" s="1012"/>
      <c r="H51" s="1029"/>
      <c r="I51" s="1026">
        <f t="shared" si="7"/>
        <v>0</v>
      </c>
      <c r="J51" s="1026">
        <f t="shared" si="8"/>
        <v>0</v>
      </c>
      <c r="K51" s="1026">
        <f t="shared" si="9"/>
        <v>0</v>
      </c>
      <c r="L51" s="1015" t="str">
        <f t="shared" si="10"/>
        <v/>
      </c>
      <c r="M51" s="1015" t="str">
        <f t="shared" si="11"/>
        <v/>
      </c>
      <c r="N51" s="1015" t="str">
        <f t="shared" si="12"/>
        <v/>
      </c>
      <c r="O51" s="1027" t="s">
        <v>86</v>
      </c>
      <c r="P51" s="1027"/>
      <c r="Q51" s="1027"/>
      <c r="R51" s="1027"/>
      <c r="S51" s="1027"/>
      <c r="T51" s="1012" t="s">
        <v>2025</v>
      </c>
      <c r="U51" s="1012"/>
      <c r="V51" s="1012"/>
      <c r="W51" s="1012"/>
      <c r="X51" s="1012"/>
      <c r="Y51" s="1016"/>
      <c r="Z51" s="996"/>
      <c r="AA51" s="1003"/>
      <c r="AB51" s="1003"/>
      <c r="AC51" s="1003"/>
      <c r="AD51" s="996"/>
    </row>
    <row r="52" spans="1:30" ht="36" customHeight="1">
      <c r="A52" s="1014"/>
      <c r="B52" s="1017">
        <v>35</v>
      </c>
      <c r="C52" s="1012" t="s">
        <v>1917</v>
      </c>
      <c r="D52" s="1024" t="s">
        <v>1917</v>
      </c>
      <c r="E52" s="1012" t="s">
        <v>1917</v>
      </c>
      <c r="F52" s="1012" t="s">
        <v>1917</v>
      </c>
      <c r="G52" s="1012"/>
      <c r="H52" s="1029"/>
      <c r="I52" s="1026" t="str">
        <f t="shared" si="7"/>
        <v>3</v>
      </c>
      <c r="J52" s="1026" t="str">
        <f t="shared" si="8"/>
        <v>Чистая прибыль, полученная от регулируемого вида деятельности в сфере водоотведения, в том числе:</v>
      </c>
      <c r="K52" s="1026" t="str">
        <f t="shared" si="9"/>
        <v>Указывается общая сумма чистой прибыли, полученной от регулируемого вида деятельности.</v>
      </c>
      <c r="L52" s="1015" t="str">
        <f t="shared" si="10"/>
        <v>3</v>
      </c>
      <c r="M52" s="1015" t="str">
        <f t="shared" si="11"/>
        <v>Чистая прибыль, полученная от регулируемого вида деятельности в сфере водоотведения, в том числе:</v>
      </c>
      <c r="N52" s="1015" t="str">
        <f t="shared" si="12"/>
        <v>Указывается общая сумма чистой прибыли, полученной от регулируемого вида деятельности.</v>
      </c>
      <c r="O52" s="1027" t="s">
        <v>87</v>
      </c>
      <c r="P52" s="1027" t="s">
        <v>86</v>
      </c>
      <c r="Q52" s="1027" t="s">
        <v>86</v>
      </c>
      <c r="R52" s="1027" t="s">
        <v>86</v>
      </c>
      <c r="S52" s="1027"/>
      <c r="T52" s="1012" t="s">
        <v>2026</v>
      </c>
      <c r="U52" s="1012" t="s">
        <v>2027</v>
      </c>
      <c r="V52" s="1012" t="s">
        <v>2028</v>
      </c>
      <c r="W52" s="1012" t="s">
        <v>2029</v>
      </c>
      <c r="X52" s="1012"/>
      <c r="Y52" s="1016"/>
      <c r="Z52" s="996" t="s">
        <v>643</v>
      </c>
      <c r="AA52" s="1003" t="s">
        <v>643</v>
      </c>
      <c r="AB52" s="1003" t="s">
        <v>643</v>
      </c>
      <c r="AC52" s="1003" t="s">
        <v>643</v>
      </c>
      <c r="AD52" s="996"/>
    </row>
    <row r="53" spans="1:30" ht="36" customHeight="1">
      <c r="A53" s="1014"/>
      <c r="B53" s="1017">
        <v>36</v>
      </c>
      <c r="C53" s="1012">
        <v>1</v>
      </c>
      <c r="D53" s="1024"/>
      <c r="E53" s="1012"/>
      <c r="F53" s="1012"/>
      <c r="G53" s="1012"/>
      <c r="H53" s="1029"/>
      <c r="I53" s="1026" t="str">
        <f t="shared" si="7"/>
        <v>3.1</v>
      </c>
      <c r="J53" s="10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1026">
        <f t="shared" si="9"/>
        <v>0</v>
      </c>
      <c r="L53" s="1015" t="str">
        <f t="shared" si="10"/>
        <v>3.1</v>
      </c>
      <c r="M53" s="101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1015" t="str">
        <f t="shared" si="12"/>
        <v/>
      </c>
      <c r="O53" s="1027" t="s">
        <v>647</v>
      </c>
      <c r="P53" s="1027" t="s">
        <v>313</v>
      </c>
      <c r="Q53" s="1027" t="s">
        <v>313</v>
      </c>
      <c r="R53" s="1027" t="s">
        <v>313</v>
      </c>
      <c r="S53" s="1027"/>
      <c r="T53" s="1012" t="s">
        <v>2030</v>
      </c>
      <c r="U53" s="1012" t="s">
        <v>2030</v>
      </c>
      <c r="V53" s="1012" t="s">
        <v>2030</v>
      </c>
      <c r="W53" s="1012" t="s">
        <v>2030</v>
      </c>
      <c r="X53" s="1012"/>
      <c r="Y53" s="1016"/>
      <c r="Z53" s="996"/>
      <c r="AA53" s="1003"/>
      <c r="AB53" s="996"/>
      <c r="AC53" s="996"/>
      <c r="AD53" s="996"/>
    </row>
    <row r="54" spans="1:30" ht="18" customHeight="1">
      <c r="A54" s="1014"/>
      <c r="B54" s="1017">
        <v>37</v>
      </c>
      <c r="C54" s="1012" t="s">
        <v>1923</v>
      </c>
      <c r="D54" s="1024" t="s">
        <v>1923</v>
      </c>
      <c r="E54" s="1012" t="s">
        <v>1923</v>
      </c>
      <c r="F54" s="1012" t="s">
        <v>1923</v>
      </c>
      <c r="G54" s="1012"/>
      <c r="H54" s="1029"/>
      <c r="I54" s="1026" t="str">
        <f t="shared" si="7"/>
        <v>4</v>
      </c>
      <c r="J54" s="1026" t="str">
        <f t="shared" si="8"/>
        <v>Изменение стоимости основных фондов, в том числе:</v>
      </c>
      <c r="K54" s="1026" t="str">
        <f t="shared" si="9"/>
        <v>Указывается общее изменение стоимости основных фондов.</v>
      </c>
      <c r="L54" s="1015" t="str">
        <f t="shared" si="10"/>
        <v>4</v>
      </c>
      <c r="M54" s="1015" t="str">
        <f t="shared" si="11"/>
        <v>Изменение стоимости основных фондов, в том числе:</v>
      </c>
      <c r="N54" s="1015" t="str">
        <f t="shared" si="12"/>
        <v>Указывается общее изменение стоимости основных фондов.</v>
      </c>
      <c r="O54" s="1027" t="s">
        <v>107</v>
      </c>
      <c r="P54" s="1027" t="s">
        <v>87</v>
      </c>
      <c r="Q54" s="1027" t="s">
        <v>87</v>
      </c>
      <c r="R54" s="1027" t="s">
        <v>87</v>
      </c>
      <c r="S54" s="1027"/>
      <c r="T54" s="1012" t="s">
        <v>645</v>
      </c>
      <c r="U54" s="1012" t="s">
        <v>645</v>
      </c>
      <c r="V54" s="1012" t="s">
        <v>645</v>
      </c>
      <c r="W54" s="1012" t="s">
        <v>645</v>
      </c>
      <c r="X54" s="1012"/>
      <c r="Y54" s="1016"/>
      <c r="Z54" s="996" t="s">
        <v>646</v>
      </c>
      <c r="AA54" s="996" t="s">
        <v>646</v>
      </c>
      <c r="AB54" s="996" t="s">
        <v>646</v>
      </c>
      <c r="AC54" s="996" t="s">
        <v>646</v>
      </c>
      <c r="AD54" s="996"/>
    </row>
    <row r="55" spans="1:30" ht="36" customHeight="1">
      <c r="A55" s="1014"/>
      <c r="B55" s="1017">
        <v>38</v>
      </c>
      <c r="C55" s="1012">
        <v>1</v>
      </c>
      <c r="D55" s="1024"/>
      <c r="E55" s="1012"/>
      <c r="F55" s="1012"/>
      <c r="G55" s="1012"/>
      <c r="H55" s="1029"/>
      <c r="I55" s="1026" t="str">
        <f t="shared" si="7"/>
        <v>4.1</v>
      </c>
      <c r="J55" s="1026" t="str">
        <f t="shared" si="8"/>
        <v>Изменение стоимости основных фондов за счет их ввода в эксплуатацию (вывода из эксплуатации)</v>
      </c>
      <c r="K55" s="1026" t="str">
        <f t="shared" si="9"/>
        <v>Указываются общее изменение стоимости основных фондов за счет их ввода в эксплуатацию и вывода из эксплуатации.</v>
      </c>
      <c r="L55" s="1015" t="str">
        <f t="shared" si="10"/>
        <v>4.1</v>
      </c>
      <c r="M55" s="1015" t="str">
        <f t="shared" si="11"/>
        <v>Изменение стоимости основных фондов за счет их ввода в эксплуатацию (вывода из эксплуатации)</v>
      </c>
      <c r="N55" s="1015" t="str">
        <f t="shared" si="12"/>
        <v>Указываются общее изменение стоимости основных фондов за счет их ввода в эксплуатацию и вывода из эксплуатации.</v>
      </c>
      <c r="O55" s="1027" t="s">
        <v>302</v>
      </c>
      <c r="P55" s="1027" t="s">
        <v>647</v>
      </c>
      <c r="Q55" s="1027" t="s">
        <v>647</v>
      </c>
      <c r="R55" s="1027" t="s">
        <v>647</v>
      </c>
      <c r="S55" s="1027"/>
      <c r="T55" s="1012" t="s">
        <v>2031</v>
      </c>
      <c r="U55" s="1012" t="s">
        <v>2032</v>
      </c>
      <c r="V55" s="1012" t="s">
        <v>2032</v>
      </c>
      <c r="W55" s="1012" t="s">
        <v>2032</v>
      </c>
      <c r="X55" s="1012"/>
      <c r="Y55" s="1016"/>
      <c r="Z55" s="996" t="s">
        <v>2033</v>
      </c>
      <c r="AA55" s="996" t="s">
        <v>2033</v>
      </c>
      <c r="AB55" s="996" t="s">
        <v>2033</v>
      </c>
      <c r="AC55" s="996" t="s">
        <v>2033</v>
      </c>
      <c r="AD55" s="996"/>
    </row>
    <row r="56" spans="1:30" ht="27" customHeight="1">
      <c r="A56" s="1014"/>
      <c r="B56" s="1017">
        <v>39</v>
      </c>
      <c r="C56" s="1012" t="s">
        <v>916</v>
      </c>
      <c r="D56" s="1024"/>
      <c r="E56" s="1012"/>
      <c r="F56" s="1012"/>
      <c r="G56" s="1012"/>
      <c r="H56" s="1029"/>
      <c r="I56" s="1026" t="str">
        <f t="shared" si="7"/>
        <v>4.1.1</v>
      </c>
      <c r="J56" s="1026" t="str">
        <f t="shared" si="8"/>
        <v>Изменение стоимости основных фондов за счет их ввода в эксплуатацию</v>
      </c>
      <c r="K56" s="1026" t="str">
        <f t="shared" si="9"/>
        <v>Указываются изменение стоимости основных фондов за счет их ввода в эксплуатацию.</v>
      </c>
      <c r="L56" s="1015" t="str">
        <f t="shared" si="10"/>
        <v>4.1.1</v>
      </c>
      <c r="M56" s="1015" t="str">
        <f t="shared" si="11"/>
        <v>Изменение стоимости основных фондов за счет их ввода в эксплуатацию</v>
      </c>
      <c r="N56" s="1015" t="str">
        <f t="shared" si="12"/>
        <v>Указываются изменение стоимости основных фондов за счет их ввода в эксплуатацию.</v>
      </c>
      <c r="O56" s="1027" t="s">
        <v>1034</v>
      </c>
      <c r="P56" s="1027" t="s">
        <v>650</v>
      </c>
      <c r="Q56" s="1027" t="s">
        <v>650</v>
      </c>
      <c r="R56" s="1027" t="s">
        <v>650</v>
      </c>
      <c r="S56" s="1027"/>
      <c r="T56" s="1012" t="s">
        <v>2034</v>
      </c>
      <c r="U56" s="1012" t="s">
        <v>2035</v>
      </c>
      <c r="V56" s="1012" t="s">
        <v>2035</v>
      </c>
      <c r="W56" s="1012" t="s">
        <v>2035</v>
      </c>
      <c r="X56" s="1012"/>
      <c r="Y56" s="1016"/>
      <c r="Z56" s="996" t="s">
        <v>652</v>
      </c>
      <c r="AA56" s="996" t="s">
        <v>652</v>
      </c>
      <c r="AB56" s="996" t="s">
        <v>652</v>
      </c>
      <c r="AC56" s="996" t="s">
        <v>652</v>
      </c>
      <c r="AD56" s="996"/>
    </row>
    <row r="57" spans="1:30" ht="27" customHeight="1">
      <c r="A57" s="1014"/>
      <c r="B57" s="1017">
        <v>40</v>
      </c>
      <c r="C57" s="1012" t="s">
        <v>918</v>
      </c>
      <c r="D57" s="1024"/>
      <c r="E57" s="1012"/>
      <c r="F57" s="1012"/>
      <c r="G57" s="1012"/>
      <c r="H57" s="1029"/>
      <c r="I57" s="1026" t="str">
        <f t="shared" si="7"/>
        <v>4.1.2</v>
      </c>
      <c r="J57" s="1026" t="str">
        <f t="shared" si="8"/>
        <v>Изменение стоимости основных фондов за счет их вывода в эксплуатацию</v>
      </c>
      <c r="K57" s="1026" t="str">
        <f t="shared" si="9"/>
        <v>Указываются изменение стоимости основных фондов за счет их вывода из эксплуатации.</v>
      </c>
      <c r="L57" s="1015" t="str">
        <f t="shared" si="10"/>
        <v>4.1.2</v>
      </c>
      <c r="M57" s="1015" t="str">
        <f t="shared" si="11"/>
        <v>Изменение стоимости основных фондов за счет их вывода в эксплуатацию</v>
      </c>
      <c r="N57" s="1015" t="str">
        <f t="shared" si="12"/>
        <v>Указываются изменение стоимости основных фондов за счет их вывода из эксплуатации.</v>
      </c>
      <c r="O57" s="1027" t="s">
        <v>2036</v>
      </c>
      <c r="P57" s="1027" t="s">
        <v>653</v>
      </c>
      <c r="Q57" s="1027" t="s">
        <v>653</v>
      </c>
      <c r="R57" s="1027" t="s">
        <v>653</v>
      </c>
      <c r="S57" s="1027"/>
      <c r="T57" s="1012" t="s">
        <v>2037</v>
      </c>
      <c r="U57" s="1012" t="s">
        <v>2038</v>
      </c>
      <c r="V57" s="1012" t="s">
        <v>2038</v>
      </c>
      <c r="W57" s="1012" t="s">
        <v>2038</v>
      </c>
      <c r="X57" s="1012"/>
      <c r="Y57" s="1016"/>
      <c r="Z57" s="996" t="s">
        <v>655</v>
      </c>
      <c r="AA57" s="996" t="s">
        <v>655</v>
      </c>
      <c r="AB57" s="996" t="s">
        <v>655</v>
      </c>
      <c r="AC57" s="996" t="s">
        <v>655</v>
      </c>
      <c r="AD57" s="996"/>
    </row>
    <row r="58" spans="1:30" ht="18" customHeight="1">
      <c r="A58" s="1014"/>
      <c r="B58" s="1017">
        <v>41</v>
      </c>
      <c r="C58" s="1012">
        <v>2</v>
      </c>
      <c r="D58" s="1024"/>
      <c r="E58" s="1012"/>
      <c r="F58" s="1012"/>
      <c r="G58" s="1012"/>
      <c r="H58" s="1029"/>
      <c r="I58" s="1026" t="str">
        <f t="shared" si="7"/>
        <v>4.2</v>
      </c>
      <c r="J58" s="1026" t="str">
        <f t="shared" si="8"/>
        <v>Изменение стоимости основных фондов за счет их переоценки</v>
      </c>
      <c r="K58" s="1026">
        <f t="shared" si="9"/>
        <v>0</v>
      </c>
      <c r="L58" s="1015" t="str">
        <f t="shared" si="10"/>
        <v>4.2</v>
      </c>
      <c r="M58" s="1015" t="str">
        <f t="shared" si="11"/>
        <v>Изменение стоимости основных фондов за счет их переоценки</v>
      </c>
      <c r="N58" s="1015" t="str">
        <f t="shared" si="12"/>
        <v/>
      </c>
      <c r="O58" s="1027" t="s">
        <v>304</v>
      </c>
      <c r="P58" s="1027" t="s">
        <v>690</v>
      </c>
      <c r="Q58" s="1027" t="s">
        <v>690</v>
      </c>
      <c r="R58" s="1027" t="s">
        <v>690</v>
      </c>
      <c r="S58" s="1027"/>
      <c r="T58" s="1012" t="s">
        <v>2039</v>
      </c>
      <c r="U58" s="1012" t="s">
        <v>2039</v>
      </c>
      <c r="V58" s="1012" t="s">
        <v>2039</v>
      </c>
      <c r="W58" s="1012" t="s">
        <v>2039</v>
      </c>
      <c r="X58" s="1012"/>
      <c r="Y58" s="1016"/>
      <c r="Z58" s="996"/>
      <c r="AA58" s="1003"/>
      <c r="AB58" s="996"/>
      <c r="AC58" s="996"/>
      <c r="AD58" s="996"/>
    </row>
    <row r="59" spans="1:30" ht="36" customHeight="1">
      <c r="A59" s="1014"/>
      <c r="B59" s="1017">
        <v>42</v>
      </c>
      <c r="C59" s="1012">
        <v>3</v>
      </c>
      <c r="D59" s="1024" t="s">
        <v>2024</v>
      </c>
      <c r="E59" s="1012" t="s">
        <v>2024</v>
      </c>
      <c r="F59" s="1012" t="s">
        <v>2024</v>
      </c>
      <c r="G59" s="1012"/>
      <c r="H59" s="1029"/>
      <c r="I59" s="1026" t="str">
        <f t="shared" si="7"/>
        <v>5</v>
      </c>
      <c r="J59" s="1026" t="str">
        <f t="shared" si="8"/>
        <v>Валовая прибыль (убытки) от продажи товаров и услуг по регулируемым видам деятельности в сфере водоотведения</v>
      </c>
      <c r="K59" s="1026">
        <f t="shared" si="9"/>
        <v>0</v>
      </c>
      <c r="L59" s="1015" t="str">
        <f t="shared" si="10"/>
        <v>5</v>
      </c>
      <c r="M59" s="1015" t="str">
        <f t="shared" si="11"/>
        <v>Валовая прибыль (убытки) от продажи товаров и услуг по регулируемым видам деятельности в сфере водоотведения</v>
      </c>
      <c r="N59" s="1015" t="str">
        <f t="shared" si="12"/>
        <v/>
      </c>
      <c r="O59" s="1027"/>
      <c r="P59" s="1027" t="s">
        <v>107</v>
      </c>
      <c r="Q59" s="1027" t="s">
        <v>107</v>
      </c>
      <c r="R59" s="1027" t="s">
        <v>107</v>
      </c>
      <c r="S59" s="1027"/>
      <c r="T59" s="1012"/>
      <c r="U59" s="1012" t="s">
        <v>2040</v>
      </c>
      <c r="V59" s="1012" t="s">
        <v>2041</v>
      </c>
      <c r="W59" s="1012" t="s">
        <v>2042</v>
      </c>
      <c r="X59" s="1012"/>
      <c r="Y59" s="1016"/>
      <c r="Z59" s="996"/>
      <c r="AA59" s="1003"/>
      <c r="AB59" s="996"/>
      <c r="AC59" s="996"/>
      <c r="AD59" s="996"/>
    </row>
    <row r="60" spans="1:30" ht="81" customHeight="1">
      <c r="A60" s="1014"/>
      <c r="B60" s="1017">
        <v>43</v>
      </c>
      <c r="C60" s="1012" t="s">
        <v>2043</v>
      </c>
      <c r="D60" s="1024" t="s">
        <v>2043</v>
      </c>
      <c r="E60" s="1012" t="s">
        <v>2043</v>
      </c>
      <c r="F60" s="1012" t="s">
        <v>2043</v>
      </c>
      <c r="G60" s="1012"/>
      <c r="H60" s="1029"/>
      <c r="I60" s="1026" t="str">
        <f t="shared" si="7"/>
        <v>6</v>
      </c>
      <c r="J60" s="1026" t="str">
        <f t="shared" si="8"/>
        <v>Годовая бухгалтерская (финансовая) отчетность, включая бухгалтерский баланс и приложения к нему</v>
      </c>
      <c r="K60" s="1026" t="str">
        <f t="shared" si="9"/>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5" t="str">
        <f t="shared" si="10"/>
        <v>6</v>
      </c>
      <c r="M60" s="1015" t="str">
        <f t="shared" si="11"/>
        <v>Годовая бухгалтерская (финансовая) отчетность, включая бухгалтерский баланс и приложения к нему</v>
      </c>
      <c r="N60" s="1015" t="str">
        <f t="shared" si="12"/>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7" t="s">
        <v>88</v>
      </c>
      <c r="P60" s="1027" t="s">
        <v>88</v>
      </c>
      <c r="Q60" s="1027" t="s">
        <v>88</v>
      </c>
      <c r="R60" s="1027" t="s">
        <v>88</v>
      </c>
      <c r="S60" s="1027"/>
      <c r="T60" s="1012" t="s">
        <v>659</v>
      </c>
      <c r="U60" s="1012" t="s">
        <v>659</v>
      </c>
      <c r="V60" s="1012" t="s">
        <v>659</v>
      </c>
      <c r="W60" s="1012" t="s">
        <v>659</v>
      </c>
      <c r="X60" s="1012"/>
      <c r="Y60" s="1016"/>
      <c r="Z60" s="996" t="s">
        <v>2044</v>
      </c>
      <c r="AA60" s="1003" t="s">
        <v>2045</v>
      </c>
      <c r="AB60" s="996" t="s">
        <v>2046</v>
      </c>
      <c r="AC60" s="996" t="s">
        <v>2045</v>
      </c>
      <c r="AD60" s="996"/>
    </row>
    <row r="61" spans="1:30" ht="9" customHeight="1">
      <c r="A61" s="1014"/>
      <c r="B61" s="1017">
        <v>44</v>
      </c>
      <c r="C61" s="1012"/>
      <c r="D61" s="1024" t="s">
        <v>2047</v>
      </c>
      <c r="E61" s="1012"/>
      <c r="F61" s="1012"/>
      <c r="G61" s="1012"/>
      <c r="H61" s="1029"/>
      <c r="I61" s="1026">
        <f t="shared" si="7"/>
        <v>0</v>
      </c>
      <c r="J61" s="1026">
        <f t="shared" si="8"/>
        <v>0</v>
      </c>
      <c r="K61" s="1026">
        <f t="shared" si="9"/>
        <v>0</v>
      </c>
      <c r="L61" s="1015" t="str">
        <f t="shared" si="10"/>
        <v/>
      </c>
      <c r="M61" s="1015" t="str">
        <f t="shared" si="11"/>
        <v/>
      </c>
      <c r="N61" s="1015" t="str">
        <f t="shared" si="12"/>
        <v/>
      </c>
      <c r="O61" s="1027"/>
      <c r="P61" s="1027" t="s">
        <v>89</v>
      </c>
      <c r="Q61" s="1027"/>
      <c r="R61" s="1027"/>
      <c r="S61" s="1027"/>
      <c r="T61" s="1012"/>
      <c r="U61" s="1012" t="s">
        <v>2048</v>
      </c>
      <c r="V61" s="1012"/>
      <c r="W61" s="1012"/>
      <c r="X61" s="1012"/>
      <c r="Y61" s="1016"/>
      <c r="Z61" s="996"/>
      <c r="AA61" s="1003"/>
      <c r="AB61" s="996"/>
      <c r="AC61" s="996"/>
      <c r="AD61" s="996"/>
    </row>
    <row r="62" spans="1:30" ht="9" customHeight="1">
      <c r="A62" s="1014"/>
      <c r="B62" s="1017">
        <v>45</v>
      </c>
      <c r="C62" s="1012"/>
      <c r="D62" s="1024" t="s">
        <v>2049</v>
      </c>
      <c r="E62" s="1012"/>
      <c r="F62" s="1012"/>
      <c r="G62" s="1012"/>
      <c r="H62" s="1029"/>
      <c r="I62" s="1026">
        <f t="shared" si="7"/>
        <v>0</v>
      </c>
      <c r="J62" s="1026">
        <f t="shared" si="8"/>
        <v>0</v>
      </c>
      <c r="K62" s="1026">
        <f t="shared" si="9"/>
        <v>0</v>
      </c>
      <c r="L62" s="1015" t="str">
        <f t="shared" si="10"/>
        <v/>
      </c>
      <c r="M62" s="1015" t="str">
        <f t="shared" si="11"/>
        <v/>
      </c>
      <c r="N62" s="1015" t="str">
        <f t="shared" si="12"/>
        <v/>
      </c>
      <c r="O62" s="1027"/>
      <c r="P62" s="1027" t="s">
        <v>108</v>
      </c>
      <c r="Q62" s="1027"/>
      <c r="R62" s="1027"/>
      <c r="S62" s="1027"/>
      <c r="T62" s="1012"/>
      <c r="U62" s="1012" t="s">
        <v>2050</v>
      </c>
      <c r="V62" s="1012"/>
      <c r="W62" s="1012"/>
      <c r="X62" s="1012"/>
      <c r="Y62" s="1016"/>
      <c r="Z62" s="996"/>
      <c r="AA62" s="1003"/>
      <c r="AB62" s="996"/>
      <c r="AC62" s="996"/>
      <c r="AD62" s="996"/>
    </row>
    <row r="63" spans="1:30" ht="18" customHeight="1">
      <c r="A63" s="1014"/>
      <c r="B63" s="1017">
        <v>46</v>
      </c>
      <c r="C63" s="1012"/>
      <c r="D63" s="1024" t="s">
        <v>2051</v>
      </c>
      <c r="E63" s="1012"/>
      <c r="F63" s="1012"/>
      <c r="G63" s="1012"/>
      <c r="H63" s="1029"/>
      <c r="I63" s="1026">
        <f t="shared" si="7"/>
        <v>0</v>
      </c>
      <c r="J63" s="1026">
        <f t="shared" si="8"/>
        <v>0</v>
      </c>
      <c r="K63" s="1026">
        <f t="shared" si="9"/>
        <v>0</v>
      </c>
      <c r="L63" s="1015" t="str">
        <f t="shared" si="10"/>
        <v/>
      </c>
      <c r="M63" s="1015" t="str">
        <f t="shared" si="11"/>
        <v/>
      </c>
      <c r="N63" s="1015" t="str">
        <f t="shared" si="12"/>
        <v/>
      </c>
      <c r="O63" s="1027"/>
      <c r="P63" s="1027" t="s">
        <v>144</v>
      </c>
      <c r="Q63" s="1027"/>
      <c r="R63" s="1027"/>
      <c r="S63" s="1027"/>
      <c r="T63" s="1012"/>
      <c r="U63" s="1012" t="s">
        <v>2052</v>
      </c>
      <c r="V63" s="1012"/>
      <c r="W63" s="1012"/>
      <c r="X63" s="1012"/>
      <c r="Y63" s="1016"/>
      <c r="Z63" s="996"/>
      <c r="AA63" s="1003"/>
      <c r="AB63" s="996"/>
      <c r="AC63" s="996"/>
      <c r="AD63" s="996"/>
    </row>
    <row r="64" spans="1:30" ht="18" customHeight="1">
      <c r="A64" s="1014"/>
      <c r="B64" s="1017">
        <v>47</v>
      </c>
      <c r="C64" s="1012"/>
      <c r="D64" s="1024" t="s">
        <v>2053</v>
      </c>
      <c r="E64" s="1012"/>
      <c r="F64" s="1012"/>
      <c r="G64" s="1012"/>
      <c r="H64" s="1029"/>
      <c r="I64" s="1026">
        <f t="shared" si="7"/>
        <v>0</v>
      </c>
      <c r="J64" s="1026">
        <f t="shared" si="8"/>
        <v>0</v>
      </c>
      <c r="K64" s="1026">
        <f t="shared" si="9"/>
        <v>0</v>
      </c>
      <c r="L64" s="1015" t="str">
        <f t="shared" si="10"/>
        <v/>
      </c>
      <c r="M64" s="1015" t="str">
        <f t="shared" si="11"/>
        <v/>
      </c>
      <c r="N64" s="1015" t="str">
        <f t="shared" si="12"/>
        <v/>
      </c>
      <c r="O64" s="1027"/>
      <c r="P64" s="1027" t="s">
        <v>145</v>
      </c>
      <c r="Q64" s="1027"/>
      <c r="R64" s="1027"/>
      <c r="S64" s="1027"/>
      <c r="T64" s="1012"/>
      <c r="U64" s="1012" t="s">
        <v>2054</v>
      </c>
      <c r="V64" s="1012"/>
      <c r="W64" s="1012"/>
      <c r="X64" s="1012"/>
      <c r="Y64" s="1016"/>
      <c r="Z64" s="996"/>
      <c r="AA64" s="1003" t="s">
        <v>2055</v>
      </c>
      <c r="AB64" s="996"/>
      <c r="AC64" s="996"/>
      <c r="AD64" s="996"/>
    </row>
    <row r="65" spans="1:30" ht="18" customHeight="1">
      <c r="A65" s="1014"/>
      <c r="B65" s="1017">
        <v>48</v>
      </c>
      <c r="C65" s="1012"/>
      <c r="D65" s="1024"/>
      <c r="E65" s="1012"/>
      <c r="F65" s="1012"/>
      <c r="G65" s="1012"/>
      <c r="H65" s="1029"/>
      <c r="I65" s="1026">
        <f t="shared" si="7"/>
        <v>0</v>
      </c>
      <c r="J65" s="1026">
        <f t="shared" si="8"/>
        <v>0</v>
      </c>
      <c r="K65" s="1026">
        <f t="shared" si="9"/>
        <v>0</v>
      </c>
      <c r="L65" s="1015" t="str">
        <f t="shared" si="10"/>
        <v/>
      </c>
      <c r="M65" s="1015" t="str">
        <f t="shared" si="11"/>
        <v/>
      </c>
      <c r="N65" s="1015" t="str">
        <f t="shared" si="12"/>
        <v/>
      </c>
      <c r="O65" s="1027"/>
      <c r="P65" s="1027" t="s">
        <v>1965</v>
      </c>
      <c r="Q65" s="1027"/>
      <c r="R65" s="1027"/>
      <c r="S65" s="1027"/>
      <c r="T65" s="1012"/>
      <c r="U65" s="1012" t="s">
        <v>2056</v>
      </c>
      <c r="V65" s="1012"/>
      <c r="W65" s="1012"/>
      <c r="X65" s="1012"/>
      <c r="Y65" s="1016"/>
      <c r="Z65" s="996"/>
      <c r="AA65" s="1003"/>
      <c r="AB65" s="996"/>
      <c r="AC65" s="996"/>
      <c r="AD65" s="996"/>
    </row>
    <row r="66" spans="1:30" ht="18" customHeight="1">
      <c r="A66" s="1014"/>
      <c r="B66" s="1017">
        <v>49</v>
      </c>
      <c r="C66" s="1012"/>
      <c r="D66" s="1024"/>
      <c r="E66" s="1012"/>
      <c r="F66" s="1012"/>
      <c r="G66" s="1012"/>
      <c r="H66" s="1029"/>
      <c r="I66" s="1026">
        <f t="shared" si="7"/>
        <v>0</v>
      </c>
      <c r="J66" s="1026">
        <f t="shared" si="8"/>
        <v>0</v>
      </c>
      <c r="K66" s="1026">
        <f t="shared" si="9"/>
        <v>0</v>
      </c>
      <c r="L66" s="1015" t="str">
        <f t="shared" si="10"/>
        <v/>
      </c>
      <c r="M66" s="1015" t="str">
        <f t="shared" si="11"/>
        <v/>
      </c>
      <c r="N66" s="1015" t="str">
        <f t="shared" si="12"/>
        <v/>
      </c>
      <c r="O66" s="1027"/>
      <c r="P66" s="1027" t="s">
        <v>1969</v>
      </c>
      <c r="Q66" s="1027"/>
      <c r="R66" s="1027"/>
      <c r="S66" s="1027"/>
      <c r="T66" s="1012"/>
      <c r="U66" s="1012" t="s">
        <v>2057</v>
      </c>
      <c r="V66" s="1012"/>
      <c r="W66" s="1012"/>
      <c r="X66" s="1012"/>
      <c r="Y66" s="1016"/>
      <c r="Z66" s="996"/>
      <c r="AA66" s="1003"/>
      <c r="AB66" s="996"/>
      <c r="AC66" s="996"/>
      <c r="AD66" s="996"/>
    </row>
    <row r="67" spans="1:30" ht="27" customHeight="1">
      <c r="A67" s="1014"/>
      <c r="B67" s="1017">
        <v>50</v>
      </c>
      <c r="C67" s="1012"/>
      <c r="D67" s="1024"/>
      <c r="E67" s="1012"/>
      <c r="F67" s="1012"/>
      <c r="G67" s="1012"/>
      <c r="H67" s="1029"/>
      <c r="I67" s="1026">
        <f t="shared" si="7"/>
        <v>0</v>
      </c>
      <c r="J67" s="1026">
        <f t="shared" si="8"/>
        <v>0</v>
      </c>
      <c r="K67" s="1026">
        <f t="shared" si="9"/>
        <v>0</v>
      </c>
      <c r="L67" s="1015" t="str">
        <f t="shared" si="10"/>
        <v/>
      </c>
      <c r="M67" s="1015" t="str">
        <f t="shared" si="11"/>
        <v/>
      </c>
      <c r="N67" s="1015" t="str">
        <f t="shared" si="12"/>
        <v/>
      </c>
      <c r="O67" s="1027"/>
      <c r="P67" s="1027" t="s">
        <v>2058</v>
      </c>
      <c r="Q67" s="1027"/>
      <c r="R67" s="1027"/>
      <c r="S67" s="1027"/>
      <c r="T67" s="1012"/>
      <c r="U67" s="1012" t="s">
        <v>2059</v>
      </c>
      <c r="V67" s="1012"/>
      <c r="W67" s="1012"/>
      <c r="X67" s="1012"/>
      <c r="Y67" s="1016"/>
      <c r="Z67" s="996"/>
      <c r="AA67" s="1003"/>
      <c r="AB67" s="996"/>
      <c r="AC67" s="996"/>
      <c r="AD67" s="996"/>
    </row>
    <row r="68" spans="1:30" ht="27" customHeight="1">
      <c r="A68" s="1014"/>
      <c r="B68" s="1017">
        <v>51</v>
      </c>
      <c r="C68" s="1012"/>
      <c r="D68" s="1024"/>
      <c r="E68" s="1012"/>
      <c r="F68" s="1012"/>
      <c r="G68" s="1012"/>
      <c r="H68" s="1029"/>
      <c r="I68" s="1026">
        <f t="shared" si="7"/>
        <v>0</v>
      </c>
      <c r="J68" s="1026">
        <f t="shared" si="8"/>
        <v>0</v>
      </c>
      <c r="K68" s="1026">
        <f t="shared" si="9"/>
        <v>0</v>
      </c>
      <c r="L68" s="1015" t="str">
        <f t="shared" si="10"/>
        <v/>
      </c>
      <c r="M68" s="1015" t="str">
        <f t="shared" si="11"/>
        <v/>
      </c>
      <c r="N68" s="1015" t="str">
        <f t="shared" si="12"/>
        <v/>
      </c>
      <c r="O68" s="1027"/>
      <c r="P68" s="1027" t="s">
        <v>2060</v>
      </c>
      <c r="Q68" s="1027"/>
      <c r="R68" s="1027"/>
      <c r="S68" s="1027"/>
      <c r="T68" s="1012"/>
      <c r="U68" s="1012" t="s">
        <v>2061</v>
      </c>
      <c r="V68" s="1012"/>
      <c r="W68" s="1012"/>
      <c r="X68" s="1012"/>
      <c r="Y68" s="1016"/>
      <c r="Z68" s="996"/>
      <c r="AA68" s="1003"/>
      <c r="AB68" s="996"/>
      <c r="AC68" s="996"/>
      <c r="AD68" s="996"/>
    </row>
    <row r="69" spans="1:30" ht="9" customHeight="1">
      <c r="A69" s="1014"/>
      <c r="B69" s="1017">
        <v>52</v>
      </c>
      <c r="C69" s="1012"/>
      <c r="D69" s="1024" t="s">
        <v>2062</v>
      </c>
      <c r="E69" s="1012"/>
      <c r="F69" s="1012"/>
      <c r="G69" s="1012"/>
      <c r="H69" s="1029"/>
      <c r="I69" s="1026">
        <f t="shared" si="7"/>
        <v>0</v>
      </c>
      <c r="J69" s="1026">
        <f t="shared" si="8"/>
        <v>0</v>
      </c>
      <c r="K69" s="1026">
        <f t="shared" si="9"/>
        <v>0</v>
      </c>
      <c r="L69" s="1015" t="str">
        <f t="shared" si="10"/>
        <v/>
      </c>
      <c r="M69" s="1015" t="str">
        <f t="shared" si="11"/>
        <v/>
      </c>
      <c r="N69" s="1015" t="str">
        <f t="shared" si="12"/>
        <v/>
      </c>
      <c r="O69" s="1027"/>
      <c r="P69" s="1027" t="s">
        <v>146</v>
      </c>
      <c r="Q69" s="1027"/>
      <c r="R69" s="1027"/>
      <c r="S69" s="1027"/>
      <c r="T69" s="1012"/>
      <c r="U69" s="1012" t="s">
        <v>2063</v>
      </c>
      <c r="V69" s="1012"/>
      <c r="W69" s="1012"/>
      <c r="X69" s="1012"/>
      <c r="Y69" s="1016"/>
      <c r="Z69" s="996"/>
      <c r="AA69" s="1003"/>
      <c r="AB69" s="996"/>
      <c r="AC69" s="996"/>
      <c r="AD69" s="996"/>
    </row>
    <row r="70" spans="1:30" ht="27" customHeight="1">
      <c r="A70" s="1014"/>
      <c r="B70" s="1017">
        <v>53</v>
      </c>
      <c r="C70" s="1012"/>
      <c r="D70" s="1024"/>
      <c r="E70" s="1012" t="s">
        <v>2047</v>
      </c>
      <c r="F70" s="1012"/>
      <c r="G70" s="1012"/>
      <c r="H70" s="1029"/>
      <c r="I70" s="1026">
        <f t="shared" si="7"/>
        <v>0</v>
      </c>
      <c r="J70" s="1026">
        <f t="shared" si="8"/>
        <v>0</v>
      </c>
      <c r="K70" s="1026">
        <f t="shared" si="9"/>
        <v>0</v>
      </c>
      <c r="L70" s="1015" t="str">
        <f t="shared" si="10"/>
        <v/>
      </c>
      <c r="M70" s="1015" t="str">
        <f t="shared" si="11"/>
        <v/>
      </c>
      <c r="N70" s="1015" t="str">
        <f t="shared" si="12"/>
        <v/>
      </c>
      <c r="O70" s="1027"/>
      <c r="P70" s="1027"/>
      <c r="Q70" s="1027" t="s">
        <v>89</v>
      </c>
      <c r="R70" s="1027"/>
      <c r="S70" s="1027"/>
      <c r="T70" s="1012"/>
      <c r="U70" s="1012"/>
      <c r="V70" s="1012" t="s">
        <v>2064</v>
      </c>
      <c r="W70" s="1012"/>
      <c r="X70" s="1012"/>
      <c r="Y70" s="1016"/>
      <c r="Z70" s="996"/>
      <c r="AA70" s="1003"/>
      <c r="AB70" s="996"/>
      <c r="AC70" s="996"/>
      <c r="AD70" s="996"/>
    </row>
    <row r="71" spans="1:30" ht="36" customHeight="1">
      <c r="A71" s="1014"/>
      <c r="B71" s="1017">
        <v>54</v>
      </c>
      <c r="C71" s="1012"/>
      <c r="D71" s="1024"/>
      <c r="E71" s="1012" t="s">
        <v>2049</v>
      </c>
      <c r="F71" s="1012"/>
      <c r="G71" s="1012"/>
      <c r="H71" s="1029"/>
      <c r="I71" s="1026">
        <f t="shared" si="7"/>
        <v>0</v>
      </c>
      <c r="J71" s="1026">
        <f t="shared" si="8"/>
        <v>0</v>
      </c>
      <c r="K71" s="1026">
        <f t="shared" si="9"/>
        <v>0</v>
      </c>
      <c r="L71" s="1015" t="str">
        <f t="shared" si="10"/>
        <v/>
      </c>
      <c r="M71" s="1015" t="str">
        <f t="shared" si="11"/>
        <v/>
      </c>
      <c r="N71" s="1015" t="str">
        <f t="shared" si="12"/>
        <v/>
      </c>
      <c r="O71" s="1027"/>
      <c r="P71" s="1027"/>
      <c r="Q71" s="1027" t="s">
        <v>108</v>
      </c>
      <c r="R71" s="1027"/>
      <c r="S71" s="1027"/>
      <c r="T71" s="1012"/>
      <c r="U71" s="1012"/>
      <c r="V71" s="1012" t="s">
        <v>2065</v>
      </c>
      <c r="W71" s="1012"/>
      <c r="X71" s="1012"/>
      <c r="Y71" s="1016"/>
      <c r="Z71" s="996"/>
      <c r="AA71" s="1003"/>
      <c r="AB71" s="996"/>
      <c r="AC71" s="996"/>
      <c r="AD71" s="996"/>
    </row>
    <row r="72" spans="1:30" ht="27" customHeight="1">
      <c r="A72" s="1014"/>
      <c r="B72" s="1017">
        <v>55</v>
      </c>
      <c r="C72" s="1012"/>
      <c r="D72" s="1024"/>
      <c r="E72" s="1012" t="s">
        <v>2051</v>
      </c>
      <c r="F72" s="1012"/>
      <c r="G72" s="1012"/>
      <c r="H72" s="1029"/>
      <c r="I72" s="1026">
        <f t="shared" si="7"/>
        <v>0</v>
      </c>
      <c r="J72" s="1026">
        <f t="shared" si="8"/>
        <v>0</v>
      </c>
      <c r="K72" s="1026">
        <f t="shared" si="9"/>
        <v>0</v>
      </c>
      <c r="L72" s="1015" t="str">
        <f t="shared" si="10"/>
        <v/>
      </c>
      <c r="M72" s="1015" t="str">
        <f t="shared" si="11"/>
        <v/>
      </c>
      <c r="N72" s="1015" t="str">
        <f t="shared" si="12"/>
        <v/>
      </c>
      <c r="O72" s="1027"/>
      <c r="P72" s="1027"/>
      <c r="Q72" s="1027" t="s">
        <v>144</v>
      </c>
      <c r="R72" s="1027"/>
      <c r="S72" s="1027"/>
      <c r="T72" s="1012"/>
      <c r="U72" s="1012"/>
      <c r="V72" s="1012" t="s">
        <v>2066</v>
      </c>
      <c r="W72" s="1012"/>
      <c r="X72" s="1012"/>
      <c r="Y72" s="1016"/>
      <c r="Z72" s="996"/>
      <c r="AA72" s="1003"/>
      <c r="AB72" s="996"/>
      <c r="AC72" s="996"/>
      <c r="AD72" s="996"/>
    </row>
    <row r="73" spans="1:30" ht="36" customHeight="1">
      <c r="A73" s="1014"/>
      <c r="B73" s="1017">
        <v>56</v>
      </c>
      <c r="C73" s="1012"/>
      <c r="D73" s="1024"/>
      <c r="E73" s="1012" t="s">
        <v>2053</v>
      </c>
      <c r="F73" s="1012"/>
      <c r="G73" s="1012"/>
      <c r="H73" s="1029"/>
      <c r="I73" s="1026">
        <f t="shared" si="7"/>
        <v>0</v>
      </c>
      <c r="J73" s="1026">
        <f t="shared" si="8"/>
        <v>0</v>
      </c>
      <c r="K73" s="1026">
        <f t="shared" si="9"/>
        <v>0</v>
      </c>
      <c r="L73" s="1015" t="str">
        <f t="shared" si="10"/>
        <v/>
      </c>
      <c r="M73" s="1015" t="str">
        <f t="shared" si="11"/>
        <v/>
      </c>
      <c r="N73" s="1015" t="str">
        <f t="shared" si="12"/>
        <v/>
      </c>
      <c r="O73" s="1027"/>
      <c r="P73" s="1027"/>
      <c r="Q73" s="1027" t="s">
        <v>145</v>
      </c>
      <c r="R73" s="1027"/>
      <c r="S73" s="1027"/>
      <c r="T73" s="1012"/>
      <c r="U73" s="1012"/>
      <c r="V73" s="1012" t="s">
        <v>2067</v>
      </c>
      <c r="W73" s="1012"/>
      <c r="X73" s="1012"/>
      <c r="Y73" s="1016"/>
      <c r="Z73" s="996"/>
      <c r="AA73" s="1003"/>
      <c r="AB73" s="996"/>
      <c r="AC73" s="996"/>
      <c r="AD73" s="996"/>
    </row>
    <row r="74" spans="1:30" ht="18" customHeight="1">
      <c r="A74" s="1014"/>
      <c r="B74" s="1017">
        <v>57</v>
      </c>
      <c r="C74" s="1012"/>
      <c r="D74" s="1024"/>
      <c r="E74" s="1012" t="s">
        <v>2062</v>
      </c>
      <c r="F74" s="1012"/>
      <c r="G74" s="1012"/>
      <c r="H74" s="1029"/>
      <c r="I74" s="1026">
        <f t="shared" si="7"/>
        <v>0</v>
      </c>
      <c r="J74" s="1026">
        <f t="shared" si="8"/>
        <v>0</v>
      </c>
      <c r="K74" s="1026">
        <f t="shared" si="9"/>
        <v>0</v>
      </c>
      <c r="L74" s="1015" t="str">
        <f t="shared" si="10"/>
        <v/>
      </c>
      <c r="M74" s="1015" t="str">
        <f t="shared" si="11"/>
        <v/>
      </c>
      <c r="N74" s="1015" t="str">
        <f t="shared" si="12"/>
        <v/>
      </c>
      <c r="O74" s="1027"/>
      <c r="P74" s="1027"/>
      <c r="Q74" s="1027" t="s">
        <v>146</v>
      </c>
      <c r="R74" s="1027"/>
      <c r="S74" s="1027"/>
      <c r="T74" s="1012"/>
      <c r="U74" s="1012"/>
      <c r="V74" s="1012" t="s">
        <v>2068</v>
      </c>
      <c r="W74" s="1012"/>
      <c r="X74" s="1012"/>
      <c r="Y74" s="1016"/>
      <c r="Z74" s="996"/>
      <c r="AA74" s="1003"/>
      <c r="AB74" s="996"/>
      <c r="AC74" s="996"/>
      <c r="AD74" s="996"/>
    </row>
    <row r="75" spans="1:30" ht="18" customHeight="1">
      <c r="A75" s="1014"/>
      <c r="B75" s="1017">
        <v>58</v>
      </c>
      <c r="C75" s="1012"/>
      <c r="D75" s="1024"/>
      <c r="E75" s="1012"/>
      <c r="F75" s="1012" t="s">
        <v>2047</v>
      </c>
      <c r="G75" s="1012"/>
      <c r="H75" s="1029"/>
      <c r="I75" s="1026" t="str">
        <f t="shared" si="7"/>
        <v>7</v>
      </c>
      <c r="J75" s="1026" t="str">
        <f t="shared" si="8"/>
        <v>Объём сточных вод, принятых от потребителей</v>
      </c>
      <c r="K75" s="1026">
        <f t="shared" si="9"/>
        <v>0</v>
      </c>
      <c r="L75" s="1015" t="str">
        <f t="shared" si="10"/>
        <v>7</v>
      </c>
      <c r="M75" s="1015" t="str">
        <f t="shared" si="11"/>
        <v>Объём сточных вод, принятых от потребителей</v>
      </c>
      <c r="N75" s="1015" t="str">
        <f t="shared" si="12"/>
        <v/>
      </c>
      <c r="O75" s="1027"/>
      <c r="P75" s="1027"/>
      <c r="Q75" s="1027"/>
      <c r="R75" s="1027" t="s">
        <v>89</v>
      </c>
      <c r="S75" s="1027"/>
      <c r="T75" s="1012"/>
      <c r="U75" s="1012"/>
      <c r="V75" s="1012"/>
      <c r="W75" s="1012" t="s">
        <v>2069</v>
      </c>
      <c r="X75" s="1012"/>
      <c r="Y75" s="1016"/>
      <c r="Z75" s="996"/>
      <c r="AA75" s="1003"/>
      <c r="AB75" s="996"/>
      <c r="AC75" s="996"/>
      <c r="AD75" s="996"/>
    </row>
    <row r="76" spans="1:30" ht="36" customHeight="1">
      <c r="A76" s="1014"/>
      <c r="B76" s="1017">
        <v>59</v>
      </c>
      <c r="C76" s="1012"/>
      <c r="D76" s="1024"/>
      <c r="E76" s="1012"/>
      <c r="F76" s="1012" t="s">
        <v>2049</v>
      </c>
      <c r="G76" s="1012"/>
      <c r="H76" s="1029"/>
      <c r="I76" s="1026" t="str">
        <f t="shared" si="7"/>
        <v>8</v>
      </c>
      <c r="J76" s="1026" t="str">
        <f t="shared" si="8"/>
        <v>Объём сточных вод, принятых от других регулируемых организаций, осуществляющих водоотведение и (или) очистку сточных вод</v>
      </c>
      <c r="K76" s="1026">
        <f t="shared" si="9"/>
        <v>0</v>
      </c>
      <c r="L76" s="1015" t="str">
        <f t="shared" si="10"/>
        <v>8</v>
      </c>
      <c r="M76" s="1015" t="str">
        <f t="shared" si="11"/>
        <v>Объём сточных вод, принятых от других регулируемых организаций, осуществляющих водоотведение и (или) очистку сточных вод</v>
      </c>
      <c r="N76" s="1015" t="str">
        <f t="shared" si="12"/>
        <v/>
      </c>
      <c r="O76" s="1027"/>
      <c r="P76" s="1027"/>
      <c r="Q76" s="1027"/>
      <c r="R76" s="1027" t="s">
        <v>108</v>
      </c>
      <c r="S76" s="1027"/>
      <c r="T76" s="1012"/>
      <c r="U76" s="1012"/>
      <c r="V76" s="1012"/>
      <c r="W76" s="1012" t="s">
        <v>2070</v>
      </c>
      <c r="X76" s="1012"/>
      <c r="Y76" s="1016"/>
      <c r="Z76" s="996"/>
      <c r="AA76" s="1003"/>
      <c r="AB76" s="996"/>
      <c r="AC76" s="996"/>
      <c r="AD76" s="996"/>
    </row>
    <row r="77" spans="1:30" ht="18" customHeight="1">
      <c r="A77" s="1014"/>
      <c r="B77" s="1017">
        <v>60</v>
      </c>
      <c r="C77" s="1012"/>
      <c r="D77" s="1024"/>
      <c r="E77" s="1012"/>
      <c r="F77" s="1012" t="s">
        <v>2051</v>
      </c>
      <c r="G77" s="1012"/>
      <c r="H77" s="1029"/>
      <c r="I77" s="1026" t="str">
        <f t="shared" si="7"/>
        <v>9</v>
      </c>
      <c r="J77" s="1026" t="str">
        <f t="shared" si="8"/>
        <v>Объём сточных вод, пропущенных через очистные сооружения</v>
      </c>
      <c r="K77" s="1026">
        <f t="shared" si="9"/>
        <v>0</v>
      </c>
      <c r="L77" s="1015" t="str">
        <f t="shared" si="10"/>
        <v>9</v>
      </c>
      <c r="M77" s="1015" t="str">
        <f t="shared" si="11"/>
        <v>Объём сточных вод, пропущенных через очистные сооружения</v>
      </c>
      <c r="N77" s="1015" t="str">
        <f t="shared" si="12"/>
        <v/>
      </c>
      <c r="O77" s="1027"/>
      <c r="P77" s="1027"/>
      <c r="Q77" s="1027"/>
      <c r="R77" s="1027" t="s">
        <v>144</v>
      </c>
      <c r="S77" s="1027"/>
      <c r="T77" s="1012"/>
      <c r="U77" s="1012"/>
      <c r="V77" s="1012"/>
      <c r="W77" s="1012" t="s">
        <v>2071</v>
      </c>
      <c r="X77" s="1012"/>
      <c r="Y77" s="1016"/>
      <c r="Z77" s="996"/>
      <c r="AA77" s="1003"/>
      <c r="AB77" s="996"/>
      <c r="AC77" s="996"/>
      <c r="AD77" s="996"/>
    </row>
    <row r="78" spans="1:30" ht="72" customHeight="1">
      <c r="A78" s="1014"/>
      <c r="B78" s="1017">
        <v>61</v>
      </c>
      <c r="C78" s="1012" t="s">
        <v>2047</v>
      </c>
      <c r="D78" s="1024"/>
      <c r="E78" s="1012"/>
      <c r="F78" s="1012"/>
      <c r="G78" s="1012"/>
      <c r="H78" s="1029"/>
      <c r="I78" s="1026">
        <f t="shared" si="7"/>
        <v>0</v>
      </c>
      <c r="J78" s="1026">
        <f t="shared" si="8"/>
        <v>0</v>
      </c>
      <c r="K78" s="1026">
        <f t="shared" si="9"/>
        <v>0</v>
      </c>
      <c r="L78" s="1015" t="str">
        <f t="shared" si="10"/>
        <v/>
      </c>
      <c r="M78" s="1015" t="str">
        <f t="shared" si="11"/>
        <v/>
      </c>
      <c r="N78" s="1015" t="str">
        <f t="shared" si="12"/>
        <v/>
      </c>
      <c r="O78" s="1027" t="s">
        <v>89</v>
      </c>
      <c r="P78" s="1027"/>
      <c r="Q78" s="1027"/>
      <c r="R78" s="1027"/>
      <c r="S78" s="1027"/>
      <c r="T78" s="1012" t="s">
        <v>2072</v>
      </c>
      <c r="U78" s="1012"/>
      <c r="V78" s="1012"/>
      <c r="W78" s="1012"/>
      <c r="X78" s="1012"/>
      <c r="Y78" s="1016"/>
      <c r="Z78" s="996" t="s">
        <v>2073</v>
      </c>
      <c r="AA78" s="1003"/>
      <c r="AB78" s="996"/>
      <c r="AC78" s="996"/>
      <c r="AD78" s="996"/>
    </row>
    <row r="79" spans="1:30" ht="36" customHeight="1">
      <c r="A79" s="1014"/>
      <c r="B79" s="1017">
        <v>62</v>
      </c>
      <c r="C79" s="1012" t="s">
        <v>2049</v>
      </c>
      <c r="D79" s="1024"/>
      <c r="E79" s="1012"/>
      <c r="F79" s="1012"/>
      <c r="G79" s="1012"/>
      <c r="H79" s="1029"/>
      <c r="I79" s="1026">
        <f t="shared" si="7"/>
        <v>0</v>
      </c>
      <c r="J79" s="1026">
        <f t="shared" si="8"/>
        <v>0</v>
      </c>
      <c r="K79" s="1026">
        <f t="shared" si="9"/>
        <v>0</v>
      </c>
      <c r="L79" s="1015" t="str">
        <f t="shared" si="10"/>
        <v/>
      </c>
      <c r="M79" s="1015" t="str">
        <f t="shared" si="11"/>
        <v/>
      </c>
      <c r="N79" s="1015" t="str">
        <f t="shared" si="12"/>
        <v/>
      </c>
      <c r="O79" s="1027" t="s">
        <v>108</v>
      </c>
      <c r="P79" s="1027"/>
      <c r="Q79" s="1027"/>
      <c r="R79" s="1027"/>
      <c r="S79" s="1027"/>
      <c r="T79" s="1012" t="s">
        <v>2074</v>
      </c>
      <c r="U79" s="1012"/>
      <c r="V79" s="1012"/>
      <c r="W79" s="1012"/>
      <c r="X79" s="1012"/>
      <c r="Y79" s="1016"/>
      <c r="Z79" s="996" t="s">
        <v>2075</v>
      </c>
      <c r="AA79" s="1003"/>
      <c r="AB79" s="996"/>
      <c r="AC79" s="996"/>
      <c r="AD79" s="996"/>
    </row>
    <row r="80" spans="1:30" ht="45" customHeight="1">
      <c r="A80" s="1014"/>
      <c r="B80" s="1017">
        <v>63</v>
      </c>
      <c r="C80" s="1012" t="s">
        <v>2051</v>
      </c>
      <c r="D80" s="1024"/>
      <c r="E80" s="1012"/>
      <c r="F80" s="1012"/>
      <c r="G80" s="1012"/>
      <c r="H80" s="1029"/>
      <c r="I80" s="1026">
        <f t="shared" si="7"/>
        <v>0</v>
      </c>
      <c r="J80" s="1026">
        <f t="shared" si="8"/>
        <v>0</v>
      </c>
      <c r="K80" s="1026">
        <f t="shared" si="9"/>
        <v>0</v>
      </c>
      <c r="L80" s="1015" t="str">
        <f t="shared" si="10"/>
        <v/>
      </c>
      <c r="M80" s="1015" t="str">
        <f t="shared" si="11"/>
        <v/>
      </c>
      <c r="N80" s="1015" t="str">
        <f t="shared" si="12"/>
        <v/>
      </c>
      <c r="O80" s="1027" t="s">
        <v>144</v>
      </c>
      <c r="P80" s="1027"/>
      <c r="Q80" s="1027"/>
      <c r="R80" s="1027"/>
      <c r="S80" s="1027"/>
      <c r="T80" s="1012" t="s">
        <v>2076</v>
      </c>
      <c r="U80" s="1012"/>
      <c r="V80" s="1012"/>
      <c r="W80" s="1012"/>
      <c r="X80" s="1012"/>
      <c r="Y80" s="1016"/>
      <c r="Z80" s="996" t="s">
        <v>2077</v>
      </c>
      <c r="AA80" s="1003"/>
      <c r="AB80" s="996"/>
      <c r="AC80" s="996"/>
      <c r="AD80" s="996"/>
    </row>
    <row r="81" spans="1:30" ht="36" customHeight="1">
      <c r="A81" s="1014"/>
      <c r="B81" s="1017">
        <v>64</v>
      </c>
      <c r="C81" s="1012" t="s">
        <v>2053</v>
      </c>
      <c r="D81" s="1024"/>
      <c r="E81" s="1012"/>
      <c r="F81" s="1012"/>
      <c r="G81" s="1012"/>
      <c r="H81" s="1029"/>
      <c r="I81" s="1026">
        <f t="shared" si="7"/>
        <v>0</v>
      </c>
      <c r="J81" s="1026">
        <f t="shared" si="8"/>
        <v>0</v>
      </c>
      <c r="K81" s="1026">
        <f t="shared" si="9"/>
        <v>0</v>
      </c>
      <c r="L81" s="1015" t="str">
        <f t="shared" si="10"/>
        <v/>
      </c>
      <c r="M81" s="1015" t="str">
        <f t="shared" si="11"/>
        <v/>
      </c>
      <c r="N81" s="1015" t="str">
        <f t="shared" si="12"/>
        <v/>
      </c>
      <c r="O81" s="1027" t="s">
        <v>1956</v>
      </c>
      <c r="P81" s="1027"/>
      <c r="Q81" s="1027"/>
      <c r="R81" s="1027"/>
      <c r="S81" s="1027"/>
      <c r="T81" s="1012" t="s">
        <v>2078</v>
      </c>
      <c r="U81" s="1012"/>
      <c r="V81" s="1012"/>
      <c r="W81" s="1012"/>
      <c r="X81" s="1012"/>
      <c r="Y81" s="1016"/>
      <c r="Z81" s="996" t="s">
        <v>2079</v>
      </c>
      <c r="AA81" s="1003"/>
      <c r="AB81" s="996"/>
      <c r="AC81" s="996"/>
      <c r="AD81" s="996"/>
    </row>
    <row r="82" spans="1:30" ht="90" customHeight="1">
      <c r="A82" s="1014"/>
      <c r="B82" s="1017">
        <v>65</v>
      </c>
      <c r="C82" s="1012" t="s">
        <v>2062</v>
      </c>
      <c r="D82" s="1024"/>
      <c r="E82" s="1012"/>
      <c r="F82" s="1012"/>
      <c r="G82" s="1012"/>
      <c r="H82" s="1029"/>
      <c r="I82" s="1026">
        <f t="shared" ref="I82:I101" si="13">INDEX(TEMPLATE_NUMBER_POINT_FHD,B82,MATCH(TEMPLATE_SPHERE,TEMPLATE_SPHERE_LIST_FOR_NOTE,0))</f>
        <v>0</v>
      </c>
      <c r="J82" s="1026">
        <f t="shared" ref="J82:J101" si="14">INDEX(TEMPLATE_DATA_POINT_FHD,B82,MATCH(TEMPLATE_SPHERE,TEMPLATE_SPHERE_LIST_FOR_NOTE,0))</f>
        <v>0</v>
      </c>
      <c r="K82" s="1026">
        <f t="shared" ref="K82:K101" si="15">INDEX(TEMPLATE_NOTE_POINT_FHD,B82,MATCH(TEMPLATE_SPHERE,TEMPLATE_SPHERE_LIST_FOR_NOTE,0))</f>
        <v>0</v>
      </c>
      <c r="L82" s="1015" t="str">
        <f t="shared" ref="L82:L101" si="16">IF(I82=0,"",I82)</f>
        <v/>
      </c>
      <c r="M82" s="1015" t="str">
        <f t="shared" ref="M82:M101" si="17">IF(J82=0,"",J82)</f>
        <v/>
      </c>
      <c r="N82" s="1015" t="str">
        <f t="shared" ref="N82:N101" si="18">IF(K82=0,"",K82)</f>
        <v/>
      </c>
      <c r="O82" s="1027" t="s">
        <v>145</v>
      </c>
      <c r="P82" s="1027"/>
      <c r="Q82" s="1027"/>
      <c r="R82" s="1027"/>
      <c r="S82" s="1027"/>
      <c r="T82" s="1012" t="s">
        <v>2080</v>
      </c>
      <c r="U82" s="1012"/>
      <c r="V82" s="1012"/>
      <c r="W82" s="1012"/>
      <c r="X82" s="1012"/>
      <c r="Y82" s="1016"/>
      <c r="Z82" s="996" t="s">
        <v>2081</v>
      </c>
      <c r="AA82" s="1003"/>
      <c r="AB82" s="996"/>
      <c r="AC82" s="996"/>
      <c r="AD82" s="996"/>
    </row>
    <row r="83" spans="1:30" ht="9" customHeight="1">
      <c r="A83" s="1014"/>
      <c r="B83" s="1017">
        <v>66</v>
      </c>
      <c r="C83" s="1012"/>
      <c r="D83" s="1024"/>
      <c r="E83" s="1012"/>
      <c r="F83" s="1012"/>
      <c r="G83" s="1012"/>
      <c r="H83" s="1029"/>
      <c r="I83" s="1026">
        <f t="shared" si="13"/>
        <v>0</v>
      </c>
      <c r="J83" s="1026">
        <f t="shared" si="14"/>
        <v>0</v>
      </c>
      <c r="K83" s="1026">
        <f t="shared" si="15"/>
        <v>0</v>
      </c>
      <c r="L83" s="1015" t="str">
        <f t="shared" si="16"/>
        <v/>
      </c>
      <c r="M83" s="1015" t="str">
        <f t="shared" si="17"/>
        <v/>
      </c>
      <c r="N83" s="1015" t="str">
        <f t="shared" si="18"/>
        <v/>
      </c>
      <c r="O83" s="1027" t="s">
        <v>1965</v>
      </c>
      <c r="P83" s="1027"/>
      <c r="Q83" s="1027"/>
      <c r="R83" s="1027"/>
      <c r="S83" s="1027"/>
      <c r="T83" s="1012" t="s">
        <v>2082</v>
      </c>
      <c r="U83" s="1012"/>
      <c r="V83" s="1012"/>
      <c r="W83" s="1012"/>
      <c r="X83" s="1012"/>
      <c r="Y83" s="1016"/>
      <c r="Z83" s="996"/>
      <c r="AA83" s="1003"/>
      <c r="AB83" s="996"/>
      <c r="AC83" s="996"/>
      <c r="AD83" s="996"/>
    </row>
    <row r="84" spans="1:30" ht="54" customHeight="1">
      <c r="A84" s="1014"/>
      <c r="B84" s="1017">
        <v>67</v>
      </c>
      <c r="C84" s="1012"/>
      <c r="D84" s="1024"/>
      <c r="E84" s="1012"/>
      <c r="F84" s="1012"/>
      <c r="G84" s="1012"/>
      <c r="H84" s="1029"/>
      <c r="I84" s="1026">
        <f t="shared" si="13"/>
        <v>0</v>
      </c>
      <c r="J84" s="1026">
        <f t="shared" si="14"/>
        <v>0</v>
      </c>
      <c r="K84" s="1026">
        <f t="shared" si="15"/>
        <v>0</v>
      </c>
      <c r="L84" s="1015" t="str">
        <f t="shared" si="16"/>
        <v/>
      </c>
      <c r="M84" s="1015" t="str">
        <f t="shared" si="17"/>
        <v/>
      </c>
      <c r="N84" s="1015" t="str">
        <f t="shared" si="18"/>
        <v/>
      </c>
      <c r="O84" s="1027" t="s">
        <v>2083</v>
      </c>
      <c r="P84" s="1027"/>
      <c r="Q84" s="1027"/>
      <c r="R84" s="1027"/>
      <c r="S84" s="1027"/>
      <c r="T84" s="1012" t="s">
        <v>2084</v>
      </c>
      <c r="U84" s="1012"/>
      <c r="V84" s="1012"/>
      <c r="W84" s="1012"/>
      <c r="X84" s="1012"/>
      <c r="Y84" s="1016"/>
      <c r="Z84" s="996"/>
      <c r="AA84" s="1003"/>
      <c r="AB84" s="996"/>
      <c r="AC84" s="996"/>
      <c r="AD84" s="996"/>
    </row>
    <row r="85" spans="1:30" ht="9" customHeight="1">
      <c r="A85" s="1014"/>
      <c r="B85" s="1017">
        <v>68</v>
      </c>
      <c r="C85" s="1012"/>
      <c r="D85" s="1024"/>
      <c r="E85" s="1012"/>
      <c r="F85" s="1012"/>
      <c r="G85" s="1012"/>
      <c r="H85" s="1029"/>
      <c r="I85" s="1026">
        <f t="shared" si="13"/>
        <v>0</v>
      </c>
      <c r="J85" s="1026">
        <f t="shared" si="14"/>
        <v>0</v>
      </c>
      <c r="K85" s="1026">
        <f t="shared" si="15"/>
        <v>0</v>
      </c>
      <c r="L85" s="1015" t="str">
        <f t="shared" si="16"/>
        <v/>
      </c>
      <c r="M85" s="1015" t="str">
        <f t="shared" si="17"/>
        <v/>
      </c>
      <c r="N85" s="1015" t="str">
        <f t="shared" si="18"/>
        <v/>
      </c>
      <c r="O85" s="1027" t="s">
        <v>1969</v>
      </c>
      <c r="P85" s="1027"/>
      <c r="Q85" s="1027"/>
      <c r="R85" s="1027"/>
      <c r="S85" s="1027"/>
      <c r="T85" s="1012" t="s">
        <v>2085</v>
      </c>
      <c r="U85" s="1012"/>
      <c r="V85" s="1012"/>
      <c r="W85" s="1012"/>
      <c r="X85" s="1012"/>
      <c r="Y85" s="1016"/>
      <c r="Z85" s="996"/>
      <c r="AA85" s="1003"/>
      <c r="AB85" s="996"/>
      <c r="AC85" s="996"/>
      <c r="AD85" s="996"/>
    </row>
    <row r="86" spans="1:30" ht="27" customHeight="1">
      <c r="A86" s="1014"/>
      <c r="B86" s="1017">
        <v>69</v>
      </c>
      <c r="C86" s="1012"/>
      <c r="D86" s="1024"/>
      <c r="E86" s="1012"/>
      <c r="F86" s="1012"/>
      <c r="G86" s="1012"/>
      <c r="H86" s="1029"/>
      <c r="I86" s="1026">
        <f t="shared" si="13"/>
        <v>0</v>
      </c>
      <c r="J86" s="1026">
        <f t="shared" si="14"/>
        <v>0</v>
      </c>
      <c r="K86" s="1026">
        <f t="shared" si="15"/>
        <v>0</v>
      </c>
      <c r="L86" s="1015" t="str">
        <f t="shared" si="16"/>
        <v/>
      </c>
      <c r="M86" s="1015" t="str">
        <f t="shared" si="17"/>
        <v/>
      </c>
      <c r="N86" s="1015" t="str">
        <f t="shared" si="18"/>
        <v/>
      </c>
      <c r="O86" s="1027" t="s">
        <v>2086</v>
      </c>
      <c r="P86" s="1027"/>
      <c r="Q86" s="1027"/>
      <c r="R86" s="1027"/>
      <c r="S86" s="1027"/>
      <c r="T86" s="1012" t="s">
        <v>2087</v>
      </c>
      <c r="U86" s="1012"/>
      <c r="V86" s="1012"/>
      <c r="W86" s="1012"/>
      <c r="X86" s="1012"/>
      <c r="Y86" s="1016"/>
      <c r="Z86" s="996"/>
      <c r="AA86" s="1003"/>
      <c r="AB86" s="996"/>
      <c r="AC86" s="996"/>
      <c r="AD86" s="996"/>
    </row>
    <row r="87" spans="1:30" ht="36" customHeight="1">
      <c r="A87" s="1014"/>
      <c r="B87" s="1017">
        <v>70</v>
      </c>
      <c r="C87" s="1012" t="s">
        <v>2088</v>
      </c>
      <c r="D87" s="1024"/>
      <c r="E87" s="1012"/>
      <c r="F87" s="1012"/>
      <c r="G87" s="1012"/>
      <c r="H87" s="1029"/>
      <c r="I87" s="1026">
        <f t="shared" si="13"/>
        <v>0</v>
      </c>
      <c r="J87" s="1026">
        <f t="shared" si="14"/>
        <v>0</v>
      </c>
      <c r="K87" s="1026">
        <f t="shared" si="15"/>
        <v>0</v>
      </c>
      <c r="L87" s="1015" t="str">
        <f t="shared" si="16"/>
        <v/>
      </c>
      <c r="M87" s="1015" t="str">
        <f t="shared" si="17"/>
        <v/>
      </c>
      <c r="N87" s="1015" t="str">
        <f t="shared" si="18"/>
        <v/>
      </c>
      <c r="O87" s="1027" t="s">
        <v>146</v>
      </c>
      <c r="P87" s="1027"/>
      <c r="Q87" s="1027"/>
      <c r="R87" s="1027"/>
      <c r="S87" s="1027"/>
      <c r="T87" s="1012" t="s">
        <v>2089</v>
      </c>
      <c r="U87" s="1012"/>
      <c r="V87" s="1012"/>
      <c r="W87" s="1012"/>
      <c r="X87" s="1012"/>
      <c r="Y87" s="1016"/>
      <c r="Z87" s="996"/>
      <c r="AA87" s="1003"/>
      <c r="AB87" s="996"/>
      <c r="AC87" s="996"/>
      <c r="AD87" s="996"/>
    </row>
    <row r="88" spans="1:30" ht="18" customHeight="1">
      <c r="A88" s="1014"/>
      <c r="B88" s="1017">
        <v>71</v>
      </c>
      <c r="C88" s="1012" t="s">
        <v>2090</v>
      </c>
      <c r="D88" s="1024"/>
      <c r="E88" s="1012"/>
      <c r="F88" s="1012"/>
      <c r="G88" s="1012"/>
      <c r="H88" s="1029"/>
      <c r="I88" s="1026">
        <f t="shared" si="13"/>
        <v>0</v>
      </c>
      <c r="J88" s="1026">
        <f t="shared" si="14"/>
        <v>0</v>
      </c>
      <c r="K88" s="1026">
        <f t="shared" si="15"/>
        <v>0</v>
      </c>
      <c r="L88" s="1015" t="str">
        <f t="shared" si="16"/>
        <v/>
      </c>
      <c r="M88" s="1015" t="str">
        <f t="shared" si="17"/>
        <v/>
      </c>
      <c r="N88" s="1015" t="str">
        <f t="shared" si="18"/>
        <v/>
      </c>
      <c r="O88" s="1027" t="s">
        <v>147</v>
      </c>
      <c r="P88" s="1027"/>
      <c r="Q88" s="1027"/>
      <c r="R88" s="1027"/>
      <c r="S88" s="1027"/>
      <c r="T88" s="1012" t="s">
        <v>2091</v>
      </c>
      <c r="U88" s="1012"/>
      <c r="V88" s="1012"/>
      <c r="W88" s="1012"/>
      <c r="X88" s="1012"/>
      <c r="Y88" s="1016"/>
      <c r="Z88" s="996"/>
      <c r="AA88" s="1003"/>
      <c r="AB88" s="996"/>
      <c r="AC88" s="996"/>
      <c r="AD88" s="996"/>
    </row>
    <row r="89" spans="1:30" ht="18" customHeight="1">
      <c r="A89" s="1014"/>
      <c r="B89" s="1017">
        <v>72</v>
      </c>
      <c r="C89" s="1012" t="s">
        <v>2092</v>
      </c>
      <c r="D89" s="1024" t="s">
        <v>2088</v>
      </c>
      <c r="E89" s="1012" t="s">
        <v>2088</v>
      </c>
      <c r="F89" s="1012" t="s">
        <v>2053</v>
      </c>
      <c r="G89" s="1012"/>
      <c r="H89" s="1029"/>
      <c r="I89" s="1026" t="str">
        <f t="shared" si="13"/>
        <v>10</v>
      </c>
      <c r="J89" s="1026" t="str">
        <f t="shared" si="14"/>
        <v>Среднесписочная численность основного производственного персонала</v>
      </c>
      <c r="K89" s="1026">
        <f t="shared" si="15"/>
        <v>0</v>
      </c>
      <c r="L89" s="1015" t="str">
        <f t="shared" si="16"/>
        <v>10</v>
      </c>
      <c r="M89" s="1015" t="str">
        <f t="shared" si="17"/>
        <v>Среднесписочная численность основного производственного персонала</v>
      </c>
      <c r="N89" s="1015" t="str">
        <f t="shared" si="18"/>
        <v/>
      </c>
      <c r="O89" s="1027" t="s">
        <v>148</v>
      </c>
      <c r="P89" s="1027" t="s">
        <v>147</v>
      </c>
      <c r="Q89" s="1027" t="s">
        <v>147</v>
      </c>
      <c r="R89" s="1027" t="s">
        <v>145</v>
      </c>
      <c r="S89" s="1027"/>
      <c r="T89" s="1012" t="s">
        <v>2093</v>
      </c>
      <c r="U89" s="1012" t="s">
        <v>2093</v>
      </c>
      <c r="V89" s="1012" t="s">
        <v>2093</v>
      </c>
      <c r="W89" s="1012" t="s">
        <v>2093</v>
      </c>
      <c r="X89" s="1012"/>
      <c r="Y89" s="1016"/>
      <c r="Z89" s="996"/>
      <c r="AA89" s="1003"/>
      <c r="AB89" s="996"/>
      <c r="AC89" s="996"/>
      <c r="AD89" s="996"/>
    </row>
    <row r="90" spans="1:30" ht="27" customHeight="1">
      <c r="A90" s="1014"/>
      <c r="B90" s="1017">
        <v>73</v>
      </c>
      <c r="C90" s="1012" t="s">
        <v>2094</v>
      </c>
      <c r="D90" s="1024"/>
      <c r="E90" s="1012"/>
      <c r="F90" s="1012"/>
      <c r="G90" s="1012"/>
      <c r="H90" s="1029"/>
      <c r="I90" s="1026">
        <f t="shared" si="13"/>
        <v>0</v>
      </c>
      <c r="J90" s="1026">
        <f t="shared" si="14"/>
        <v>0</v>
      </c>
      <c r="K90" s="1026">
        <f t="shared" si="15"/>
        <v>0</v>
      </c>
      <c r="L90" s="1015" t="str">
        <f t="shared" si="16"/>
        <v/>
      </c>
      <c r="M90" s="1015" t="str">
        <f t="shared" si="17"/>
        <v/>
      </c>
      <c r="N90" s="1015" t="str">
        <f t="shared" si="18"/>
        <v/>
      </c>
      <c r="O90" s="1027" t="s">
        <v>149</v>
      </c>
      <c r="P90" s="1027"/>
      <c r="Q90" s="1027"/>
      <c r="R90" s="1027"/>
      <c r="S90" s="1027"/>
      <c r="T90" s="1012" t="s">
        <v>2095</v>
      </c>
      <c r="U90" s="1012"/>
      <c r="V90" s="1012"/>
      <c r="W90" s="1012"/>
      <c r="X90" s="1012"/>
      <c r="Y90" s="1016"/>
      <c r="Z90" s="996"/>
      <c r="AA90" s="1003"/>
      <c r="AB90" s="996"/>
      <c r="AC90" s="996"/>
      <c r="AD90" s="996"/>
    </row>
    <row r="91" spans="1:30" ht="18" customHeight="1">
      <c r="A91" s="1014"/>
      <c r="B91" s="1017">
        <v>74</v>
      </c>
      <c r="C91" s="1012"/>
      <c r="D91" s="1024" t="s">
        <v>2090</v>
      </c>
      <c r="E91" s="1012" t="s">
        <v>2090</v>
      </c>
      <c r="F91" s="1012"/>
      <c r="G91" s="1012"/>
      <c r="H91" s="1029"/>
      <c r="I91" s="1026">
        <f t="shared" si="13"/>
        <v>0</v>
      </c>
      <c r="J91" s="1026">
        <f t="shared" si="14"/>
        <v>0</v>
      </c>
      <c r="K91" s="1026">
        <f t="shared" si="15"/>
        <v>0</v>
      </c>
      <c r="L91" s="1015" t="str">
        <f t="shared" si="16"/>
        <v/>
      </c>
      <c r="M91" s="1015" t="str">
        <f t="shared" si="17"/>
        <v/>
      </c>
      <c r="N91" s="1015" t="str">
        <f t="shared" si="18"/>
        <v/>
      </c>
      <c r="O91" s="1027"/>
      <c r="P91" s="1027" t="s">
        <v>148</v>
      </c>
      <c r="Q91" s="1027" t="s">
        <v>148</v>
      </c>
      <c r="R91" s="1027"/>
      <c r="S91" s="1027"/>
      <c r="T91" s="1012"/>
      <c r="U91" s="1012" t="s">
        <v>2096</v>
      </c>
      <c r="V91" s="1012" t="s">
        <v>2096</v>
      </c>
      <c r="W91" s="1012"/>
      <c r="X91" s="1012"/>
      <c r="Y91" s="1016"/>
      <c r="Z91" s="996"/>
      <c r="AA91" s="1003"/>
      <c r="AB91" s="996"/>
      <c r="AC91" s="996"/>
      <c r="AD91" s="996"/>
    </row>
    <row r="92" spans="1:30" ht="27" customHeight="1">
      <c r="A92" s="1014"/>
      <c r="B92" s="1017">
        <v>75</v>
      </c>
      <c r="C92" s="1012"/>
      <c r="D92" s="1024" t="s">
        <v>2092</v>
      </c>
      <c r="E92" s="1012"/>
      <c r="F92" s="1012"/>
      <c r="G92" s="1012"/>
      <c r="H92" s="1029"/>
      <c r="I92" s="1026">
        <f t="shared" si="13"/>
        <v>0</v>
      </c>
      <c r="J92" s="1026">
        <f t="shared" si="14"/>
        <v>0</v>
      </c>
      <c r="K92" s="1026">
        <f t="shared" si="15"/>
        <v>0</v>
      </c>
      <c r="L92" s="1015" t="str">
        <f t="shared" si="16"/>
        <v/>
      </c>
      <c r="M92" s="1015" t="str">
        <f t="shared" si="17"/>
        <v/>
      </c>
      <c r="N92" s="1015" t="str">
        <f t="shared" si="18"/>
        <v/>
      </c>
      <c r="O92" s="1027"/>
      <c r="P92" s="1027" t="s">
        <v>149</v>
      </c>
      <c r="Q92" s="1027"/>
      <c r="R92" s="1027"/>
      <c r="S92" s="1027"/>
      <c r="T92" s="1012"/>
      <c r="U92" s="1012" t="s">
        <v>2097</v>
      </c>
      <c r="V92" s="1012"/>
      <c r="W92" s="1012"/>
      <c r="X92" s="1012"/>
      <c r="Y92" s="1016"/>
      <c r="Z92" s="996"/>
      <c r="AA92" s="1003" t="s">
        <v>2098</v>
      </c>
      <c r="AB92" s="996"/>
      <c r="AC92" s="996"/>
      <c r="AD92" s="996"/>
    </row>
    <row r="93" spans="1:30" ht="27" customHeight="1">
      <c r="A93" s="1014"/>
      <c r="B93" s="1017">
        <v>76</v>
      </c>
      <c r="C93" s="1012"/>
      <c r="D93" s="1024"/>
      <c r="E93" s="1012"/>
      <c r="F93" s="1012"/>
      <c r="G93" s="1012"/>
      <c r="H93" s="1029"/>
      <c r="I93" s="1026">
        <f t="shared" si="13"/>
        <v>0</v>
      </c>
      <c r="J93" s="1026">
        <f t="shared" si="14"/>
        <v>0</v>
      </c>
      <c r="K93" s="1026">
        <f t="shared" si="15"/>
        <v>0</v>
      </c>
      <c r="L93" s="1015" t="str">
        <f t="shared" si="16"/>
        <v/>
      </c>
      <c r="M93" s="1015" t="str">
        <f t="shared" si="17"/>
        <v/>
      </c>
      <c r="N93" s="1015" t="str">
        <f t="shared" si="18"/>
        <v/>
      </c>
      <c r="O93" s="1027"/>
      <c r="P93" s="1027" t="s">
        <v>1997</v>
      </c>
      <c r="Q93" s="1027"/>
      <c r="R93" s="1027"/>
      <c r="S93" s="1027"/>
      <c r="T93" s="1012"/>
      <c r="U93" s="1012" t="s">
        <v>2099</v>
      </c>
      <c r="V93" s="1012"/>
      <c r="W93" s="1012"/>
      <c r="X93" s="1012"/>
      <c r="Y93" s="1016"/>
      <c r="Z93" s="996"/>
      <c r="AA93" s="1003" t="s">
        <v>2100</v>
      </c>
      <c r="AB93" s="996"/>
      <c r="AC93" s="996"/>
      <c r="AD93" s="996"/>
    </row>
    <row r="94" spans="1:30" ht="45" customHeight="1">
      <c r="A94" s="1014"/>
      <c r="B94" s="1017">
        <v>77</v>
      </c>
      <c r="C94" s="1012"/>
      <c r="D94" s="1024" t="s">
        <v>2094</v>
      </c>
      <c r="E94" s="1012"/>
      <c r="F94" s="1012"/>
      <c r="G94" s="1012"/>
      <c r="H94" s="1029"/>
      <c r="I94" s="1026">
        <f t="shared" si="13"/>
        <v>0</v>
      </c>
      <c r="J94" s="1026">
        <f t="shared" si="14"/>
        <v>0</v>
      </c>
      <c r="K94" s="1026">
        <f t="shared" si="15"/>
        <v>0</v>
      </c>
      <c r="L94" s="1015" t="str">
        <f t="shared" si="16"/>
        <v/>
      </c>
      <c r="M94" s="1015" t="str">
        <f t="shared" si="17"/>
        <v/>
      </c>
      <c r="N94" s="1015" t="str">
        <f t="shared" si="18"/>
        <v/>
      </c>
      <c r="O94" s="1027"/>
      <c r="P94" s="1027" t="s">
        <v>1449</v>
      </c>
      <c r="Q94" s="1027"/>
      <c r="R94" s="1027"/>
      <c r="S94" s="1027"/>
      <c r="T94" s="1012"/>
      <c r="U94" s="1012" t="s">
        <v>2101</v>
      </c>
      <c r="V94" s="1012"/>
      <c r="W94" s="1012"/>
      <c r="X94" s="1012"/>
      <c r="Y94" s="1016"/>
      <c r="Z94" s="996"/>
      <c r="AA94" s="1003" t="s">
        <v>2102</v>
      </c>
      <c r="AB94" s="996"/>
      <c r="AC94" s="996"/>
      <c r="AD94" s="996"/>
    </row>
    <row r="95" spans="1:30" ht="99" customHeight="1">
      <c r="A95" s="1014"/>
      <c r="B95" s="1017">
        <v>78</v>
      </c>
      <c r="C95" s="1012" t="s">
        <v>2103</v>
      </c>
      <c r="D95" s="1024"/>
      <c r="E95" s="1012"/>
      <c r="F95" s="1012"/>
      <c r="G95" s="1012"/>
      <c r="H95" s="1029"/>
      <c r="I95" s="1026">
        <f t="shared" si="13"/>
        <v>0</v>
      </c>
      <c r="J95" s="1026">
        <f t="shared" si="14"/>
        <v>0</v>
      </c>
      <c r="K95" s="1026">
        <f t="shared" si="15"/>
        <v>0</v>
      </c>
      <c r="L95" s="1015" t="str">
        <f t="shared" si="16"/>
        <v/>
      </c>
      <c r="M95" s="1015" t="str">
        <f t="shared" si="17"/>
        <v/>
      </c>
      <c r="N95" s="1015" t="str">
        <f t="shared" si="18"/>
        <v/>
      </c>
      <c r="O95" s="1027" t="s">
        <v>1449</v>
      </c>
      <c r="P95" s="1027"/>
      <c r="Q95" s="1027"/>
      <c r="R95" s="1027"/>
      <c r="S95" s="1027"/>
      <c r="T95" s="1012" t="s">
        <v>2104</v>
      </c>
      <c r="U95" s="1012"/>
      <c r="V95" s="1012"/>
      <c r="W95" s="1012"/>
      <c r="X95" s="1012"/>
      <c r="Y95" s="1016"/>
      <c r="Z95" s="996"/>
      <c r="AA95" s="1003"/>
      <c r="AB95" s="996"/>
      <c r="AC95" s="996"/>
      <c r="AD95" s="996"/>
    </row>
    <row r="96" spans="1:30" ht="99" customHeight="1">
      <c r="A96" s="1014"/>
      <c r="B96" s="1017">
        <v>79</v>
      </c>
      <c r="C96" s="1012" t="s">
        <v>1043</v>
      </c>
      <c r="D96" s="1024"/>
      <c r="E96" s="1012"/>
      <c r="F96" s="1012"/>
      <c r="G96" s="1012"/>
      <c r="H96" s="1029"/>
      <c r="I96" s="1026">
        <f t="shared" si="13"/>
        <v>0</v>
      </c>
      <c r="J96" s="1026">
        <f t="shared" si="14"/>
        <v>0</v>
      </c>
      <c r="K96" s="1026">
        <f t="shared" si="15"/>
        <v>0</v>
      </c>
      <c r="L96" s="1015" t="str">
        <f t="shared" si="16"/>
        <v/>
      </c>
      <c r="M96" s="1015" t="str">
        <f t="shared" si="17"/>
        <v/>
      </c>
      <c r="N96" s="1015" t="str">
        <f t="shared" si="18"/>
        <v/>
      </c>
      <c r="O96" s="1027" t="s">
        <v>1455</v>
      </c>
      <c r="P96" s="1027"/>
      <c r="Q96" s="1027"/>
      <c r="R96" s="1027"/>
      <c r="S96" s="1027"/>
      <c r="T96" s="1012" t="s">
        <v>2105</v>
      </c>
      <c r="U96" s="1012"/>
      <c r="V96" s="1012"/>
      <c r="W96" s="1012"/>
      <c r="X96" s="1012"/>
      <c r="Y96" s="1016"/>
      <c r="Z96" s="996" t="s">
        <v>2106</v>
      </c>
      <c r="AA96" s="1003"/>
      <c r="AB96" s="996"/>
      <c r="AC96" s="996"/>
      <c r="AD96" s="996"/>
    </row>
    <row r="97" spans="1:30" ht="63" customHeight="1">
      <c r="A97" s="1014"/>
      <c r="B97" s="1017">
        <v>80</v>
      </c>
      <c r="C97" s="1012" t="s">
        <v>2107</v>
      </c>
      <c r="D97" s="1024"/>
      <c r="E97" s="1012"/>
      <c r="F97" s="1012"/>
      <c r="G97" s="1012"/>
      <c r="H97" s="1029"/>
      <c r="I97" s="1026">
        <f t="shared" si="13"/>
        <v>0</v>
      </c>
      <c r="J97" s="1026">
        <f t="shared" si="14"/>
        <v>0</v>
      </c>
      <c r="K97" s="1026">
        <f t="shared" si="15"/>
        <v>0</v>
      </c>
      <c r="L97" s="1015" t="str">
        <f t="shared" si="16"/>
        <v/>
      </c>
      <c r="M97" s="1015" t="str">
        <f t="shared" si="17"/>
        <v/>
      </c>
      <c r="N97" s="1015" t="str">
        <f t="shared" si="18"/>
        <v/>
      </c>
      <c r="O97" s="1027" t="s">
        <v>1466</v>
      </c>
      <c r="P97" s="1027"/>
      <c r="Q97" s="1027"/>
      <c r="R97" s="1027"/>
      <c r="S97" s="1027"/>
      <c r="T97" s="1012" t="s">
        <v>2108</v>
      </c>
      <c r="U97" s="1012"/>
      <c r="V97" s="1012"/>
      <c r="W97" s="1012"/>
      <c r="X97" s="1012"/>
      <c r="Y97" s="1016"/>
      <c r="Z97" s="996" t="s">
        <v>2109</v>
      </c>
      <c r="AA97" s="1003"/>
      <c r="AB97" s="996"/>
      <c r="AC97" s="996"/>
      <c r="AD97" s="996"/>
    </row>
    <row r="98" spans="1:30" ht="63" customHeight="1">
      <c r="A98" s="1014"/>
      <c r="B98" s="1017">
        <v>81</v>
      </c>
      <c r="C98" s="1012" t="s">
        <v>2110</v>
      </c>
      <c r="D98" s="1024"/>
      <c r="E98" s="1012"/>
      <c r="F98" s="1012"/>
      <c r="G98" s="1012"/>
      <c r="H98" s="1029"/>
      <c r="I98" s="1026">
        <f t="shared" si="13"/>
        <v>0</v>
      </c>
      <c r="J98" s="1026">
        <f t="shared" si="14"/>
        <v>0</v>
      </c>
      <c r="K98" s="1026">
        <f t="shared" si="15"/>
        <v>0</v>
      </c>
      <c r="L98" s="1015" t="str">
        <f t="shared" si="16"/>
        <v/>
      </c>
      <c r="M98" s="1015" t="str">
        <f t="shared" si="17"/>
        <v/>
      </c>
      <c r="N98" s="1015" t="str">
        <f t="shared" si="18"/>
        <v/>
      </c>
      <c r="O98" s="1027" t="s">
        <v>1480</v>
      </c>
      <c r="P98" s="1027"/>
      <c r="Q98" s="1027"/>
      <c r="R98" s="1027"/>
      <c r="S98" s="1027"/>
      <c r="T98" s="1012" t="s">
        <v>2111</v>
      </c>
      <c r="U98" s="1012"/>
      <c r="V98" s="1012"/>
      <c r="W98" s="1012"/>
      <c r="X98" s="1012"/>
      <c r="Y98" s="1016"/>
      <c r="Z98" s="996" t="s">
        <v>2109</v>
      </c>
      <c r="AA98" s="1003"/>
      <c r="AB98" s="996"/>
      <c r="AC98" s="996"/>
      <c r="AD98" s="996"/>
    </row>
    <row r="99" spans="1:30" ht="90" customHeight="1">
      <c r="A99" s="1014"/>
      <c r="B99" s="1017">
        <v>82</v>
      </c>
      <c r="C99" s="1012" t="s">
        <v>2112</v>
      </c>
      <c r="D99" s="1024"/>
      <c r="E99" s="1012"/>
      <c r="F99" s="1012"/>
      <c r="G99" s="1012"/>
      <c r="H99" s="1029"/>
      <c r="I99" s="1026">
        <f t="shared" si="13"/>
        <v>0</v>
      </c>
      <c r="J99" s="1026">
        <f t="shared" si="14"/>
        <v>0</v>
      </c>
      <c r="K99" s="1026">
        <f t="shared" si="15"/>
        <v>0</v>
      </c>
      <c r="L99" s="1015" t="str">
        <f t="shared" si="16"/>
        <v/>
      </c>
      <c r="M99" s="1015" t="str">
        <f t="shared" si="17"/>
        <v/>
      </c>
      <c r="N99" s="1015" t="str">
        <f t="shared" si="18"/>
        <v/>
      </c>
      <c r="O99" s="1027" t="s">
        <v>1491</v>
      </c>
      <c r="P99" s="1027"/>
      <c r="Q99" s="1027"/>
      <c r="R99" s="1027"/>
      <c r="S99" s="1027"/>
      <c r="T99" s="1012" t="s">
        <v>2113</v>
      </c>
      <c r="U99" s="1012"/>
      <c r="V99" s="1012"/>
      <c r="W99" s="1012"/>
      <c r="X99" s="1012"/>
      <c r="Y99" s="1016"/>
      <c r="Z99" s="996" t="s">
        <v>783</v>
      </c>
      <c r="AA99" s="1003"/>
      <c r="AB99" s="996"/>
      <c r="AC99" s="996"/>
      <c r="AD99" s="996"/>
    </row>
    <row r="100" spans="1:30" ht="27" customHeight="1">
      <c r="A100" s="1014"/>
      <c r="B100" s="1017">
        <v>83</v>
      </c>
      <c r="C100" s="1012"/>
      <c r="D100" s="1024"/>
      <c r="E100" s="1012"/>
      <c r="F100" s="1012"/>
      <c r="G100" s="1012"/>
      <c r="H100" s="1029"/>
      <c r="I100" s="1026">
        <f t="shared" si="13"/>
        <v>0</v>
      </c>
      <c r="J100" s="1026">
        <f t="shared" si="14"/>
        <v>0</v>
      </c>
      <c r="K100" s="1026">
        <f t="shared" si="15"/>
        <v>0</v>
      </c>
      <c r="L100" s="1015" t="str">
        <f t="shared" si="16"/>
        <v/>
      </c>
      <c r="M100" s="1015" t="str">
        <f t="shared" si="17"/>
        <v/>
      </c>
      <c r="N100" s="1015" t="str">
        <f t="shared" si="18"/>
        <v/>
      </c>
      <c r="O100" s="1027" t="s">
        <v>2114</v>
      </c>
      <c r="P100" s="1027"/>
      <c r="Q100" s="1027"/>
      <c r="R100" s="1027"/>
      <c r="S100" s="1027"/>
      <c r="T100" s="1012" t="s">
        <v>2115</v>
      </c>
      <c r="U100" s="1012"/>
      <c r="V100" s="1012"/>
      <c r="W100" s="1012"/>
      <c r="X100" s="1012"/>
      <c r="Y100" s="1016"/>
      <c r="Z100" s="996" t="s">
        <v>783</v>
      </c>
      <c r="AA100" s="1003"/>
      <c r="AB100" s="996"/>
      <c r="AC100" s="996"/>
      <c r="AD100" s="996"/>
    </row>
    <row r="101" spans="1:30" ht="27" customHeight="1">
      <c r="A101" s="1014"/>
      <c r="B101" s="1017">
        <v>84</v>
      </c>
      <c r="C101" s="1012"/>
      <c r="D101" s="1024"/>
      <c r="E101" s="1012"/>
      <c r="F101" s="1012"/>
      <c r="G101" s="1012"/>
      <c r="H101" s="1029"/>
      <c r="I101" s="1026">
        <f t="shared" si="13"/>
        <v>0</v>
      </c>
      <c r="J101" s="1026">
        <f t="shared" si="14"/>
        <v>0</v>
      </c>
      <c r="K101" s="1026">
        <f t="shared" si="15"/>
        <v>0</v>
      </c>
      <c r="L101" s="1015" t="str">
        <f t="shared" si="16"/>
        <v/>
      </c>
      <c r="M101" s="1015" t="str">
        <f t="shared" si="17"/>
        <v/>
      </c>
      <c r="N101" s="1015" t="str">
        <f t="shared" si="18"/>
        <v/>
      </c>
      <c r="O101" s="1027" t="s">
        <v>2116</v>
      </c>
      <c r="P101" s="1027"/>
      <c r="Q101" s="1027"/>
      <c r="R101" s="1027"/>
      <c r="S101" s="1027"/>
      <c r="T101" s="1012" t="s">
        <v>2117</v>
      </c>
      <c r="U101" s="1012"/>
      <c r="V101" s="1012"/>
      <c r="W101" s="1012"/>
      <c r="X101" s="1012"/>
      <c r="Y101" s="1016"/>
      <c r="Z101" s="996" t="s">
        <v>783</v>
      </c>
      <c r="AA101" s="1003"/>
      <c r="AB101" s="996"/>
      <c r="AC101" s="996"/>
      <c r="AD101" s="996"/>
    </row>
    <row r="102" spans="1:30" ht="9" customHeight="1">
      <c r="A102" s="1014"/>
      <c r="B102" s="1014"/>
      <c r="C102" s="1012"/>
      <c r="D102" s="1012"/>
      <c r="E102" s="1012"/>
      <c r="F102" s="1012"/>
      <c r="G102" s="1012"/>
      <c r="H102" s="1029"/>
      <c r="I102" s="1029"/>
      <c r="J102" s="1029"/>
      <c r="K102" s="1029"/>
      <c r="L102" s="1029"/>
      <c r="M102" s="1012"/>
      <c r="N102" s="1034"/>
      <c r="O102" s="1027"/>
      <c r="P102" s="1027"/>
      <c r="Q102" s="1027"/>
      <c r="R102" s="1027"/>
      <c r="S102" s="1012"/>
      <c r="T102" s="1012"/>
      <c r="U102" s="1012"/>
      <c r="V102" s="1012"/>
      <c r="W102" s="1012"/>
      <c r="X102" s="1012"/>
      <c r="Y102" s="1016"/>
      <c r="Z102" s="996"/>
      <c r="AA102" s="1003"/>
      <c r="AB102" s="996"/>
      <c r="AC102" s="996"/>
      <c r="AD102" s="996"/>
    </row>
    <row r="103" spans="1:30" ht="9" customHeight="1">
      <c r="A103" s="1014"/>
      <c r="B103" s="1014"/>
      <c r="C103" s="1012"/>
      <c r="D103" s="1012"/>
      <c r="E103" s="1012"/>
      <c r="F103" s="1012"/>
      <c r="G103" s="1012"/>
      <c r="H103" s="1029"/>
      <c r="I103" s="1029"/>
      <c r="J103" s="1029"/>
      <c r="K103" s="1029"/>
      <c r="L103" s="1029"/>
      <c r="M103" s="1012"/>
      <c r="N103" s="1034"/>
      <c r="O103" s="1027"/>
      <c r="P103" s="1027"/>
      <c r="Q103" s="1027"/>
      <c r="R103" s="1027"/>
      <c r="S103" s="1012"/>
      <c r="T103" s="1012"/>
      <c r="U103" s="1012"/>
      <c r="V103" s="1012"/>
      <c r="W103" s="1012"/>
      <c r="X103" s="1012"/>
      <c r="Y103" s="1016"/>
      <c r="Z103" s="996"/>
      <c r="AA103" s="1003"/>
      <c r="AB103" s="996"/>
      <c r="AC103" s="996"/>
      <c r="AD103" s="996"/>
    </row>
    <row r="104" spans="1:30" ht="9" customHeight="1">
      <c r="A104" s="1014"/>
      <c r="B104" s="1014"/>
      <c r="C104" s="1012"/>
      <c r="D104" s="1012"/>
      <c r="E104" s="1012"/>
      <c r="F104" s="1012"/>
      <c r="G104" s="1012"/>
      <c r="H104" s="1029"/>
      <c r="I104" s="1029"/>
      <c r="J104" s="1029"/>
      <c r="K104" s="1029"/>
      <c r="L104" s="1029"/>
      <c r="M104" s="1012"/>
      <c r="N104" s="1034"/>
      <c r="O104" s="1027"/>
      <c r="P104" s="1027"/>
      <c r="Q104" s="1027"/>
      <c r="R104" s="1027"/>
      <c r="S104" s="1012"/>
      <c r="T104" s="1012"/>
      <c r="U104" s="1012"/>
      <c r="V104" s="1012"/>
      <c r="W104" s="1012"/>
      <c r="X104" s="1012"/>
      <c r="Y104" s="1016"/>
      <c r="Z104" s="996"/>
      <c r="AA104" s="1003"/>
      <c r="AB104" s="996"/>
      <c r="AC104" s="996"/>
      <c r="AD104" s="996"/>
    </row>
    <row r="105" spans="1:30" ht="9" customHeight="1">
      <c r="A105" s="1014"/>
      <c r="B105" s="1014"/>
      <c r="C105" s="1012"/>
      <c r="D105" s="1012"/>
      <c r="E105" s="1012"/>
      <c r="F105" s="1012"/>
      <c r="G105" s="1012"/>
      <c r="H105" s="1029"/>
      <c r="I105" s="1029"/>
      <c r="J105" s="1029"/>
      <c r="K105" s="1029"/>
      <c r="L105" s="1029"/>
      <c r="M105" s="1012"/>
      <c r="N105" s="1034"/>
      <c r="O105" s="1027"/>
      <c r="P105" s="1027"/>
      <c r="Q105" s="1027"/>
      <c r="R105" s="1027"/>
      <c r="S105" s="1012"/>
      <c r="T105" s="1012"/>
      <c r="U105" s="1012"/>
      <c r="V105" s="1012"/>
      <c r="W105" s="1012"/>
      <c r="X105" s="1012"/>
      <c r="Y105" s="1016"/>
      <c r="Z105" s="996"/>
      <c r="AA105" s="1003"/>
      <c r="AB105" s="996"/>
      <c r="AC105" s="996"/>
      <c r="AD105" s="996"/>
    </row>
    <row r="106" spans="1:30" ht="9" customHeight="1">
      <c r="A106" s="1014"/>
      <c r="B106" s="1014"/>
      <c r="C106" s="1012"/>
      <c r="D106" s="1012"/>
      <c r="E106" s="1012"/>
      <c r="F106" s="1012"/>
      <c r="G106" s="1012"/>
      <c r="H106" s="1029"/>
      <c r="I106" s="1029"/>
      <c r="J106" s="1029"/>
      <c r="K106" s="1029"/>
      <c r="L106" s="1029"/>
      <c r="M106" s="1012"/>
      <c r="N106" s="1034"/>
      <c r="O106" s="1027"/>
      <c r="P106" s="1027"/>
      <c r="Q106" s="1027"/>
      <c r="R106" s="1027"/>
      <c r="S106" s="1012"/>
      <c r="T106" s="1012"/>
      <c r="U106" s="1012"/>
      <c r="V106" s="1012"/>
      <c r="W106" s="1012"/>
      <c r="X106" s="1012"/>
      <c r="Y106" s="1016"/>
      <c r="Z106" s="996"/>
      <c r="AA106" s="1003"/>
      <c r="AB106" s="996"/>
      <c r="AC106" s="996"/>
      <c r="AD106" s="996"/>
    </row>
    <row r="107" spans="1:30" ht="9" customHeight="1">
      <c r="A107" s="1014"/>
      <c r="B107" s="1014"/>
      <c r="C107" s="1012"/>
      <c r="D107" s="1012"/>
      <c r="E107" s="1012"/>
      <c r="F107" s="1012"/>
      <c r="G107" s="1012"/>
      <c r="H107" s="1029"/>
      <c r="I107" s="1029"/>
      <c r="J107" s="1029"/>
      <c r="K107" s="1029"/>
      <c r="L107" s="1029"/>
      <c r="M107" s="1012"/>
      <c r="N107" s="1034"/>
      <c r="O107" s="1027"/>
      <c r="P107" s="1027"/>
      <c r="Q107" s="1027"/>
      <c r="R107" s="1027"/>
      <c r="S107" s="1012"/>
      <c r="T107" s="1012"/>
      <c r="U107" s="1012"/>
      <c r="V107" s="1012"/>
      <c r="W107" s="1012"/>
      <c r="X107" s="1012"/>
      <c r="Y107" s="1016"/>
      <c r="Z107" s="996"/>
      <c r="AA107" s="1003"/>
      <c r="AB107" s="996"/>
      <c r="AC107" s="996"/>
      <c r="AD107" s="996"/>
    </row>
    <row r="108" spans="1:30" ht="9" customHeight="1">
      <c r="A108" s="1014"/>
      <c r="B108" s="1014"/>
      <c r="C108" s="1012"/>
      <c r="D108" s="1012"/>
      <c r="E108" s="1012"/>
      <c r="F108" s="1012"/>
      <c r="G108" s="1012"/>
      <c r="H108" s="1029"/>
      <c r="I108" s="1029"/>
      <c r="J108" s="1029"/>
      <c r="K108" s="1029"/>
      <c r="L108" s="1029"/>
      <c r="M108" s="1012"/>
      <c r="N108" s="1034"/>
      <c r="O108" s="1027"/>
      <c r="P108" s="1027"/>
      <c r="Q108" s="1027"/>
      <c r="R108" s="1027"/>
      <c r="S108" s="1012"/>
      <c r="T108" s="1012"/>
      <c r="U108" s="1012"/>
      <c r="V108" s="1012"/>
      <c r="W108" s="1012"/>
      <c r="X108" s="1012"/>
      <c r="Y108" s="1016"/>
      <c r="Z108" s="996"/>
      <c r="AA108" s="1003"/>
      <c r="AB108" s="996"/>
      <c r="AC108" s="996"/>
      <c r="AD108" s="996"/>
    </row>
    <row r="109" spans="1:30" ht="9" customHeight="1">
      <c r="A109" s="1014"/>
      <c r="B109" s="1014"/>
      <c r="C109" s="1012"/>
      <c r="D109" s="1012"/>
      <c r="E109" s="1012"/>
      <c r="F109" s="1012"/>
      <c r="G109" s="1012"/>
      <c r="H109" s="1029"/>
      <c r="I109" s="1029"/>
      <c r="J109" s="1029"/>
      <c r="K109" s="1029"/>
      <c r="L109" s="1029"/>
      <c r="M109" s="1012"/>
      <c r="N109" s="1034"/>
      <c r="O109" s="1027"/>
      <c r="P109" s="1027"/>
      <c r="Q109" s="1027"/>
      <c r="R109" s="1027"/>
      <c r="S109" s="1012"/>
      <c r="T109" s="1012"/>
      <c r="U109" s="1012"/>
      <c r="V109" s="1012"/>
      <c r="W109" s="1012"/>
      <c r="X109" s="1012"/>
      <c r="Y109" s="1016"/>
      <c r="Z109" s="996"/>
      <c r="AA109" s="1003"/>
      <c r="AB109" s="996"/>
      <c r="AC109" s="996"/>
      <c r="AD109" s="996"/>
    </row>
    <row r="110" spans="1:30" ht="9" customHeight="1">
      <c r="A110" s="1014"/>
      <c r="B110" s="1014"/>
      <c r="C110" s="1012"/>
      <c r="D110" s="1012"/>
      <c r="E110" s="1012"/>
      <c r="F110" s="1012"/>
      <c r="G110" s="1012"/>
      <c r="H110" s="1029"/>
      <c r="I110" s="1029"/>
      <c r="J110" s="1029"/>
      <c r="K110" s="1029"/>
      <c r="L110" s="1029"/>
      <c r="M110" s="1012"/>
      <c r="N110" s="1034"/>
      <c r="O110" s="1027"/>
      <c r="P110" s="1027"/>
      <c r="Q110" s="1027"/>
      <c r="R110" s="1027"/>
      <c r="S110" s="1012"/>
      <c r="T110" s="1012"/>
      <c r="U110" s="1012"/>
      <c r="V110" s="1012"/>
      <c r="W110" s="1012"/>
      <c r="X110" s="1012"/>
      <c r="Y110" s="1016"/>
      <c r="Z110" s="996"/>
      <c r="AA110" s="1003"/>
      <c r="AB110" s="996"/>
      <c r="AC110" s="996"/>
      <c r="AD110" s="996"/>
    </row>
    <row r="111" spans="1:30" ht="9" customHeight="1">
      <c r="A111" s="1014"/>
      <c r="B111" s="1014"/>
      <c r="C111" s="1012"/>
      <c r="D111" s="1012"/>
      <c r="E111" s="1012"/>
      <c r="F111" s="1012"/>
      <c r="G111" s="1012"/>
      <c r="H111" s="1029"/>
      <c r="I111" s="1029"/>
      <c r="J111" s="1029"/>
      <c r="K111" s="1029"/>
      <c r="L111" s="1029"/>
      <c r="M111" s="1012"/>
      <c r="N111" s="1034"/>
      <c r="O111" s="1027"/>
      <c r="P111" s="1027"/>
      <c r="Q111" s="1027"/>
      <c r="R111" s="1027"/>
      <c r="S111" s="1012"/>
      <c r="T111" s="1012"/>
      <c r="U111" s="1012"/>
      <c r="V111" s="1012"/>
      <c r="W111" s="1012"/>
      <c r="X111" s="1012"/>
      <c r="Y111" s="1016"/>
      <c r="Z111" s="996"/>
      <c r="AA111" s="1003"/>
      <c r="AB111" s="996"/>
      <c r="AC111" s="996"/>
      <c r="AD111" s="996"/>
    </row>
    <row r="112" spans="1:30" ht="9" customHeight="1">
      <c r="A112" s="1014"/>
      <c r="B112" s="1014"/>
      <c r="C112" s="1012"/>
      <c r="D112" s="1012"/>
      <c r="E112" s="1012"/>
      <c r="F112" s="1012"/>
      <c r="G112" s="1012"/>
      <c r="H112" s="1029"/>
      <c r="I112" s="1029"/>
      <c r="J112" s="1029"/>
      <c r="K112" s="1029"/>
      <c r="L112" s="1029"/>
      <c r="M112" s="1012"/>
      <c r="N112" s="1034"/>
      <c r="O112" s="1027"/>
      <c r="P112" s="1027"/>
      <c r="Q112" s="1027"/>
      <c r="R112" s="1027"/>
      <c r="S112" s="1012"/>
      <c r="T112" s="1012"/>
      <c r="U112" s="1012"/>
      <c r="V112" s="1012"/>
      <c r="W112" s="1012"/>
      <c r="X112" s="1012"/>
      <c r="Y112" s="1016"/>
      <c r="Z112" s="996"/>
      <c r="AA112" s="1003"/>
      <c r="AB112" s="996"/>
      <c r="AC112" s="996"/>
      <c r="AD112" s="996"/>
    </row>
    <row r="113" spans="1:30" ht="9" customHeight="1">
      <c r="A113" s="1014"/>
      <c r="B113" s="1014"/>
      <c r="C113" s="1012"/>
      <c r="D113" s="1012"/>
      <c r="E113" s="1012"/>
      <c r="F113" s="1012"/>
      <c r="G113" s="1012"/>
      <c r="H113" s="1029"/>
      <c r="I113" s="1029"/>
      <c r="J113" s="1029"/>
      <c r="K113" s="1029"/>
      <c r="L113" s="1029"/>
      <c r="M113" s="1012"/>
      <c r="N113" s="1034"/>
      <c r="O113" s="1027"/>
      <c r="P113" s="1027"/>
      <c r="Q113" s="1027"/>
      <c r="R113" s="1027"/>
      <c r="S113" s="1012"/>
      <c r="T113" s="1012"/>
      <c r="U113" s="1012"/>
      <c r="V113" s="1012"/>
      <c r="W113" s="1012"/>
      <c r="X113" s="1012"/>
      <c r="Y113" s="1016"/>
      <c r="Z113" s="996"/>
      <c r="AA113" s="1003"/>
      <c r="AB113" s="996"/>
      <c r="AC113" s="996"/>
      <c r="AD113" s="996"/>
    </row>
    <row r="114" spans="1:30" ht="9" customHeight="1">
      <c r="A114" s="1014"/>
      <c r="B114" s="1014"/>
      <c r="C114" s="1012"/>
      <c r="D114" s="1012"/>
      <c r="E114" s="1012"/>
      <c r="F114" s="1012"/>
      <c r="G114" s="1012"/>
      <c r="H114" s="1029"/>
      <c r="I114" s="1029"/>
      <c r="J114" s="1029"/>
      <c r="K114" s="1029"/>
      <c r="L114" s="1029"/>
      <c r="M114" s="1012"/>
      <c r="N114" s="1034"/>
      <c r="O114" s="1027"/>
      <c r="P114" s="1027"/>
      <c r="Q114" s="1027"/>
      <c r="R114" s="1027"/>
      <c r="S114" s="1012"/>
      <c r="T114" s="1012"/>
      <c r="U114" s="1012"/>
      <c r="V114" s="1012"/>
      <c r="W114" s="1012"/>
      <c r="X114" s="1012"/>
      <c r="Y114" s="1016"/>
      <c r="Z114" s="996"/>
      <c r="AA114" s="1003"/>
      <c r="AB114" s="996"/>
      <c r="AC114" s="996"/>
      <c r="AD114" s="996"/>
    </row>
    <row r="115" spans="1:30" ht="9" customHeight="1">
      <c r="A115" s="1014"/>
      <c r="B115" s="1014"/>
      <c r="C115" s="1012"/>
      <c r="D115" s="1012"/>
      <c r="E115" s="1012"/>
      <c r="F115" s="1012"/>
      <c r="G115" s="1012"/>
      <c r="H115" s="1029"/>
      <c r="I115" s="1029"/>
      <c r="J115" s="1029"/>
      <c r="K115" s="1029"/>
      <c r="L115" s="1029"/>
      <c r="M115" s="1012"/>
      <c r="N115" s="1034"/>
      <c r="O115" s="1027"/>
      <c r="P115" s="1027"/>
      <c r="Q115" s="1027"/>
      <c r="R115" s="1027"/>
      <c r="S115" s="1012"/>
      <c r="T115" s="1012"/>
      <c r="U115" s="1012"/>
      <c r="V115" s="1012"/>
      <c r="W115" s="1012"/>
      <c r="X115" s="1012"/>
      <c r="Y115" s="1016"/>
      <c r="Z115" s="996"/>
      <c r="AA115" s="1003"/>
      <c r="AB115" s="996"/>
      <c r="AC115" s="996"/>
      <c r="AD115" s="996"/>
    </row>
    <row r="116" spans="1:30" ht="9" customHeight="1">
      <c r="A116" s="1014"/>
      <c r="B116" s="1014"/>
      <c r="C116" s="1012"/>
      <c r="D116" s="1012"/>
      <c r="E116" s="1012"/>
      <c r="F116" s="1012"/>
      <c r="G116" s="1012"/>
      <c r="H116" s="1029"/>
      <c r="I116" s="1029"/>
      <c r="J116" s="1029"/>
      <c r="K116" s="1029"/>
      <c r="L116" s="1029"/>
      <c r="M116" s="1012"/>
      <c r="N116" s="1034"/>
      <c r="O116" s="1027"/>
      <c r="P116" s="1027"/>
      <c r="Q116" s="1027"/>
      <c r="R116" s="1027"/>
      <c r="S116" s="1012"/>
      <c r="T116" s="1012"/>
      <c r="U116" s="1012"/>
      <c r="V116" s="1012"/>
      <c r="W116" s="1012"/>
      <c r="X116" s="1012"/>
      <c r="Y116" s="1016"/>
      <c r="Z116" s="996"/>
      <c r="AA116" s="1003"/>
      <c r="AB116" s="996"/>
      <c r="AC116" s="996"/>
      <c r="AD116" s="996"/>
    </row>
    <row r="117" spans="1:30" ht="9" customHeight="1">
      <c r="A117" s="1014"/>
      <c r="B117" s="1014"/>
      <c r="C117" s="1012"/>
      <c r="D117" s="1012"/>
      <c r="E117" s="1012"/>
      <c r="F117" s="1012"/>
      <c r="G117" s="1012"/>
      <c r="H117" s="1029"/>
      <c r="I117" s="1029"/>
      <c r="J117" s="1029"/>
      <c r="K117" s="1029"/>
      <c r="L117" s="1029"/>
      <c r="M117" s="1012"/>
      <c r="N117" s="1034"/>
      <c r="O117" s="1027"/>
      <c r="P117" s="1027"/>
      <c r="Q117" s="1027"/>
      <c r="R117" s="1027"/>
      <c r="S117" s="1012"/>
      <c r="T117" s="1012"/>
      <c r="U117" s="1012"/>
      <c r="V117" s="1012"/>
      <c r="W117" s="1012"/>
      <c r="X117" s="1012"/>
      <c r="Y117" s="1016"/>
      <c r="Z117" s="996"/>
      <c r="AA117" s="1003"/>
      <c r="AB117" s="996"/>
      <c r="AC117" s="996"/>
      <c r="AD117" s="996"/>
    </row>
    <row r="118" spans="1:30" ht="9" customHeight="1">
      <c r="A118" s="1014"/>
      <c r="B118" s="1014"/>
      <c r="C118" s="1012"/>
      <c r="D118" s="1012"/>
      <c r="E118" s="1012"/>
      <c r="F118" s="1012"/>
      <c r="G118" s="1012"/>
      <c r="H118" s="1029"/>
      <c r="I118" s="1029"/>
      <c r="J118" s="1029"/>
      <c r="K118" s="1029"/>
      <c r="L118" s="1029"/>
      <c r="M118" s="1012"/>
      <c r="N118" s="1034"/>
      <c r="O118" s="1027"/>
      <c r="P118" s="1027"/>
      <c r="Q118" s="1027"/>
      <c r="R118" s="1027"/>
      <c r="S118" s="1012"/>
      <c r="T118" s="1012"/>
      <c r="U118" s="1012"/>
      <c r="V118" s="1012"/>
      <c r="W118" s="1012"/>
      <c r="X118" s="1012"/>
      <c r="Y118" s="1016"/>
      <c r="Z118" s="996"/>
      <c r="AA118" s="1003"/>
      <c r="AB118" s="996"/>
      <c r="AC118" s="996"/>
      <c r="AD118" s="996"/>
    </row>
    <row r="119" spans="1:30" ht="9" customHeight="1">
      <c r="A119" s="1014"/>
      <c r="B119" s="1014"/>
      <c r="C119" s="1012"/>
      <c r="D119" s="1012"/>
      <c r="E119" s="1012"/>
      <c r="F119" s="1012"/>
      <c r="G119" s="1012"/>
      <c r="H119" s="1029"/>
      <c r="I119" s="1029"/>
      <c r="J119" s="1029"/>
      <c r="K119" s="1029"/>
      <c r="L119" s="1029"/>
      <c r="M119" s="1012"/>
      <c r="N119" s="1034"/>
      <c r="O119" s="1027"/>
      <c r="P119" s="1027"/>
      <c r="Q119" s="1027"/>
      <c r="R119" s="1027"/>
      <c r="S119" s="1012"/>
      <c r="T119" s="1012"/>
      <c r="U119" s="1012"/>
      <c r="V119" s="1012"/>
      <c r="W119" s="1012"/>
      <c r="X119" s="1012"/>
      <c r="Y119" s="1016"/>
      <c r="Z119" s="996"/>
      <c r="AA119" s="1003"/>
      <c r="AB119" s="996"/>
      <c r="AC119" s="996"/>
      <c r="AD119" s="996"/>
    </row>
    <row r="120" spans="1:30" ht="9" customHeight="1">
      <c r="A120" s="1014"/>
      <c r="B120" s="1014"/>
      <c r="C120" s="1012"/>
      <c r="D120" s="1012"/>
      <c r="E120" s="1012"/>
      <c r="F120" s="1012"/>
      <c r="G120" s="1012"/>
      <c r="H120" s="1029"/>
      <c r="I120" s="1029"/>
      <c r="J120" s="1029"/>
      <c r="K120" s="1029"/>
      <c r="L120" s="1029"/>
      <c r="M120" s="1012"/>
      <c r="N120" s="1034"/>
      <c r="O120" s="1027"/>
      <c r="P120" s="1027"/>
      <c r="Q120" s="1027"/>
      <c r="R120" s="1027"/>
      <c r="S120" s="1012"/>
      <c r="T120" s="1012"/>
      <c r="U120" s="1012"/>
      <c r="V120" s="1012"/>
      <c r="W120" s="1012"/>
      <c r="X120" s="1012"/>
      <c r="Y120" s="1016"/>
      <c r="Z120" s="996"/>
      <c r="AA120" s="1003"/>
      <c r="AB120" s="996"/>
      <c r="AC120" s="996"/>
      <c r="AD120" s="996"/>
    </row>
    <row r="121" spans="1:30" ht="9" customHeight="1">
      <c r="A121" s="1014"/>
      <c r="B121" s="1014"/>
      <c r="C121" s="1012"/>
      <c r="D121" s="1012"/>
      <c r="E121" s="1012"/>
      <c r="F121" s="1012"/>
      <c r="G121" s="1012"/>
      <c r="H121" s="1029"/>
      <c r="I121" s="1029"/>
      <c r="J121" s="1029"/>
      <c r="K121" s="1029"/>
      <c r="L121" s="1029"/>
      <c r="M121" s="1012"/>
      <c r="N121" s="1034"/>
      <c r="O121" s="1027"/>
      <c r="P121" s="1027"/>
      <c r="Q121" s="1027"/>
      <c r="R121" s="1027"/>
      <c r="S121" s="1012"/>
      <c r="T121" s="1012"/>
      <c r="U121" s="1012"/>
      <c r="V121" s="1012"/>
      <c r="W121" s="1012"/>
      <c r="X121" s="1012"/>
      <c r="Y121" s="1016"/>
      <c r="Z121" s="996"/>
      <c r="AA121" s="1003"/>
      <c r="AB121" s="996"/>
      <c r="AC121" s="996"/>
      <c r="AD121" s="996"/>
    </row>
    <row r="122" spans="1:30" ht="9" customHeight="1">
      <c r="A122" s="1014"/>
      <c r="B122" s="1014"/>
      <c r="C122" s="1012"/>
      <c r="D122" s="1012"/>
      <c r="E122" s="1012"/>
      <c r="F122" s="1012"/>
      <c r="G122" s="1012"/>
      <c r="H122" s="1029"/>
      <c r="I122" s="1029"/>
      <c r="J122" s="1029"/>
      <c r="K122" s="1029"/>
      <c r="L122" s="1029"/>
      <c r="M122" s="1012"/>
      <c r="N122" s="1034"/>
      <c r="O122" s="1027"/>
      <c r="P122" s="1027"/>
      <c r="Q122" s="1027"/>
      <c r="R122" s="1027"/>
      <c r="S122" s="1012"/>
      <c r="T122" s="1012"/>
      <c r="U122" s="1012"/>
      <c r="V122" s="1012"/>
      <c r="W122" s="1012"/>
      <c r="X122" s="1012"/>
      <c r="Y122" s="1016"/>
      <c r="Z122" s="996"/>
      <c r="AA122" s="1003"/>
      <c r="AB122" s="996"/>
      <c r="AC122" s="996"/>
      <c r="AD122" s="996"/>
    </row>
    <row r="123" spans="1:30" ht="9" customHeight="1">
      <c r="A123" s="1014"/>
      <c r="B123" s="1014"/>
      <c r="C123" s="1012"/>
      <c r="D123" s="1012"/>
      <c r="E123" s="1012"/>
      <c r="F123" s="1012"/>
      <c r="G123" s="1012"/>
      <c r="H123" s="1029"/>
      <c r="I123" s="1029"/>
      <c r="J123" s="1029"/>
      <c r="K123" s="1029"/>
      <c r="L123" s="1029"/>
      <c r="M123" s="1012"/>
      <c r="N123" s="1034"/>
      <c r="O123" s="1027"/>
      <c r="P123" s="1027"/>
      <c r="Q123" s="1027"/>
      <c r="R123" s="1027"/>
      <c r="S123" s="1012"/>
      <c r="T123" s="1012"/>
      <c r="U123" s="1012"/>
      <c r="V123" s="1012"/>
      <c r="W123" s="1012"/>
      <c r="X123" s="1012"/>
      <c r="Y123" s="1016"/>
      <c r="Z123" s="996"/>
      <c r="AA123" s="1003"/>
      <c r="AB123" s="996"/>
      <c r="AC123" s="996"/>
      <c r="AD123" s="996"/>
    </row>
    <row r="124" spans="1:30" ht="9" customHeight="1">
      <c r="A124" s="1014"/>
      <c r="B124" s="1014"/>
      <c r="C124" s="1012"/>
      <c r="D124" s="1012"/>
      <c r="E124" s="1012"/>
      <c r="F124" s="1012"/>
      <c r="G124" s="1012"/>
      <c r="H124" s="1029"/>
      <c r="I124" s="1029"/>
      <c r="J124" s="1029"/>
      <c r="K124" s="1029"/>
      <c r="L124" s="1029"/>
      <c r="M124" s="1012"/>
      <c r="N124" s="1034"/>
      <c r="O124" s="1027"/>
      <c r="P124" s="1027"/>
      <c r="Q124" s="1027"/>
      <c r="R124" s="1027"/>
      <c r="S124" s="1012"/>
      <c r="T124" s="1012"/>
      <c r="U124" s="1012"/>
      <c r="V124" s="1012"/>
      <c r="W124" s="1012"/>
      <c r="X124" s="1012"/>
      <c r="Y124" s="1016"/>
      <c r="Z124" s="996"/>
      <c r="AA124" s="1003"/>
      <c r="AB124" s="996"/>
      <c r="AC124" s="996"/>
      <c r="AD124" s="996"/>
    </row>
    <row r="125" spans="1:30" ht="9" customHeight="1">
      <c r="A125" s="1014"/>
      <c r="B125" s="1014"/>
      <c r="C125" s="1012"/>
      <c r="D125" s="1012"/>
      <c r="E125" s="1012"/>
      <c r="F125" s="1012"/>
      <c r="G125" s="1012"/>
      <c r="H125" s="1029"/>
      <c r="I125" s="1029"/>
      <c r="J125" s="1029"/>
      <c r="K125" s="1029"/>
      <c r="L125" s="1029"/>
      <c r="M125" s="1012"/>
      <c r="N125" s="1034"/>
      <c r="O125" s="1027"/>
      <c r="P125" s="1027"/>
      <c r="Q125" s="1027"/>
      <c r="R125" s="1027"/>
      <c r="S125" s="1012"/>
      <c r="T125" s="1012"/>
      <c r="U125" s="1012"/>
      <c r="V125" s="1012"/>
      <c r="W125" s="1012"/>
      <c r="X125" s="1012"/>
      <c r="Y125" s="1016"/>
      <c r="Z125" s="996"/>
      <c r="AA125" s="1003"/>
      <c r="AB125" s="996"/>
      <c r="AC125" s="996"/>
      <c r="AD125" s="996"/>
    </row>
    <row r="126" spans="1:30" ht="9" customHeight="1">
      <c r="A126" s="1014"/>
      <c r="B126" s="1014"/>
      <c r="C126" s="1012"/>
      <c r="D126" s="1012"/>
      <c r="E126" s="1012"/>
      <c r="F126" s="1012"/>
      <c r="G126" s="1012"/>
      <c r="H126" s="1029"/>
      <c r="I126" s="1029"/>
      <c r="J126" s="1029"/>
      <c r="K126" s="1029"/>
      <c r="L126" s="1029"/>
      <c r="M126" s="1012"/>
      <c r="N126" s="1034"/>
      <c r="O126" s="1027"/>
      <c r="P126" s="1027"/>
      <c r="Q126" s="1027"/>
      <c r="R126" s="1027"/>
      <c r="S126" s="1012"/>
      <c r="T126" s="1012"/>
      <c r="U126" s="1012"/>
      <c r="V126" s="1012"/>
      <c r="W126" s="1012"/>
      <c r="X126" s="1012"/>
      <c r="Y126" s="1016"/>
      <c r="Z126" s="996"/>
      <c r="AA126" s="1003"/>
      <c r="AB126" s="996"/>
      <c r="AC126" s="996"/>
      <c r="AD126" s="996"/>
    </row>
    <row r="127" spans="1:30" ht="9" customHeight="1">
      <c r="A127" s="1014"/>
      <c r="B127" s="1014"/>
      <c r="C127" s="1012"/>
      <c r="D127" s="1012"/>
      <c r="E127" s="1012"/>
      <c r="F127" s="1012"/>
      <c r="G127" s="1012"/>
      <c r="H127" s="1029"/>
      <c r="I127" s="1029"/>
      <c r="J127" s="1029"/>
      <c r="K127" s="1029"/>
      <c r="L127" s="1029"/>
      <c r="M127" s="1012"/>
      <c r="N127" s="1034"/>
      <c r="O127" s="1027"/>
      <c r="P127" s="1027"/>
      <c r="Q127" s="1027"/>
      <c r="R127" s="1027"/>
      <c r="S127" s="1012"/>
      <c r="T127" s="1012"/>
      <c r="U127" s="1012"/>
      <c r="V127" s="1012"/>
      <c r="W127" s="1012"/>
      <c r="X127" s="1012"/>
      <c r="Y127" s="1016"/>
      <c r="Z127" s="996"/>
      <c r="AA127" s="1003"/>
      <c r="AB127" s="996"/>
      <c r="AC127" s="996"/>
      <c r="AD127" s="996"/>
    </row>
    <row r="128" spans="1:30" ht="9" customHeight="1">
      <c r="A128" s="1014"/>
      <c r="B128" s="1014"/>
      <c r="C128" s="1012"/>
      <c r="D128" s="1012"/>
      <c r="E128" s="1012"/>
      <c r="F128" s="1012"/>
      <c r="G128" s="1012"/>
      <c r="H128" s="1029"/>
      <c r="I128" s="1029"/>
      <c r="J128" s="1029"/>
      <c r="K128" s="1029"/>
      <c r="L128" s="1029"/>
      <c r="M128" s="1012"/>
      <c r="N128" s="1034"/>
      <c r="O128" s="1027"/>
      <c r="P128" s="1027"/>
      <c r="Q128" s="1027"/>
      <c r="R128" s="1027"/>
      <c r="S128" s="1012"/>
      <c r="T128" s="1012"/>
      <c r="U128" s="1012"/>
      <c r="V128" s="1012"/>
      <c r="W128" s="1012"/>
      <c r="X128" s="1012"/>
      <c r="Y128" s="1016"/>
      <c r="Z128" s="996"/>
      <c r="AA128" s="1003"/>
      <c r="AB128" s="996"/>
      <c r="AC128" s="996"/>
      <c r="AD128" s="996"/>
    </row>
    <row r="129" spans="1:30" ht="9" customHeight="1">
      <c r="A129" s="1014"/>
      <c r="B129" s="1014"/>
      <c r="C129" s="1012"/>
      <c r="D129" s="1012"/>
      <c r="E129" s="1012"/>
      <c r="F129" s="1012"/>
      <c r="G129" s="1012"/>
      <c r="H129" s="1029"/>
      <c r="I129" s="1029"/>
      <c r="J129" s="1029"/>
      <c r="K129" s="1029"/>
      <c r="L129" s="1029"/>
      <c r="M129" s="1012"/>
      <c r="N129" s="1034"/>
      <c r="O129" s="1027"/>
      <c r="P129" s="1027"/>
      <c r="Q129" s="1027"/>
      <c r="R129" s="1027"/>
      <c r="S129" s="1012"/>
      <c r="T129" s="1012"/>
      <c r="U129" s="1012"/>
      <c r="V129" s="1012"/>
      <c r="W129" s="1012"/>
      <c r="X129" s="1012"/>
      <c r="Y129" s="1016"/>
      <c r="Z129" s="996"/>
      <c r="AA129" s="1003"/>
      <c r="AB129" s="996"/>
      <c r="AC129" s="996"/>
      <c r="AD129" s="996"/>
    </row>
    <row r="130" spans="1:30" ht="9" customHeight="1">
      <c r="A130" s="1014"/>
      <c r="B130" s="1014"/>
      <c r="C130" s="1012"/>
      <c r="D130" s="1012"/>
      <c r="E130" s="1012"/>
      <c r="F130" s="1012"/>
      <c r="G130" s="1012"/>
      <c r="H130" s="1029"/>
      <c r="I130" s="1029"/>
      <c r="J130" s="1029"/>
      <c r="K130" s="1029"/>
      <c r="L130" s="1029"/>
      <c r="M130" s="1012"/>
      <c r="N130" s="1034"/>
      <c r="O130" s="1035"/>
      <c r="P130" s="1035"/>
      <c r="Q130" s="1035"/>
      <c r="R130" s="1035"/>
      <c r="S130" s="1012"/>
      <c r="T130" s="1012"/>
      <c r="U130" s="1012"/>
      <c r="V130" s="1012"/>
      <c r="W130" s="1012"/>
      <c r="X130" s="1012"/>
      <c r="Y130" s="1016"/>
      <c r="Z130" s="996"/>
      <c r="AA130" s="1003"/>
      <c r="AB130" s="996"/>
      <c r="AC130" s="996"/>
      <c r="AD130" s="996"/>
    </row>
    <row r="131" spans="1:30" ht="9" customHeight="1">
      <c r="A131" s="1014"/>
      <c r="B131" s="1014"/>
      <c r="C131" s="1012"/>
      <c r="D131" s="1012"/>
      <c r="E131" s="1012"/>
      <c r="F131" s="1012"/>
      <c r="G131" s="1012"/>
      <c r="H131" s="1029"/>
      <c r="I131" s="1029"/>
      <c r="J131" s="1029"/>
      <c r="K131" s="1029"/>
      <c r="L131" s="1029"/>
      <c r="M131" s="1012"/>
      <c r="N131" s="1034"/>
      <c r="O131" s="1036"/>
      <c r="P131" s="1036"/>
      <c r="Q131" s="1036"/>
      <c r="R131" s="1036"/>
      <c r="S131" s="1012"/>
      <c r="T131" s="1012"/>
      <c r="U131" s="1012"/>
      <c r="V131" s="1012"/>
      <c r="W131" s="1012"/>
      <c r="X131" s="1012"/>
      <c r="Y131" s="1016"/>
      <c r="Z131" s="996"/>
      <c r="AA131" s="1003"/>
      <c r="AB131" s="996"/>
      <c r="AC131" s="996"/>
      <c r="AD131" s="996"/>
    </row>
    <row r="132" spans="1:30" ht="9" customHeight="1">
      <c r="A132" s="1014"/>
      <c r="B132" s="1014"/>
      <c r="C132" s="1012"/>
      <c r="D132" s="1012"/>
      <c r="E132" s="1012"/>
      <c r="F132" s="1012"/>
      <c r="G132" s="1012"/>
      <c r="H132" s="1029"/>
      <c r="I132" s="1029"/>
      <c r="J132" s="1029"/>
      <c r="K132" s="1029"/>
      <c r="L132" s="1029"/>
      <c r="M132" s="1012"/>
      <c r="N132" s="1034"/>
      <c r="O132" s="1035"/>
      <c r="P132" s="1035"/>
      <c r="Q132" s="1035"/>
      <c r="R132" s="1035"/>
      <c r="S132" s="1012"/>
      <c r="T132" s="1012"/>
      <c r="U132" s="1012"/>
      <c r="V132" s="1012"/>
      <c r="W132" s="1012"/>
      <c r="X132" s="1012"/>
      <c r="Y132" s="1016"/>
      <c r="Z132" s="996"/>
      <c r="AA132" s="1003"/>
      <c r="AB132" s="996"/>
      <c r="AC132" s="996"/>
      <c r="AD132" s="996"/>
    </row>
    <row r="133" spans="1:30" ht="9" customHeight="1">
      <c r="A133" s="1014"/>
      <c r="B133" s="1014"/>
      <c r="C133" s="1012"/>
      <c r="D133" s="1012"/>
      <c r="E133" s="1012"/>
      <c r="F133" s="1012"/>
      <c r="G133" s="1012"/>
      <c r="H133" s="1029"/>
      <c r="I133" s="1029"/>
      <c r="J133" s="1029"/>
      <c r="K133" s="1029"/>
      <c r="L133" s="1029"/>
      <c r="M133" s="1012"/>
      <c r="N133" s="1034"/>
      <c r="O133" s="1036"/>
      <c r="P133" s="1036"/>
      <c r="Q133" s="1036"/>
      <c r="R133" s="1036"/>
      <c r="S133" s="1012"/>
      <c r="T133" s="1012"/>
      <c r="U133" s="1012"/>
      <c r="V133" s="1012"/>
      <c r="W133" s="1012"/>
      <c r="X133" s="1012"/>
      <c r="Y133" s="1016"/>
      <c r="Z133" s="996"/>
      <c r="AA133" s="1003"/>
      <c r="AB133" s="996"/>
      <c r="AC133" s="996"/>
      <c r="AD133" s="996"/>
    </row>
    <row r="134" spans="1:30" ht="9" customHeight="1">
      <c r="A134" s="1014"/>
      <c r="B134" s="1014"/>
      <c r="C134" s="1012"/>
      <c r="D134" s="1012"/>
      <c r="E134" s="1012"/>
      <c r="F134" s="1012"/>
      <c r="G134" s="1012"/>
      <c r="H134" s="1029"/>
      <c r="I134" s="1029"/>
      <c r="J134" s="1029"/>
      <c r="K134" s="1029"/>
      <c r="L134" s="1029"/>
      <c r="M134" s="1012"/>
      <c r="N134" s="1034"/>
      <c r="O134" s="1027"/>
      <c r="P134" s="1027"/>
      <c r="Q134" s="1027"/>
      <c r="R134" s="1027"/>
      <c r="S134" s="1012"/>
      <c r="T134" s="1012"/>
      <c r="U134" s="1012"/>
      <c r="V134" s="1012"/>
      <c r="W134" s="1012"/>
      <c r="X134" s="1012"/>
      <c r="Y134" s="1016"/>
      <c r="Z134" s="996"/>
      <c r="AA134" s="1003"/>
      <c r="AB134" s="996"/>
      <c r="AC134" s="996"/>
      <c r="AD134" s="996"/>
    </row>
    <row r="135" spans="1:30" ht="9" customHeight="1">
      <c r="A135" s="1014"/>
      <c r="B135" s="1014"/>
      <c r="C135" s="1012"/>
      <c r="D135" s="1012"/>
      <c r="E135" s="1012"/>
      <c r="F135" s="1012"/>
      <c r="G135" s="1012"/>
      <c r="H135" s="1029"/>
      <c r="I135" s="1029"/>
      <c r="J135" s="1029"/>
      <c r="K135" s="1029"/>
      <c r="L135" s="1029"/>
      <c r="M135" s="1012"/>
      <c r="N135" s="1034"/>
      <c r="O135" s="1027"/>
      <c r="P135" s="1027"/>
      <c r="Q135" s="1027"/>
      <c r="R135" s="1027"/>
      <c r="S135" s="1012"/>
      <c r="T135" s="1012"/>
      <c r="U135" s="1012"/>
      <c r="V135" s="1012"/>
      <c r="W135" s="1012"/>
      <c r="X135" s="1012"/>
      <c r="Y135" s="1016"/>
      <c r="Z135" s="996"/>
      <c r="AA135" s="1003"/>
      <c r="AB135" s="996"/>
      <c r="AC135" s="996"/>
      <c r="AD135" s="996"/>
    </row>
    <row r="136" spans="1:30" ht="9" customHeight="1">
      <c r="A136" s="1014"/>
      <c r="B136" s="1014"/>
      <c r="C136" s="1012"/>
      <c r="D136" s="1012"/>
      <c r="E136" s="1012"/>
      <c r="F136" s="1012"/>
      <c r="G136" s="1012"/>
      <c r="H136" s="1029"/>
      <c r="I136" s="1029"/>
      <c r="J136" s="1029"/>
      <c r="K136" s="1029"/>
      <c r="L136" s="1029"/>
      <c r="M136" s="1012"/>
      <c r="N136" s="1034"/>
      <c r="O136" s="1027"/>
      <c r="P136" s="1027"/>
      <c r="Q136" s="1027"/>
      <c r="R136" s="1027"/>
      <c r="S136" s="1012"/>
      <c r="T136" s="1012"/>
      <c r="U136" s="1012"/>
      <c r="V136" s="1012"/>
      <c r="W136" s="1012"/>
      <c r="X136" s="1012"/>
      <c r="Y136" s="1016"/>
      <c r="Z136" s="996"/>
      <c r="AA136" s="1003"/>
      <c r="AB136" s="996"/>
      <c r="AC136" s="996"/>
      <c r="AD136" s="996"/>
    </row>
    <row r="137" spans="1:30" ht="9" customHeight="1">
      <c r="A137" s="1014"/>
      <c r="B137" s="1014"/>
      <c r="C137" s="1012"/>
      <c r="D137" s="1012"/>
      <c r="E137" s="1012"/>
      <c r="F137" s="1012"/>
      <c r="G137" s="1012"/>
      <c r="H137" s="1029"/>
      <c r="I137" s="1029"/>
      <c r="J137" s="1029"/>
      <c r="K137" s="1029"/>
      <c r="L137" s="1029"/>
      <c r="M137" s="1012"/>
      <c r="N137" s="1034"/>
      <c r="O137" s="1037"/>
      <c r="P137" s="1037"/>
      <c r="Q137" s="1037"/>
      <c r="R137" s="1037"/>
      <c r="S137" s="1012"/>
      <c r="T137" s="1012"/>
      <c r="U137" s="1012"/>
      <c r="V137" s="1012"/>
      <c r="W137" s="1012"/>
      <c r="X137" s="1012"/>
      <c r="Y137" s="1016"/>
      <c r="Z137" s="996"/>
      <c r="AA137" s="1003"/>
      <c r="AB137" s="996"/>
      <c r="AC137" s="996"/>
      <c r="AD137" s="996"/>
    </row>
    <row r="138" spans="1:30" ht="9" customHeight="1">
      <c r="A138" s="1014"/>
      <c r="B138" s="1014"/>
      <c r="C138" s="1012"/>
      <c r="D138" s="1012"/>
      <c r="E138" s="1012"/>
      <c r="F138" s="1012"/>
      <c r="G138" s="1012"/>
      <c r="H138" s="1029"/>
      <c r="I138" s="1029"/>
      <c r="J138" s="1029"/>
      <c r="K138" s="1029"/>
      <c r="L138" s="1029"/>
      <c r="M138" s="1012"/>
      <c r="N138" s="1034"/>
      <c r="O138" s="1030"/>
      <c r="P138" s="1030"/>
      <c r="Q138" s="1030"/>
      <c r="R138" s="1030"/>
      <c r="S138" s="1012"/>
      <c r="T138" s="1012"/>
      <c r="U138" s="1012"/>
      <c r="V138" s="1012"/>
      <c r="W138" s="1012"/>
      <c r="X138" s="1012"/>
      <c r="Y138" s="1016"/>
      <c r="Z138" s="996"/>
      <c r="AA138" s="1003"/>
      <c r="AB138" s="996"/>
      <c r="AC138" s="996"/>
      <c r="AD138" s="996"/>
    </row>
    <row r="139" spans="1:30" ht="9" customHeight="1">
      <c r="A139" s="1014"/>
      <c r="B139" s="1014"/>
      <c r="C139" s="1012"/>
      <c r="D139" s="1012"/>
      <c r="E139" s="1012"/>
      <c r="F139" s="1012"/>
      <c r="G139" s="1012"/>
      <c r="H139" s="1029"/>
      <c r="I139" s="1029"/>
      <c r="J139" s="1029"/>
      <c r="K139" s="1029"/>
      <c r="L139" s="1029"/>
      <c r="M139" s="1012"/>
      <c r="N139" s="1034"/>
      <c r="O139" s="1012"/>
      <c r="P139" s="1012"/>
      <c r="Q139" s="1012"/>
      <c r="R139" s="1012"/>
      <c r="S139" s="1012"/>
      <c r="T139" s="1012"/>
      <c r="U139" s="1012"/>
      <c r="V139" s="1012"/>
      <c r="W139" s="1012"/>
      <c r="X139" s="1012"/>
      <c r="Y139" s="1016"/>
      <c r="Z139" s="996"/>
      <c r="AA139" s="1003"/>
      <c r="AB139" s="996"/>
      <c r="AC139" s="996"/>
      <c r="AD139" s="996"/>
    </row>
    <row r="140" spans="1:30" ht="9" customHeight="1">
      <c r="A140" s="1014"/>
      <c r="B140" s="1014"/>
      <c r="C140" s="1012"/>
      <c r="D140" s="1012"/>
      <c r="E140" s="1012"/>
      <c r="F140" s="1012"/>
      <c r="G140" s="1012"/>
      <c r="H140" s="1029"/>
      <c r="I140" s="1029"/>
      <c r="J140" s="1029"/>
      <c r="K140" s="1029"/>
      <c r="L140" s="1029"/>
      <c r="M140" s="1012"/>
      <c r="N140" s="1034"/>
      <c r="O140" s="1012"/>
      <c r="P140" s="1012"/>
      <c r="Q140" s="1012"/>
      <c r="R140" s="1012"/>
      <c r="S140" s="1012"/>
      <c r="T140" s="1012"/>
      <c r="U140" s="1012"/>
      <c r="V140" s="1012"/>
      <c r="W140" s="1012"/>
      <c r="X140" s="1012"/>
      <c r="Y140" s="1016"/>
      <c r="Z140" s="996"/>
      <c r="AA140" s="1003"/>
      <c r="AB140" s="996"/>
      <c r="AC140" s="996"/>
      <c r="AD140" s="996"/>
    </row>
    <row r="141" spans="1:30" ht="9" customHeight="1">
      <c r="A141" s="1014"/>
      <c r="B141" s="1014"/>
      <c r="C141" s="1012"/>
      <c r="D141" s="1012"/>
      <c r="E141" s="1012"/>
      <c r="F141" s="1012"/>
      <c r="G141" s="1012"/>
      <c r="H141" s="1029"/>
      <c r="I141" s="1029"/>
      <c r="J141" s="1029"/>
      <c r="K141" s="1029"/>
      <c r="L141" s="1029"/>
      <c r="M141" s="1012"/>
      <c r="N141" s="1034"/>
      <c r="O141" s="1012"/>
      <c r="P141" s="1012"/>
      <c r="Q141" s="1012"/>
      <c r="R141" s="1012"/>
      <c r="S141" s="1012"/>
      <c r="T141" s="1012"/>
      <c r="U141" s="1012"/>
      <c r="V141" s="1012"/>
      <c r="W141" s="1012"/>
      <c r="X141" s="1012"/>
      <c r="Y141" s="1016"/>
      <c r="Z141" s="996"/>
      <c r="AA141" s="1003"/>
      <c r="AB141" s="996"/>
      <c r="AC141" s="996"/>
      <c r="AD141" s="996"/>
    </row>
    <row r="142" spans="1:30" ht="9" customHeight="1">
      <c r="A142" s="1014"/>
      <c r="B142" s="1014"/>
      <c r="C142" s="1012"/>
      <c r="D142" s="1012"/>
      <c r="E142" s="1012"/>
      <c r="F142" s="1012"/>
      <c r="G142" s="1012"/>
      <c r="H142" s="1029"/>
      <c r="I142" s="1029"/>
      <c r="J142" s="1029"/>
      <c r="K142" s="1029"/>
      <c r="L142" s="1029"/>
      <c r="M142" s="1012"/>
      <c r="N142" s="1034"/>
      <c r="O142" s="1012"/>
      <c r="P142" s="1012"/>
      <c r="Q142" s="1012"/>
      <c r="R142" s="1012"/>
      <c r="S142" s="1012"/>
      <c r="T142" s="1012"/>
      <c r="U142" s="1012"/>
      <c r="V142" s="1012"/>
      <c r="W142" s="1012"/>
      <c r="X142" s="1012"/>
      <c r="Y142" s="1016"/>
      <c r="Z142" s="996"/>
      <c r="AA142" s="1003"/>
      <c r="AB142" s="996"/>
      <c r="AC142" s="996"/>
      <c r="AD142" s="996"/>
    </row>
    <row r="143" spans="1:30" ht="9" customHeight="1">
      <c r="A143" s="1014"/>
      <c r="B143" s="1014"/>
      <c r="C143" s="1012"/>
      <c r="D143" s="1012"/>
      <c r="E143" s="1012"/>
      <c r="F143" s="1012"/>
      <c r="G143" s="1012"/>
      <c r="H143" s="1029"/>
      <c r="I143" s="1029"/>
      <c r="J143" s="1029"/>
      <c r="K143" s="1029"/>
      <c r="L143" s="1029"/>
      <c r="M143" s="1012"/>
      <c r="N143" s="1034"/>
      <c r="O143" s="1012"/>
      <c r="P143" s="1012"/>
      <c r="Q143" s="1012"/>
      <c r="R143" s="1012"/>
      <c r="S143" s="1012"/>
      <c r="T143" s="1012"/>
      <c r="U143" s="1012"/>
      <c r="V143" s="1012"/>
      <c r="W143" s="1012"/>
      <c r="X143" s="1012"/>
      <c r="Y143" s="1016"/>
      <c r="Z143" s="996"/>
      <c r="AA143" s="1003"/>
      <c r="AB143" s="996"/>
      <c r="AC143" s="996"/>
      <c r="AD143" s="996"/>
    </row>
    <row r="144" spans="1:30" ht="9" customHeight="1">
      <c r="A144" s="1014"/>
      <c r="B144" s="1014"/>
      <c r="C144" s="1012"/>
      <c r="D144" s="1012"/>
      <c r="E144" s="1012"/>
      <c r="F144" s="1012"/>
      <c r="G144" s="1012"/>
      <c r="H144" s="1029"/>
      <c r="I144" s="1029"/>
      <c r="J144" s="1029"/>
      <c r="K144" s="1029"/>
      <c r="L144" s="1029"/>
      <c r="M144" s="1012"/>
      <c r="N144" s="1034"/>
      <c r="O144" s="1012"/>
      <c r="P144" s="1012"/>
      <c r="Q144" s="1012"/>
      <c r="R144" s="1012"/>
      <c r="S144" s="1012"/>
      <c r="T144" s="1012"/>
      <c r="U144" s="1012"/>
      <c r="V144" s="1012"/>
      <c r="W144" s="1012"/>
      <c r="X144" s="1012"/>
      <c r="Y144" s="1016"/>
      <c r="Z144" s="996"/>
      <c r="AA144" s="1003"/>
      <c r="AB144" s="996"/>
      <c r="AC144" s="996"/>
      <c r="AD144" s="996"/>
    </row>
    <row r="145" spans="1:30" ht="9" customHeight="1">
      <c r="A145" s="1014"/>
      <c r="B145" s="1014"/>
      <c r="C145" s="1012"/>
      <c r="D145" s="1012"/>
      <c r="E145" s="1012"/>
      <c r="F145" s="1012"/>
      <c r="G145" s="1012"/>
      <c r="H145" s="1029"/>
      <c r="I145" s="1029"/>
      <c r="J145" s="1029"/>
      <c r="K145" s="1029"/>
      <c r="L145" s="1029"/>
      <c r="M145" s="1012"/>
      <c r="N145" s="1034"/>
      <c r="O145" s="1012"/>
      <c r="P145" s="1012"/>
      <c r="Q145" s="1012"/>
      <c r="R145" s="1012"/>
      <c r="S145" s="1012"/>
      <c r="T145" s="1012"/>
      <c r="U145" s="1012"/>
      <c r="V145" s="1012"/>
      <c r="W145" s="1012"/>
      <c r="X145" s="1012"/>
      <c r="Y145" s="1016"/>
      <c r="Z145" s="996"/>
      <c r="AA145" s="1003"/>
      <c r="AB145" s="996"/>
      <c r="AC145" s="996"/>
      <c r="AD145" s="996"/>
    </row>
    <row r="146" spans="1:30" ht="9" customHeight="1">
      <c r="A146" s="1014"/>
      <c r="B146" s="1014"/>
      <c r="C146" s="1012"/>
      <c r="D146" s="1012"/>
      <c r="E146" s="1012"/>
      <c r="F146" s="1012"/>
      <c r="G146" s="1012"/>
      <c r="H146" s="1029"/>
      <c r="I146" s="1029"/>
      <c r="J146" s="1029"/>
      <c r="K146" s="1029"/>
      <c r="L146" s="1029"/>
      <c r="M146" s="1012"/>
      <c r="N146" s="1034"/>
      <c r="O146" s="1012"/>
      <c r="P146" s="1012"/>
      <c r="Q146" s="1012"/>
      <c r="R146" s="1012"/>
      <c r="S146" s="1012"/>
      <c r="T146" s="1012"/>
      <c r="U146" s="1012"/>
      <c r="V146" s="1012"/>
      <c r="W146" s="1012"/>
      <c r="X146" s="1012"/>
      <c r="Y146" s="1016"/>
      <c r="Z146" s="996"/>
      <c r="AA146" s="1003"/>
      <c r="AB146" s="996"/>
      <c r="AC146" s="996"/>
      <c r="AD146" s="996"/>
    </row>
    <row r="147" spans="1:30" ht="9" customHeight="1">
      <c r="A147" s="1014"/>
      <c r="B147" s="1014"/>
      <c r="C147" s="1014"/>
      <c r="D147" s="1014"/>
      <c r="E147" s="1014"/>
      <c r="F147" s="1014"/>
      <c r="G147" s="1014"/>
      <c r="H147" s="1014"/>
      <c r="I147" s="1014"/>
      <c r="J147" s="1014"/>
      <c r="K147" s="1014"/>
      <c r="L147" s="1014"/>
      <c r="M147" s="1014"/>
      <c r="N147" s="1014"/>
      <c r="O147" s="1014"/>
      <c r="P147" s="1014"/>
      <c r="Q147" s="1014"/>
      <c r="R147" s="1014"/>
      <c r="S147" s="1014"/>
      <c r="T147" s="1014"/>
      <c r="U147" s="1014"/>
      <c r="V147" s="1014"/>
      <c r="W147" s="1014"/>
      <c r="X147" s="1014"/>
      <c r="Y147" s="1014"/>
      <c r="Z147" s="1014"/>
      <c r="AA147" s="1014"/>
      <c r="AB147" s="1014"/>
      <c r="AC147" s="1014"/>
      <c r="AD147" s="1014"/>
    </row>
    <row r="148" spans="1:30" ht="90" customHeight="1">
      <c r="A148" s="1014" t="s">
        <v>1645</v>
      </c>
      <c r="B148" s="1014"/>
      <c r="C148" s="1012" t="s">
        <v>2118</v>
      </c>
      <c r="D148" s="1012" t="s">
        <v>1547</v>
      </c>
      <c r="E148" s="1012" t="s">
        <v>1647</v>
      </c>
      <c r="F148" s="1012" t="s">
        <v>2119</v>
      </c>
      <c r="G148" s="1012"/>
      <c r="H148" s="1012"/>
      <c r="I148" s="1038"/>
      <c r="J148" s="1038"/>
      <c r="K148" s="1038"/>
      <c r="L148" s="1038"/>
      <c r="M148" s="103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21"/>
      <c r="O148" s="1012"/>
      <c r="P148" s="1015"/>
      <c r="Q148" s="1015"/>
      <c r="R148" s="1015"/>
      <c r="S148" s="1012"/>
      <c r="T148" s="1012" t="s">
        <v>2120</v>
      </c>
      <c r="U148" s="101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15"/>
      <c r="W148" s="1015"/>
      <c r="X148" s="1012" t="s">
        <v>2121</v>
      </c>
      <c r="Y148" s="1016"/>
      <c r="Z148" s="996"/>
      <c r="AA148" s="1003"/>
      <c r="AB148" s="996"/>
      <c r="AC148" s="996"/>
      <c r="AD148" s="996"/>
    </row>
    <row r="149" spans="1:30" ht="9" customHeight="1">
      <c r="A149" s="1014"/>
      <c r="B149" s="1014"/>
      <c r="C149" s="1014"/>
      <c r="D149" s="1014"/>
      <c r="E149" s="1014"/>
      <c r="F149" s="1014"/>
      <c r="G149" s="1014"/>
      <c r="H149" s="1014"/>
      <c r="I149" s="1014"/>
      <c r="J149" s="1014"/>
      <c r="K149" s="1014"/>
      <c r="L149" s="1014"/>
      <c r="M149" s="1014"/>
      <c r="N149" s="1014"/>
      <c r="O149" s="1014"/>
      <c r="P149" s="1014"/>
      <c r="Q149" s="1014"/>
      <c r="R149" s="1014"/>
      <c r="S149" s="1014"/>
      <c r="T149" s="1014"/>
      <c r="U149" s="1014"/>
      <c r="V149" s="1014"/>
      <c r="W149" s="1014"/>
      <c r="X149" s="1014"/>
      <c r="Y149" s="1014"/>
      <c r="Z149" s="1014"/>
      <c r="AA149" s="1014"/>
      <c r="AB149" s="1014"/>
      <c r="AC149" s="1014"/>
      <c r="AD149" s="1014"/>
    </row>
    <row r="150" spans="1:30" ht="9" customHeight="1">
      <c r="A150" s="1014" t="s">
        <v>1649</v>
      </c>
      <c r="B150" s="1014"/>
      <c r="C150" s="1012"/>
      <c r="D150" s="1012"/>
      <c r="E150" s="1012"/>
      <c r="F150" s="1012"/>
      <c r="G150" s="1012"/>
      <c r="H150" s="1012"/>
      <c r="I150" s="1012"/>
      <c r="J150" s="1012"/>
      <c r="K150" s="1012"/>
      <c r="L150" s="1012"/>
      <c r="M150" s="1012"/>
      <c r="N150" s="1012"/>
      <c r="O150" s="1012"/>
      <c r="P150" s="1012"/>
      <c r="Q150" s="1012"/>
      <c r="R150" s="1012"/>
      <c r="S150" s="1012"/>
      <c r="T150" s="1012"/>
      <c r="U150" s="1012"/>
      <c r="V150" s="1012"/>
      <c r="W150" s="1012"/>
      <c r="X150" s="1012"/>
      <c r="Y150" s="1016"/>
      <c r="Z150" s="996"/>
      <c r="AA150" s="1003"/>
      <c r="AB150" s="996"/>
      <c r="AC150" s="996"/>
      <c r="AD150" s="996"/>
    </row>
    <row r="151" spans="1:30" ht="9" customHeight="1">
      <c r="A151" s="1014"/>
      <c r="B151" s="1014"/>
      <c r="C151" s="1014"/>
      <c r="D151" s="1014"/>
      <c r="E151" s="1014"/>
      <c r="F151" s="1014"/>
      <c r="G151" s="1014"/>
      <c r="H151" s="1014"/>
      <c r="I151" s="1014"/>
      <c r="J151" s="1014"/>
      <c r="K151" s="1014"/>
      <c r="L151" s="1014"/>
      <c r="M151" s="1014"/>
      <c r="N151" s="1014"/>
      <c r="O151" s="1014"/>
      <c r="P151" s="1014"/>
      <c r="Q151" s="1014"/>
      <c r="R151" s="1014"/>
      <c r="S151" s="1014"/>
      <c r="T151" s="1014"/>
      <c r="U151" s="1014"/>
      <c r="V151" s="1014"/>
      <c r="W151" s="1014"/>
      <c r="X151" s="1014"/>
      <c r="Y151" s="1014"/>
      <c r="Z151" s="1014"/>
      <c r="AA151" s="1014"/>
      <c r="AB151" s="1014"/>
      <c r="AC151" s="1014"/>
      <c r="AD151" s="1014"/>
    </row>
    <row r="152" spans="1:30" ht="9" customHeight="1">
      <c r="A152" s="1014" t="s">
        <v>1652</v>
      </c>
      <c r="B152" s="1014"/>
      <c r="C152" s="1012"/>
      <c r="D152" s="1012"/>
      <c r="E152" s="1012"/>
      <c r="F152" s="1012"/>
      <c r="G152" s="1012"/>
      <c r="H152" s="1012"/>
      <c r="I152" s="1012"/>
      <c r="J152" s="1012"/>
      <c r="K152" s="1012"/>
      <c r="L152" s="1012"/>
      <c r="M152" s="1012"/>
      <c r="N152" s="1012"/>
      <c r="O152" s="1012"/>
      <c r="P152" s="1012"/>
      <c r="Q152" s="1012"/>
      <c r="R152" s="1012"/>
      <c r="S152" s="1012"/>
      <c r="T152" s="1012"/>
      <c r="U152" s="1012"/>
      <c r="V152" s="1012"/>
      <c r="W152" s="1012"/>
      <c r="X152" s="1012"/>
      <c r="Y152" s="1016"/>
      <c r="Z152" s="996"/>
      <c r="AA152" s="1003"/>
      <c r="AB152" s="996"/>
      <c r="AC152" s="996"/>
      <c r="AD152" s="996"/>
    </row>
    <row r="153" spans="1:30" ht="9" customHeight="1">
      <c r="A153" s="1014"/>
      <c r="B153" s="1014"/>
      <c r="C153" s="1014"/>
      <c r="D153" s="1014"/>
      <c r="E153" s="1014"/>
      <c r="F153" s="1014"/>
      <c r="G153" s="1014"/>
      <c r="H153" s="1014"/>
      <c r="I153" s="1014"/>
      <c r="J153" s="1014"/>
      <c r="K153" s="1014"/>
      <c r="L153" s="1014"/>
      <c r="M153" s="1014"/>
      <c r="N153" s="1014"/>
      <c r="O153" s="1014"/>
      <c r="P153" s="1014"/>
      <c r="Q153" s="1014"/>
      <c r="R153" s="1014"/>
      <c r="S153" s="1014"/>
      <c r="T153" s="1014"/>
      <c r="U153" s="1014"/>
      <c r="V153" s="1014"/>
      <c r="W153" s="1014"/>
      <c r="X153" s="1014"/>
      <c r="Y153" s="1014"/>
      <c r="Z153" s="1014"/>
      <c r="AA153" s="1014"/>
      <c r="AB153" s="1014"/>
      <c r="AC153" s="1014"/>
      <c r="AD153" s="1014"/>
    </row>
    <row r="154" spans="1:30" ht="9" customHeight="1">
      <c r="A154" s="1014" t="s">
        <v>1657</v>
      </c>
      <c r="B154" s="1014"/>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6"/>
      <c r="Z154" s="996"/>
      <c r="AA154" s="1003"/>
      <c r="AB154" s="996"/>
      <c r="AC154" s="996"/>
      <c r="AD154" s="996"/>
    </row>
  </sheetData>
  <mergeCells count="12">
    <mergeCell ref="O1:S1"/>
    <mergeCell ref="T1:X1"/>
    <mergeCell ref="Z1:AD1"/>
    <mergeCell ref="C3:F3"/>
    <mergeCell ref="A11:A15"/>
    <mergeCell ref="C11:C16"/>
    <mergeCell ref="D11:D16"/>
    <mergeCell ref="E11:E16"/>
    <mergeCell ref="F11:F16"/>
    <mergeCell ref="G11:G16"/>
    <mergeCell ref="H13:H14"/>
    <mergeCell ref="H15:H16"/>
  </mergeCells>
  <pageMargins left="0.7" right="0.7" top="0.625" bottom="0.625" header="0.3" footer="0.3"/>
  <pageSetup paperSize="9" orientation="portrait" horizontalDpi="300" verticalDpi="30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C40"/>
  <sheetViews>
    <sheetView showGridLines="0" topLeftCell="I4" zoomScaleNormal="100" workbookViewId="0"/>
  </sheetViews>
  <sheetFormatPr defaultColWidth="10.5703125" defaultRowHeight="14.25"/>
  <cols>
    <col min="1" max="1" width="10.5703125" style="49" hidden="1"/>
    <col min="2" max="2" width="11" style="49" hidden="1" customWidth="1"/>
    <col min="3" max="3" width="10.5703125" style="49" hidden="1"/>
    <col min="4" max="4" width="11.85546875" style="49" hidden="1" customWidth="1"/>
    <col min="5" max="5" width="12.28515625" style="49" hidden="1" customWidth="1"/>
    <col min="6" max="8" width="12.28515625" style="57" hidden="1" customWidth="1"/>
    <col min="9" max="9" width="3.7109375" style="56" customWidth="1"/>
    <col min="10" max="11" width="3.7109375" style="389" customWidth="1"/>
    <col min="12" max="12" width="12.7109375" style="254" customWidth="1"/>
    <col min="13" max="13" width="32" style="46" customWidth="1"/>
    <col min="14" max="14" width="1.7109375" style="46" customWidth="1"/>
    <col min="15" max="18" width="24.7109375" style="46" customWidth="1"/>
    <col min="19" max="19" width="11.7109375" style="46" customWidth="1"/>
    <col min="20" max="20" width="3.7109375" style="46" customWidth="1"/>
    <col min="21" max="21" width="11.7109375" style="46" customWidth="1"/>
    <col min="22" max="22" width="8.5703125" style="46" customWidth="1"/>
    <col min="23" max="23" width="4.7109375" style="46" customWidth="1"/>
    <col min="24" max="24" width="115.7109375" style="46" customWidth="1"/>
    <col min="25" max="26" width="10.5703125" style="53"/>
    <col min="27" max="27" width="11.140625" style="53" customWidth="1"/>
    <col min="28" max="29" width="10.5703125" style="53"/>
  </cols>
  <sheetData>
    <row r="1" spans="1:29" ht="14.25" hidden="1" customHeight="1"/>
    <row r="2" spans="1:29" ht="14.25" hidden="1" customHeight="1"/>
    <row r="3" spans="1:29" ht="14.25" hidden="1" customHeight="1"/>
    <row r="4" spans="1:29" ht="14.25" customHeight="1">
      <c r="J4" s="437"/>
      <c r="K4" s="437"/>
      <c r="L4" s="438"/>
      <c r="M4" s="83"/>
      <c r="N4" s="83"/>
    </row>
    <row r="5" spans="1:29" ht="64.5" customHeight="1">
      <c r="J5" s="437"/>
      <c r="K5" s="437"/>
      <c r="L5" s="1307" t="s">
        <v>2122</v>
      </c>
      <c r="M5" s="1307"/>
      <c r="N5" s="1307"/>
      <c r="O5" s="1307"/>
      <c r="P5" s="1307"/>
      <c r="Q5" s="1307"/>
      <c r="R5" s="1307"/>
      <c r="S5" s="1307"/>
      <c r="T5" s="1307"/>
      <c r="U5" s="1307"/>
      <c r="V5" s="201"/>
    </row>
    <row r="6" spans="1:29" ht="14.25" customHeight="1">
      <c r="J6" s="437"/>
      <c r="K6" s="437"/>
      <c r="L6" s="1308" t="str">
        <f>IF(org=0,"Не определено",org)</f>
        <v>Филиал ПАО "ОГК-2" - Серовская ГРЭС, г. Серов</v>
      </c>
      <c r="M6" s="1308"/>
      <c r="N6" s="1308"/>
      <c r="O6" s="1308"/>
      <c r="P6" s="1308"/>
      <c r="Q6" s="1308"/>
      <c r="R6" s="1308"/>
      <c r="S6" s="1308"/>
      <c r="T6" s="1308"/>
      <c r="U6" s="1308"/>
      <c r="V6" s="201"/>
    </row>
    <row r="7" spans="1:29" ht="14.25" customHeight="1">
      <c r="J7" s="437"/>
      <c r="K7" s="437"/>
      <c r="L7" s="438"/>
      <c r="M7" s="83"/>
      <c r="N7" s="83"/>
      <c r="O7" s="439"/>
      <c r="P7" s="439"/>
      <c r="Q7" s="439"/>
      <c r="R7" s="439"/>
      <c r="S7" s="439"/>
      <c r="T7" s="439"/>
      <c r="U7" s="439"/>
      <c r="V7" s="439"/>
    </row>
    <row r="8" spans="1:29" s="174" customFormat="1" ht="45" customHeight="1">
      <c r="A8" s="142"/>
      <c r="B8" s="142"/>
      <c r="C8" s="142"/>
      <c r="D8" s="142"/>
      <c r="E8" s="142"/>
      <c r="F8" s="142"/>
      <c r="G8" s="142"/>
      <c r="H8" s="142"/>
      <c r="L8" s="951"/>
      <c r="M8" s="440" t="s">
        <v>37</v>
      </c>
      <c r="N8" s="935"/>
      <c r="O8" s="1163" t="str">
        <f>IF(TITLE_NAME_OR_PR_CHANGE="",IF(TITLE_NAME_OR_PR="","",TITLE_NAME_OR_PR),TITLE_NAME_OR_PR_CHANGE)</f>
        <v>Региональная энергетическая комиссия Свердловской области</v>
      </c>
      <c r="P8" s="1163"/>
      <c r="Q8" s="1163"/>
      <c r="R8" s="1163"/>
      <c r="S8" s="1163"/>
      <c r="T8" s="1163"/>
      <c r="U8" s="1163"/>
      <c r="V8" s="46"/>
      <c r="W8" s="46"/>
      <c r="X8" s="442"/>
      <c r="Y8" s="121"/>
      <c r="Z8" s="121"/>
      <c r="AA8" s="121"/>
      <c r="AB8" s="121"/>
      <c r="AC8" s="121"/>
    </row>
    <row r="9" spans="1:29" s="174" customFormat="1" ht="22.5" customHeight="1">
      <c r="A9" s="142"/>
      <c r="B9" s="142"/>
      <c r="C9" s="142"/>
      <c r="D9" s="142"/>
      <c r="E9" s="142"/>
      <c r="F9" s="142"/>
      <c r="G9" s="142"/>
      <c r="H9" s="142"/>
      <c r="L9" s="951"/>
      <c r="M9" s="440" t="s">
        <v>410</v>
      </c>
      <c r="N9" s="935"/>
      <c r="O9" s="1163">
        <f>IF(TITLE_DATE_CHANGE_PERIOD="",IF(TITLE_DATE_PR="","",TITLE_DATE_PR),TITLE_DATE_CHANGE_PERIOD)</f>
        <v>45266.462974536997</v>
      </c>
      <c r="P9" s="1163"/>
      <c r="Q9" s="1163"/>
      <c r="R9" s="1163"/>
      <c r="S9" s="1163"/>
      <c r="T9" s="1163"/>
      <c r="U9" s="1163"/>
      <c r="V9" s="46"/>
      <c r="W9" s="46"/>
      <c r="X9" s="442"/>
      <c r="Y9" s="121"/>
      <c r="Z9" s="121"/>
      <c r="AA9" s="121"/>
      <c r="AB9" s="121"/>
      <c r="AC9" s="121"/>
    </row>
    <row r="10" spans="1:29" s="174" customFormat="1" ht="22.5" customHeight="1">
      <c r="A10" s="142"/>
      <c r="B10" s="142"/>
      <c r="C10" s="142"/>
      <c r="D10" s="142"/>
      <c r="E10" s="142"/>
      <c r="F10" s="142"/>
      <c r="G10" s="142"/>
      <c r="H10" s="142"/>
      <c r="L10" s="254"/>
      <c r="M10" s="440" t="s">
        <v>411</v>
      </c>
      <c r="N10" s="935"/>
      <c r="O10" s="1163" t="str">
        <f>IF(TITLE_NUMBER_PR_CHANGE="",IF(TITLE_NUMBER_PR="","",TITLE_NUMBER_PR),TITLE_NUMBER_PR_CHANGE)</f>
        <v>216-ПК</v>
      </c>
      <c r="P10" s="1163"/>
      <c r="Q10" s="1163"/>
      <c r="R10" s="1163"/>
      <c r="S10" s="1163"/>
      <c r="T10" s="1163"/>
      <c r="U10" s="1163"/>
      <c r="V10" s="46"/>
      <c r="W10" s="46"/>
      <c r="X10" s="442"/>
      <c r="Y10" s="121"/>
      <c r="Z10" s="121"/>
      <c r="AA10" s="121"/>
      <c r="AB10" s="121"/>
      <c r="AC10" s="121"/>
    </row>
    <row r="11" spans="1:29" s="174" customFormat="1" ht="22.5" customHeight="1">
      <c r="A11" s="142"/>
      <c r="B11" s="142"/>
      <c r="C11" s="142"/>
      <c r="D11" s="142"/>
      <c r="E11" s="142"/>
      <c r="F11" s="142"/>
      <c r="G11" s="142"/>
      <c r="H11" s="142"/>
      <c r="L11" s="254"/>
      <c r="M11" s="440" t="s">
        <v>39</v>
      </c>
      <c r="N11" s="935"/>
      <c r="O11" s="1163" t="str">
        <f>IF(TITLE_IST_PUB_CHANGE="",IF(TITLE_IST_PUB="","",TITLE_IST_PUB),TITLE_IST_PUB_CHANGE)</f>
        <v>Региональная энергетическая комиссия Свердловской области</v>
      </c>
      <c r="P11" s="1163"/>
      <c r="Q11" s="1163"/>
      <c r="R11" s="1163"/>
      <c r="S11" s="1163"/>
      <c r="T11" s="1163"/>
      <c r="U11" s="1163"/>
      <c r="V11" s="46"/>
      <c r="W11" s="46"/>
      <c r="X11" s="442"/>
      <c r="Y11" s="121"/>
      <c r="Z11" s="121"/>
      <c r="AA11" s="121"/>
      <c r="AB11" s="121"/>
      <c r="AC11" s="121"/>
    </row>
    <row r="12" spans="1:29" s="174" customFormat="1" ht="11.25" hidden="1" customHeight="1">
      <c r="A12" s="142"/>
      <c r="B12" s="142"/>
      <c r="C12" s="142"/>
      <c r="D12" s="142"/>
      <c r="E12" s="142"/>
      <c r="F12" s="142"/>
      <c r="G12" s="142"/>
      <c r="H12" s="142"/>
      <c r="L12" s="1309"/>
      <c r="M12" s="1309"/>
      <c r="N12" s="131"/>
      <c r="O12" s="46"/>
      <c r="P12" s="46"/>
      <c r="Q12" s="46"/>
      <c r="R12" s="46"/>
      <c r="S12" s="46"/>
      <c r="T12" s="46"/>
      <c r="U12" s="46"/>
      <c r="V12" s="53" t="s">
        <v>414</v>
      </c>
      <c r="Y12" s="121"/>
      <c r="Z12" s="121"/>
      <c r="AA12" s="121"/>
      <c r="AB12" s="121"/>
      <c r="AC12" s="121"/>
    </row>
    <row r="13" spans="1:29" ht="14.25" customHeight="1">
      <c r="J13" s="437"/>
      <c r="K13" s="437"/>
      <c r="L13" s="438"/>
      <c r="M13" s="83"/>
      <c r="N13" s="443"/>
      <c r="O13" s="1165"/>
      <c r="P13" s="1165"/>
      <c r="Q13" s="1165"/>
      <c r="R13" s="1165"/>
      <c r="S13" s="1165"/>
      <c r="T13" s="1165"/>
      <c r="U13" s="1165"/>
      <c r="V13" s="1165"/>
    </row>
    <row r="14" spans="1:29" ht="14.25" customHeight="1">
      <c r="J14" s="437"/>
      <c r="K14" s="437"/>
      <c r="L14" s="1087" t="s">
        <v>287</v>
      </c>
      <c r="M14" s="1087"/>
      <c r="N14" s="1087"/>
      <c r="O14" s="1087"/>
      <c r="P14" s="1087"/>
      <c r="Q14" s="1087"/>
      <c r="R14" s="1087"/>
      <c r="S14" s="1087"/>
      <c r="T14" s="1087"/>
      <c r="U14" s="1087"/>
      <c r="V14" s="1087"/>
      <c r="W14" s="1087"/>
      <c r="X14" s="1087" t="s">
        <v>288</v>
      </c>
    </row>
    <row r="15" spans="1:29" ht="14.25" customHeight="1">
      <c r="J15" s="437"/>
      <c r="K15" s="437"/>
      <c r="L15" s="1166" t="s">
        <v>84</v>
      </c>
      <c r="M15" s="1167" t="s">
        <v>415</v>
      </c>
      <c r="N15" s="444"/>
      <c r="O15" s="1140" t="s">
        <v>2123</v>
      </c>
      <c r="P15" s="1140"/>
      <c r="Q15" s="1140"/>
      <c r="R15" s="1140"/>
      <c r="S15" s="1140"/>
      <c r="T15" s="1140"/>
      <c r="U15" s="1140"/>
      <c r="V15" s="1167" t="s">
        <v>417</v>
      </c>
      <c r="W15" s="1168" t="s">
        <v>1040</v>
      </c>
      <c r="X15" s="1087"/>
    </row>
    <row r="16" spans="1:29" ht="33.75" customHeight="1">
      <c r="J16" s="437"/>
      <c r="K16" s="437"/>
      <c r="L16" s="1166"/>
      <c r="M16" s="1167"/>
      <c r="N16" s="445"/>
      <c r="O16" s="1169" t="s">
        <v>420</v>
      </c>
      <c r="P16" s="1169" t="s">
        <v>421</v>
      </c>
      <c r="Q16" s="1087" t="s">
        <v>422</v>
      </c>
      <c r="R16" s="1087"/>
      <c r="S16" s="1087" t="s">
        <v>435</v>
      </c>
      <c r="T16" s="1087"/>
      <c r="U16" s="1087"/>
      <c r="V16" s="1167"/>
      <c r="W16" s="1168"/>
      <c r="X16" s="1087"/>
    </row>
    <row r="17" spans="1:29" ht="33.75" customHeight="1">
      <c r="A17" s="142" t="s">
        <v>130</v>
      </c>
      <c r="B17" s="142" t="s">
        <v>131</v>
      </c>
      <c r="C17" s="142" t="s">
        <v>132</v>
      </c>
      <c r="D17" s="142" t="s">
        <v>133</v>
      </c>
      <c r="E17" s="142"/>
      <c r="J17" s="437"/>
      <c r="K17" s="437"/>
      <c r="L17" s="1166"/>
      <c r="M17" s="1167"/>
      <c r="N17" s="446"/>
      <c r="O17" s="1169"/>
      <c r="P17" s="1169"/>
      <c r="Q17" s="203" t="s">
        <v>431</v>
      </c>
      <c r="R17" s="203" t="s">
        <v>432</v>
      </c>
      <c r="S17" s="203" t="s">
        <v>433</v>
      </c>
      <c r="T17" s="1108" t="s">
        <v>434</v>
      </c>
      <c r="U17" s="1108"/>
      <c r="V17" s="1167"/>
      <c r="W17" s="1168"/>
      <c r="X17" s="1087"/>
    </row>
    <row r="18" spans="1:29" s="123" customFormat="1" ht="11.25" customHeight="1">
      <c r="A18" s="142"/>
      <c r="B18" s="142"/>
      <c r="C18" s="142"/>
      <c r="D18" s="142"/>
      <c r="E18" s="142"/>
      <c r="F18" s="57"/>
      <c r="G18" s="57"/>
      <c r="H18" s="57"/>
      <c r="I18" s="447"/>
      <c r="J18" s="448"/>
      <c r="K18" s="449">
        <v>1</v>
      </c>
      <c r="L18" s="450" t="s">
        <v>105</v>
      </c>
      <c r="M18" s="451" t="s">
        <v>106</v>
      </c>
      <c r="N18" s="452" t="str">
        <f ca="1">OFFSET(N18,0,-1)</f>
        <v>2</v>
      </c>
      <c r="O18" s="453">
        <f ca="1">OFFSET(O18,0,-1)+1</f>
        <v>3</v>
      </c>
      <c r="P18" s="453"/>
      <c r="Q18" s="453">
        <f ca="1">OFFSET(Q18,0,-1)+1</f>
        <v>1</v>
      </c>
      <c r="R18" s="453">
        <f ca="1">OFFSET(R18,0,-1)+1</f>
        <v>2</v>
      </c>
      <c r="S18" s="453">
        <f ca="1">OFFSET(S18,0,-1)+1</f>
        <v>3</v>
      </c>
      <c r="T18" s="1170">
        <f ca="1">OFFSET(T18,0,-1)+1</f>
        <v>4</v>
      </c>
      <c r="U18" s="1170"/>
      <c r="V18" s="453">
        <f ca="1">OFFSET(V18,0,-2)+1</f>
        <v>5</v>
      </c>
      <c r="W18" s="452">
        <f ca="1">OFFSET(W18,0,-1)</f>
        <v>5</v>
      </c>
      <c r="X18" s="453">
        <f ca="1">OFFSET(X18,0,-1)+1</f>
        <v>6</v>
      </c>
      <c r="Y18" s="53"/>
      <c r="Z18" s="53"/>
      <c r="AA18" s="53"/>
      <c r="AB18" s="53"/>
      <c r="AC18" s="53"/>
    </row>
    <row r="19" spans="1:29" ht="21" customHeight="1">
      <c r="A19" s="390" t="s">
        <v>164</v>
      </c>
      <c r="B19" s="390" t="s">
        <v>165</v>
      </c>
      <c r="C19" s="390" t="s">
        <v>166</v>
      </c>
      <c r="D19" s="390" t="s">
        <v>167</v>
      </c>
      <c r="E19" s="390"/>
      <c r="F19" s="392"/>
      <c r="G19" s="392"/>
      <c r="H19" s="392"/>
      <c r="J19" s="134"/>
      <c r="K19" s="393"/>
      <c r="L19" s="394">
        <f>INDEX(PT_DIFFERENTIATION_NUM_NTAR,MATCH(A19,PT_DIFFERENTIATION_NTAR_ID,0))</f>
        <v>0</v>
      </c>
      <c r="M19" s="395" t="s">
        <v>119</v>
      </c>
      <c r="N19" s="396"/>
      <c r="O19" s="1310" t="str">
        <f>INDEX(PT_DIFFERENTIATION_NTAR,MATCH(A19,PT_DIFFERENTIATION_NTAR_ID,0))</f>
        <v/>
      </c>
      <c r="P19" s="1310"/>
      <c r="Q19" s="1310"/>
      <c r="R19" s="1310"/>
      <c r="S19" s="1310"/>
      <c r="T19" s="1310"/>
      <c r="U19" s="1310"/>
      <c r="V19" s="1310"/>
      <c r="W19" s="1310"/>
      <c r="X19" s="397" t="s">
        <v>385</v>
      </c>
      <c r="Z19" s="121"/>
      <c r="AA19" s="121" t="str">
        <f t="shared" ref="AA19:AA32" si="0">IF(M19="","",M19)</f>
        <v>Наименование тарифа</v>
      </c>
      <c r="AB19" s="121"/>
      <c r="AC19" s="121"/>
    </row>
    <row r="20" spans="1:29" ht="21" customHeight="1">
      <c r="A20" s="390" t="s">
        <v>164</v>
      </c>
      <c r="B20" s="390" t="s">
        <v>165</v>
      </c>
      <c r="C20" s="390" t="s">
        <v>166</v>
      </c>
      <c r="D20" s="390" t="s">
        <v>167</v>
      </c>
      <c r="E20" s="390"/>
      <c r="F20" s="392"/>
      <c r="G20" s="392"/>
      <c r="H20" s="392"/>
      <c r="I20" s="47"/>
      <c r="J20" s="398"/>
      <c r="K20" s="399"/>
      <c r="L20" s="394" t="str">
        <f>INDEX(PT_DIFFERENTIATION_NUM_TER,MATCH(B19,PT_DIFFERENTIATION_TER_ID,0))</f>
        <v>.</v>
      </c>
      <c r="M20" s="400" t="s">
        <v>386</v>
      </c>
      <c r="N20" s="396"/>
      <c r="O20" s="1310" t="str">
        <f>INDEX(PT_DIFFERENTIATION_TER,MATCH(B19,PT_DIFFERENTIATION_TER_ID,0))</f>
        <v/>
      </c>
      <c r="P20" s="1310"/>
      <c r="Q20" s="1310"/>
      <c r="R20" s="1310"/>
      <c r="S20" s="1310"/>
      <c r="T20" s="1310"/>
      <c r="U20" s="1310"/>
      <c r="V20" s="1310"/>
      <c r="W20" s="1310"/>
      <c r="X20" s="397" t="s">
        <v>387</v>
      </c>
      <c r="Z20" s="121"/>
      <c r="AA20" s="121" t="str">
        <f t="shared" si="0"/>
        <v>Территория действия тарифа</v>
      </c>
      <c r="AB20" s="121"/>
      <c r="AC20" s="121"/>
    </row>
    <row r="21" spans="1:29" ht="22.5" customHeight="1">
      <c r="A21" s="390" t="s">
        <v>164</v>
      </c>
      <c r="B21" s="390" t="s">
        <v>165</v>
      </c>
      <c r="C21" s="390" t="s">
        <v>166</v>
      </c>
      <c r="D21" s="390" t="s">
        <v>167</v>
      </c>
      <c r="E21" s="390"/>
      <c r="F21" s="392"/>
      <c r="G21" s="392"/>
      <c r="H21" s="392"/>
      <c r="I21" s="401"/>
      <c r="J21" s="398"/>
      <c r="K21" s="399"/>
      <c r="L21" s="394" t="str">
        <f>INDEX(PT_DIFFERENTIATION_NUM_CS,MATCH(C19,PT_DIFFERENTIATION_CS_ID,0))</f>
        <v>..</v>
      </c>
      <c r="M21" s="402" t="s">
        <v>388</v>
      </c>
      <c r="N21" s="396"/>
      <c r="O21" s="1310" t="str">
        <f>INDEX(PT_DIFFERENTIATION_CS,MATCH(C19,PT_DIFFERENTIATION_CS_ID,0))</f>
        <v/>
      </c>
      <c r="P21" s="1310"/>
      <c r="Q21" s="1310"/>
      <c r="R21" s="1310"/>
      <c r="S21" s="1310"/>
      <c r="T21" s="1310"/>
      <c r="U21" s="1310"/>
      <c r="V21" s="1310"/>
      <c r="W21" s="1310"/>
      <c r="X21" s="397" t="s">
        <v>389</v>
      </c>
      <c r="Z21" s="121"/>
      <c r="AA21" s="121" t="str">
        <f t="shared" si="0"/>
        <v xml:space="preserve">Наименование системы теплоснабжения </v>
      </c>
      <c r="AB21" s="121"/>
      <c r="AC21" s="121"/>
    </row>
    <row r="22" spans="1:29" ht="21" customHeight="1">
      <c r="A22" s="390" t="s">
        <v>164</v>
      </c>
      <c r="B22" s="390" t="s">
        <v>165</v>
      </c>
      <c r="C22" s="390" t="s">
        <v>166</v>
      </c>
      <c r="D22" s="390" t="s">
        <v>167</v>
      </c>
      <c r="E22" s="390"/>
      <c r="F22" s="392"/>
      <c r="G22" s="392"/>
      <c r="H22" s="392"/>
      <c r="I22" s="401"/>
      <c r="J22" s="398"/>
      <c r="K22" s="399"/>
      <c r="L22" s="394" t="str">
        <f>INDEX(PT_DIFFERENTIATION_NUM_IST_TE,MATCH(D19,PT_DIFFERENTIATION_IST_TE_ID,0))</f>
        <v>...</v>
      </c>
      <c r="M22" s="403" t="s">
        <v>390</v>
      </c>
      <c r="N22" s="396"/>
      <c r="O22" s="1310" t="str">
        <f>INDEX(PT_DIFFERENTIATION_IST_TE,MATCH(D19,PT_DIFFERENTIATION_IST_TE_ID,0))</f>
        <v/>
      </c>
      <c r="P22" s="1310"/>
      <c r="Q22" s="1310"/>
      <c r="R22" s="1310"/>
      <c r="S22" s="1310"/>
      <c r="T22" s="1310"/>
      <c r="U22" s="1310"/>
      <c r="V22" s="1310"/>
      <c r="W22" s="1310"/>
      <c r="X22" s="397" t="s">
        <v>391</v>
      </c>
      <c r="Z22" s="121"/>
      <c r="AA22" s="121" t="str">
        <f t="shared" si="0"/>
        <v xml:space="preserve">Источник тепловой энергии  </v>
      </c>
      <c r="AB22" s="121"/>
      <c r="AC22" s="121"/>
    </row>
    <row r="23" spans="1:29" ht="94.5" customHeight="1">
      <c r="A23" s="390" t="s">
        <v>164</v>
      </c>
      <c r="B23" s="390" t="s">
        <v>165</v>
      </c>
      <c r="C23" s="390" t="s">
        <v>166</v>
      </c>
      <c r="D23" s="390" t="s">
        <v>167</v>
      </c>
      <c r="E23" s="390"/>
      <c r="F23" s="1146" t="str">
        <f>L22&amp;".1"</f>
        <v>....1</v>
      </c>
      <c r="I23" s="1156">
        <v>1</v>
      </c>
      <c r="J23" s="124"/>
      <c r="K23" s="405"/>
      <c r="L23" s="394" t="str">
        <f>$F$23</f>
        <v>....1</v>
      </c>
      <c r="M23" s="406" t="s">
        <v>393</v>
      </c>
      <c r="N23" s="396"/>
      <c r="O23" s="1311"/>
      <c r="P23" s="1311"/>
      <c r="Q23" s="1311"/>
      <c r="R23" s="1311"/>
      <c r="S23" s="1311"/>
      <c r="T23" s="1311"/>
      <c r="U23" s="1311"/>
      <c r="V23" s="1311"/>
      <c r="W23" s="1311"/>
      <c r="X23" s="397" t="s">
        <v>394</v>
      </c>
      <c r="Z23" s="121"/>
      <c r="AA23" s="121" t="str">
        <f t="shared" si="0"/>
        <v>Схема подключения теплопотребляющей установки к коллектору источника тепловой энергии</v>
      </c>
      <c r="AB23" s="121"/>
      <c r="AC23" s="121"/>
    </row>
    <row r="24" spans="1:29" ht="84" customHeight="1">
      <c r="A24" s="390" t="s">
        <v>164</v>
      </c>
      <c r="B24" s="390" t="s">
        <v>165</v>
      </c>
      <c r="C24" s="390" t="s">
        <v>166</v>
      </c>
      <c r="D24" s="390" t="s">
        <v>167</v>
      </c>
      <c r="E24" s="390"/>
      <c r="F24" s="1146"/>
      <c r="G24" s="1146" t="str">
        <f>F23&amp;".1"</f>
        <v>....1.1</v>
      </c>
      <c r="I24" s="1156"/>
      <c r="J24" s="1156">
        <v>1</v>
      </c>
      <c r="K24" s="408"/>
      <c r="L24" s="394" t="str">
        <f>$G$24</f>
        <v>....1.1</v>
      </c>
      <c r="M24" s="409" t="s">
        <v>396</v>
      </c>
      <c r="N24" s="396"/>
      <c r="O24" s="1311"/>
      <c r="P24" s="1311"/>
      <c r="Q24" s="1311"/>
      <c r="R24" s="1311"/>
      <c r="S24" s="1311"/>
      <c r="T24" s="1311"/>
      <c r="U24" s="1311"/>
      <c r="V24" s="1311"/>
      <c r="W24" s="1311"/>
      <c r="X24" s="397" t="s">
        <v>397</v>
      </c>
      <c r="Z24" s="121"/>
      <c r="AA24" s="121" t="str">
        <f t="shared" si="0"/>
        <v>Группа потребителей</v>
      </c>
      <c r="AB24" s="121"/>
      <c r="AC24" s="121"/>
    </row>
    <row r="25" spans="1:29" ht="11.25" customHeight="1">
      <c r="A25" s="390" t="s">
        <v>164</v>
      </c>
      <c r="B25" s="390" t="s">
        <v>165</v>
      </c>
      <c r="C25" s="390" t="s">
        <v>166</v>
      </c>
      <c r="D25" s="390" t="s">
        <v>167</v>
      </c>
      <c r="E25" s="390"/>
      <c r="F25" s="1146"/>
      <c r="G25" s="1146"/>
      <c r="H25" s="1146" t="str">
        <f>G24&amp;".1"</f>
        <v>....1.1.1</v>
      </c>
      <c r="I25" s="1156"/>
      <c r="J25" s="1156"/>
      <c r="K25" s="408">
        <v>1</v>
      </c>
      <c r="L25" s="394" t="str">
        <f>$H$25</f>
        <v>....1.1.1</v>
      </c>
      <c r="M25" s="1040"/>
      <c r="N25" s="396"/>
      <c r="O25" s="411"/>
      <c r="P25" s="412"/>
      <c r="Q25" s="411"/>
      <c r="R25" s="413"/>
      <c r="S25" s="1158"/>
      <c r="T25" s="1105" t="s">
        <v>63</v>
      </c>
      <c r="U25" s="1158"/>
      <c r="V25" s="1105" t="s">
        <v>53</v>
      </c>
      <c r="W25" s="412"/>
      <c r="X25" s="1159" t="s">
        <v>399</v>
      </c>
      <c r="Y25" s="53" t="e">
        <f ca="1">strcheckdate(O26:W26)</f>
        <v>#NAME?</v>
      </c>
      <c r="Z25" s="121"/>
      <c r="AA25" s="121" t="str">
        <f t="shared" si="0"/>
        <v/>
      </c>
      <c r="AB25" s="121"/>
      <c r="AC25" s="121"/>
    </row>
    <row r="26" spans="1:29" ht="11.25" customHeight="1">
      <c r="A26" s="390" t="s">
        <v>164</v>
      </c>
      <c r="B26" s="390" t="s">
        <v>165</v>
      </c>
      <c r="C26" s="390" t="s">
        <v>166</v>
      </c>
      <c r="D26" s="390" t="s">
        <v>167</v>
      </c>
      <c r="E26" s="390"/>
      <c r="F26" s="1146"/>
      <c r="G26" s="1146"/>
      <c r="H26" s="1146"/>
      <c r="I26" s="1156"/>
      <c r="J26" s="1156"/>
      <c r="K26" s="408"/>
      <c r="L26" s="370"/>
      <c r="M26" s="396"/>
      <c r="N26" s="396"/>
      <c r="O26" s="412"/>
      <c r="P26" s="412"/>
      <c r="Q26" s="412"/>
      <c r="R26" s="415" t="str">
        <f>S25&amp;"-"&amp;U25</f>
        <v>-</v>
      </c>
      <c r="S26" s="1158"/>
      <c r="T26" s="1105"/>
      <c r="U26" s="1158"/>
      <c r="V26" s="1105"/>
      <c r="W26" s="412"/>
      <c r="X26" s="1159"/>
      <c r="Z26" s="121"/>
      <c r="AA26" s="121" t="str">
        <f t="shared" si="0"/>
        <v/>
      </c>
      <c r="AB26" s="121"/>
      <c r="AC26" s="121"/>
    </row>
    <row r="27" spans="1:29" ht="15" customHeight="1">
      <c r="A27" s="390" t="s">
        <v>164</v>
      </c>
      <c r="B27" s="390" t="s">
        <v>165</v>
      </c>
      <c r="C27" s="390" t="s">
        <v>166</v>
      </c>
      <c r="D27" s="390" t="s">
        <v>167</v>
      </c>
      <c r="E27" s="390"/>
      <c r="F27" s="1146"/>
      <c r="G27" s="1146"/>
      <c r="I27" s="1156"/>
      <c r="J27" s="1156"/>
      <c r="K27" s="405"/>
      <c r="L27" s="416"/>
      <c r="M27" s="417" t="s">
        <v>400</v>
      </c>
      <c r="N27" s="186"/>
      <c r="O27" s="186"/>
      <c r="P27" s="186"/>
      <c r="Q27" s="186"/>
      <c r="R27" s="186"/>
      <c r="S27" s="186"/>
      <c r="T27" s="186"/>
      <c r="U27" s="186"/>
      <c r="V27" s="186"/>
      <c r="W27" s="418"/>
      <c r="X27" s="1159"/>
      <c r="Z27" s="121"/>
      <c r="AA27" s="121" t="str">
        <f t="shared" si="0"/>
        <v>Добавить вид теплоносителя (параметры теплоносителя)</v>
      </c>
      <c r="AB27" s="121"/>
      <c r="AC27" s="121"/>
    </row>
    <row r="28" spans="1:29" ht="15" customHeight="1">
      <c r="A28" s="390" t="s">
        <v>164</v>
      </c>
      <c r="B28" s="390" t="s">
        <v>165</v>
      </c>
      <c r="C28" s="390" t="s">
        <v>166</v>
      </c>
      <c r="D28" s="390" t="s">
        <v>167</v>
      </c>
      <c r="E28" s="390"/>
      <c r="F28" s="1146"/>
      <c r="I28" s="1156"/>
      <c r="J28" s="124"/>
      <c r="K28" s="405"/>
      <c r="L28" s="416"/>
      <c r="M28" s="419" t="s">
        <v>401</v>
      </c>
      <c r="N28" s="186"/>
      <c r="O28" s="186"/>
      <c r="P28" s="186"/>
      <c r="Q28" s="186"/>
      <c r="R28" s="186"/>
      <c r="S28" s="186"/>
      <c r="T28" s="186"/>
      <c r="U28" s="186"/>
      <c r="V28" s="420"/>
      <c r="W28" s="186"/>
      <c r="X28" s="421"/>
      <c r="Z28" s="121"/>
      <c r="AA28" s="121" t="str">
        <f t="shared" si="0"/>
        <v>Добавить группу потребителей</v>
      </c>
      <c r="AB28" s="121"/>
      <c r="AC28" s="121"/>
    </row>
    <row r="29" spans="1:29" ht="14.25" customHeight="1">
      <c r="A29" s="390" t="s">
        <v>164</v>
      </c>
      <c r="B29" s="390" t="s">
        <v>165</v>
      </c>
      <c r="C29" s="390" t="s">
        <v>166</v>
      </c>
      <c r="D29" s="390" t="s">
        <v>167</v>
      </c>
      <c r="E29" s="390"/>
      <c r="F29" s="392"/>
      <c r="G29" s="392"/>
      <c r="H29" s="49"/>
      <c r="I29" s="134"/>
      <c r="J29" s="422"/>
      <c r="K29" s="393"/>
      <c r="L29" s="416"/>
      <c r="M29" s="423" t="s">
        <v>402</v>
      </c>
      <c r="N29" s="186"/>
      <c r="O29" s="186"/>
      <c r="P29" s="186"/>
      <c r="Q29" s="186"/>
      <c r="R29" s="186"/>
      <c r="S29" s="186"/>
      <c r="T29" s="186"/>
      <c r="U29" s="186"/>
      <c r="V29" s="420"/>
      <c r="W29" s="186"/>
      <c r="X29" s="421"/>
      <c r="Z29" s="121"/>
      <c r="AA29" s="121" t="str">
        <f t="shared" si="0"/>
        <v>Добавить схему подключения</v>
      </c>
      <c r="AB29" s="121"/>
      <c r="AC29" s="121"/>
    </row>
    <row r="30" spans="1:29" ht="14.25" customHeight="1">
      <c r="A30" s="390" t="s">
        <v>164</v>
      </c>
      <c r="B30" s="390" t="s">
        <v>165</v>
      </c>
      <c r="C30" s="390" t="s">
        <v>166</v>
      </c>
      <c r="D30" s="390"/>
      <c r="E30" s="390" t="s">
        <v>566</v>
      </c>
      <c r="F30" s="392"/>
      <c r="G30" s="392"/>
      <c r="H30" s="49"/>
      <c r="I30" s="134"/>
      <c r="J30" s="422"/>
      <c r="K30" s="393"/>
      <c r="L30" s="1041"/>
      <c r="M30" s="1042"/>
      <c r="N30" s="1043"/>
      <c r="O30" s="1043"/>
      <c r="P30" s="1043"/>
      <c r="Q30" s="1043"/>
      <c r="R30" s="1043"/>
      <c r="S30" s="1043"/>
      <c r="T30" s="1043"/>
      <c r="U30" s="1043"/>
      <c r="V30" s="1044"/>
      <c r="W30" s="1043"/>
      <c r="X30" s="1045"/>
      <c r="Z30" s="121"/>
      <c r="AA30" s="121" t="str">
        <f t="shared" si="0"/>
        <v/>
      </c>
      <c r="AB30" s="121"/>
      <c r="AC30" s="121"/>
    </row>
    <row r="31" spans="1:29" ht="14.25" customHeight="1">
      <c r="A31" s="390" t="s">
        <v>164</v>
      </c>
      <c r="B31" s="390" t="s">
        <v>165</v>
      </c>
      <c r="C31" s="390"/>
      <c r="D31" s="390"/>
      <c r="E31" s="390" t="s">
        <v>2124</v>
      </c>
      <c r="F31" s="505"/>
      <c r="G31" s="505"/>
      <c r="H31" s="49"/>
      <c r="I31" s="234"/>
      <c r="J31" s="422"/>
      <c r="K31" s="899"/>
      <c r="L31" s="1041"/>
      <c r="M31" s="1046"/>
      <c r="N31" s="1043"/>
      <c r="O31" s="1043"/>
      <c r="P31" s="1043"/>
      <c r="Q31" s="1043"/>
      <c r="R31" s="1043"/>
      <c r="S31" s="1043"/>
      <c r="T31" s="1043"/>
      <c r="U31" s="1043"/>
      <c r="V31" s="1044"/>
      <c r="W31" s="1043"/>
      <c r="X31" s="1045"/>
      <c r="Z31" s="121"/>
      <c r="AA31" s="121" t="str">
        <f t="shared" si="0"/>
        <v/>
      </c>
      <c r="AB31" s="121"/>
      <c r="AC31" s="121"/>
    </row>
    <row r="32" spans="1:29" ht="14.25" customHeight="1">
      <c r="A32" s="390" t="s">
        <v>2125</v>
      </c>
      <c r="B32" s="390"/>
      <c r="C32" s="390"/>
      <c r="D32" s="390"/>
      <c r="E32" s="390" t="s">
        <v>100</v>
      </c>
      <c r="F32" s="505"/>
      <c r="G32" s="505"/>
      <c r="H32" s="49"/>
      <c r="I32" s="134"/>
      <c r="J32" s="422"/>
      <c r="K32" s="393"/>
      <c r="L32" s="1041"/>
      <c r="M32" s="1047"/>
      <c r="N32" s="1043"/>
      <c r="O32" s="1043"/>
      <c r="P32" s="1043"/>
      <c r="Q32" s="1043"/>
      <c r="R32" s="1043"/>
      <c r="S32" s="1043"/>
      <c r="T32" s="1043"/>
      <c r="U32" s="1043"/>
      <c r="V32" s="1044"/>
      <c r="W32" s="1043"/>
      <c r="X32" s="1045"/>
      <c r="Z32" s="121"/>
      <c r="AA32" s="121" t="str">
        <f t="shared" si="0"/>
        <v/>
      </c>
      <c r="AB32" s="121"/>
      <c r="AC32" s="121"/>
    </row>
    <row r="33" spans="1:29" s="59" customFormat="1" ht="11.25" customHeight="1">
      <c r="A33" s="390"/>
      <c r="B33" s="390"/>
      <c r="C33" s="390"/>
      <c r="D33" s="390"/>
      <c r="E33" s="390" t="s">
        <v>255</v>
      </c>
      <c r="F33" s="505"/>
      <c r="G33" s="1048"/>
      <c r="H33" s="49"/>
      <c r="L33" s="1049"/>
      <c r="M33" s="1050"/>
      <c r="N33" s="1043"/>
      <c r="O33" s="1043"/>
      <c r="P33" s="1043"/>
      <c r="Q33" s="1043"/>
      <c r="R33" s="1043"/>
      <c r="S33" s="1043"/>
      <c r="T33" s="1043"/>
      <c r="U33" s="1043"/>
      <c r="V33" s="1044"/>
      <c r="W33" s="1043"/>
      <c r="X33" s="1045"/>
      <c r="Y33" s="158"/>
      <c r="Z33" s="158"/>
      <c r="AA33" s="158"/>
      <c r="AB33" s="158"/>
      <c r="AC33" s="158"/>
    </row>
    <row r="34" spans="1:29" ht="11.25" customHeight="1">
      <c r="F34" s="49"/>
      <c r="G34" s="49"/>
      <c r="H34" s="49"/>
      <c r="I34" s="46"/>
      <c r="J34" s="46"/>
      <c r="K34" s="46"/>
      <c r="Y34" s="46"/>
      <c r="Z34" s="46"/>
      <c r="AA34" s="46"/>
      <c r="AB34" s="46"/>
      <c r="AC34" s="46"/>
    </row>
    <row r="35" spans="1:29" ht="27" customHeight="1">
      <c r="H35" s="49"/>
      <c r="L35" s="456" t="s">
        <v>698</v>
      </c>
      <c r="M35" s="1312" t="s">
        <v>2126</v>
      </c>
      <c r="N35" s="1312"/>
      <c r="O35" s="1312"/>
      <c r="P35" s="1312"/>
      <c r="Q35" s="1312"/>
      <c r="R35" s="1312"/>
      <c r="S35" s="1312"/>
      <c r="T35" s="1312"/>
      <c r="U35" s="1312"/>
      <c r="V35" s="1312"/>
      <c r="W35" s="1312"/>
      <c r="X35" s="1312"/>
    </row>
    <row r="36" spans="1:29" ht="104.25" customHeight="1">
      <c r="H36" s="49"/>
      <c r="M36" s="1171" t="s">
        <v>2127</v>
      </c>
      <c r="N36" s="1171"/>
      <c r="O36" s="1171"/>
      <c r="P36" s="1171"/>
      <c r="Q36" s="1171"/>
      <c r="R36" s="1171"/>
      <c r="S36" s="1171"/>
      <c r="T36" s="1171"/>
      <c r="U36" s="1171"/>
      <c r="V36" s="1171"/>
      <c r="W36" s="1171"/>
      <c r="X36" s="1171"/>
    </row>
    <row r="37" spans="1:29" ht="14.25" customHeight="1">
      <c r="H37" s="49"/>
    </row>
    <row r="38" spans="1:29" ht="14.25" customHeight="1">
      <c r="H38" s="49"/>
    </row>
    <row r="39" spans="1:29" ht="14.25" customHeight="1">
      <c r="H39" s="49"/>
    </row>
    <row r="40" spans="1:29" ht="14.25" customHeight="1">
      <c r="H40" s="49"/>
    </row>
  </sheetData>
  <mergeCells count="39">
    <mergeCell ref="X25:X27"/>
    <mergeCell ref="M35:X35"/>
    <mergeCell ref="M36:X36"/>
    <mergeCell ref="F23:F28"/>
    <mergeCell ref="I23:I28"/>
    <mergeCell ref="O23:W23"/>
    <mergeCell ref="G24:G27"/>
    <mergeCell ref="J24:J27"/>
    <mergeCell ref="O24:W24"/>
    <mergeCell ref="H25:H26"/>
    <mergeCell ref="S25:S26"/>
    <mergeCell ref="T25:T26"/>
    <mergeCell ref="U25:U26"/>
    <mergeCell ref="V25:V26"/>
    <mergeCell ref="T18:U18"/>
    <mergeCell ref="O19:W19"/>
    <mergeCell ref="O20:W20"/>
    <mergeCell ref="O21:W21"/>
    <mergeCell ref="O22:W22"/>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s>
  <dataValidations count="3">
    <dataValidation allowBlank="1" showInputMessage="1" showErrorMessage="1" prompt="Для выбора выполните двойной щелчок левой клавиши мыши по соответствующей ячейке." sqref="T25 V25">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5 U25">
      <formula1>0</formula1>
      <formula2>0</formula2>
    </dataValidation>
    <dataValidation allowBlank="1" promptTitle="checkPeriodRange" sqref="R26">
      <formula1>0</formula1>
      <formula2>0</formula2>
    </dataValidation>
  </dataValidations>
  <pageMargins left="0.7" right="0.7" top="0.625" bottom="0.625" header="0.3" footer="0.3"/>
  <pageSetup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C40"/>
  <sheetViews>
    <sheetView showGridLines="0" topLeftCell="A4" zoomScaleNormal="100" workbookViewId="0"/>
  </sheetViews>
  <sheetFormatPr defaultColWidth="10.5703125" defaultRowHeight="14.25"/>
  <cols>
    <col min="1" max="1" width="11.5703125" style="46" customWidth="1"/>
    <col min="2" max="2" width="10.7109375" style="46" customWidth="1"/>
    <col min="3" max="3" width="10" style="46" customWidth="1"/>
    <col min="4" max="4" width="12.85546875" style="46" customWidth="1"/>
    <col min="5" max="5" width="12.28515625" style="46" customWidth="1"/>
    <col min="6" max="8" width="12.28515625" style="56" customWidth="1"/>
    <col min="9" max="9" width="3.7109375" style="56" customWidth="1"/>
    <col min="10" max="11" width="3.7109375" style="389" customWidth="1"/>
    <col min="12" max="12" width="12.7109375" style="254" customWidth="1"/>
    <col min="13" max="13" width="32" style="46" customWidth="1"/>
    <col min="14" max="14" width="1.7109375" style="46" customWidth="1"/>
    <col min="15" max="18" width="24.7109375" style="46" customWidth="1"/>
    <col min="19" max="19" width="11.7109375" style="46" customWidth="1"/>
    <col min="20" max="20" width="3.7109375" style="46" customWidth="1"/>
    <col min="21" max="21" width="11.7109375" style="46" customWidth="1"/>
    <col min="22" max="22" width="8.5703125" style="46" customWidth="1"/>
    <col min="23" max="23" width="4.7109375" style="46" customWidth="1"/>
    <col min="24" max="24" width="115.7109375" style="46" customWidth="1"/>
    <col min="25" max="26" width="10.5703125" style="53"/>
    <col min="27" max="27" width="11.140625" style="53" customWidth="1"/>
    <col min="28" max="29" width="10.5703125" style="53"/>
  </cols>
  <sheetData>
    <row r="1" spans="6:29" ht="14.25" hidden="1" customHeight="1"/>
    <row r="2" spans="6:29" ht="14.25" hidden="1" customHeight="1"/>
    <row r="3" spans="6:29" ht="14.25" hidden="1" customHeight="1"/>
    <row r="4" spans="6:29" ht="14.25" customHeight="1">
      <c r="J4" s="437"/>
      <c r="K4" s="437"/>
      <c r="L4" s="438"/>
      <c r="M4" s="83"/>
      <c r="N4" s="83"/>
    </row>
    <row r="5" spans="6:29" ht="64.5" customHeight="1">
      <c r="J5" s="437"/>
      <c r="K5" s="437"/>
      <c r="L5" s="1307" t="s">
        <v>2122</v>
      </c>
      <c r="M5" s="1307"/>
      <c r="N5" s="1307"/>
      <c r="O5" s="1307"/>
      <c r="P5" s="1307"/>
      <c r="Q5" s="1307"/>
      <c r="R5" s="1307"/>
      <c r="S5" s="1307"/>
      <c r="T5" s="1307"/>
      <c r="U5" s="1307"/>
      <c r="V5" s="201"/>
    </row>
    <row r="6" spans="6:29" ht="14.25" customHeight="1">
      <c r="J6" s="437"/>
      <c r="K6" s="437"/>
      <c r="L6" s="1308" t="str">
        <f>IF(org=0,"Не определено",org)</f>
        <v>Филиал ПАО "ОГК-2" - Серовская ГРЭС, г. Серов</v>
      </c>
      <c r="M6" s="1308"/>
      <c r="N6" s="1308"/>
      <c r="O6" s="1308"/>
      <c r="P6" s="1308"/>
      <c r="Q6" s="1308"/>
      <c r="R6" s="1308"/>
      <c r="S6" s="1308"/>
      <c r="T6" s="1308"/>
      <c r="U6" s="1308"/>
      <c r="V6" s="201"/>
    </row>
    <row r="7" spans="6:29" ht="14.25" customHeight="1">
      <c r="J7" s="437"/>
      <c r="K7" s="437"/>
      <c r="L7" s="438"/>
      <c r="M7" s="83"/>
      <c r="N7" s="83"/>
      <c r="O7" s="439"/>
      <c r="P7" s="439"/>
      <c r="Q7" s="439"/>
      <c r="R7" s="439"/>
      <c r="S7" s="439"/>
      <c r="T7" s="439"/>
      <c r="U7" s="439"/>
      <c r="V7" s="439"/>
    </row>
    <row r="8" spans="6:29" s="174" customFormat="1" ht="45" customHeight="1">
      <c r="F8" s="100"/>
      <c r="G8" s="100"/>
      <c r="H8" s="100"/>
      <c r="L8" s="951"/>
      <c r="M8" s="440" t="s">
        <v>37</v>
      </c>
      <c r="N8" s="935"/>
      <c r="O8" s="1163" t="str">
        <f>IF(TITLE_NAME_OR_PR_CHANGE="",IF(TITLE_NAME_OR_PR="","",TITLE_NAME_OR_PR),TITLE_NAME_OR_PR_CHANGE)</f>
        <v>Региональная энергетическая комиссия Свердловской области</v>
      </c>
      <c r="P8" s="1163"/>
      <c r="Q8" s="1163"/>
      <c r="R8" s="1163"/>
      <c r="S8" s="1163"/>
      <c r="T8" s="1163"/>
      <c r="U8" s="1163"/>
      <c r="V8" s="46"/>
      <c r="W8" s="46"/>
      <c r="X8" s="442"/>
      <c r="Y8" s="121"/>
      <c r="Z8" s="121"/>
      <c r="AA8" s="121"/>
      <c r="AB8" s="121"/>
      <c r="AC8" s="121"/>
    </row>
    <row r="9" spans="6:29" s="174" customFormat="1" ht="22.5" customHeight="1">
      <c r="F9" s="100"/>
      <c r="G9" s="100"/>
      <c r="H9" s="100"/>
      <c r="L9" s="951"/>
      <c r="M9" s="440" t="s">
        <v>410</v>
      </c>
      <c r="N9" s="935"/>
      <c r="O9" s="1163">
        <f>IF(TITLE_DATE_CHANGE_PERIOD="",IF(TITLE_DATE_PR="","",TITLE_DATE_PR),TITLE_DATE_CHANGE_PERIOD)</f>
        <v>45266.462974536997</v>
      </c>
      <c r="P9" s="1163"/>
      <c r="Q9" s="1163"/>
      <c r="R9" s="1163"/>
      <c r="S9" s="1163"/>
      <c r="T9" s="1163"/>
      <c r="U9" s="1163"/>
      <c r="V9" s="46"/>
      <c r="W9" s="46"/>
      <c r="X9" s="442"/>
      <c r="Y9" s="121"/>
      <c r="Z9" s="121"/>
      <c r="AA9" s="121"/>
      <c r="AB9" s="121"/>
      <c r="AC9" s="121"/>
    </row>
    <row r="10" spans="6:29" s="174" customFormat="1" ht="22.5" customHeight="1">
      <c r="F10" s="100"/>
      <c r="G10" s="100"/>
      <c r="H10" s="100"/>
      <c r="L10" s="254"/>
      <c r="M10" s="440" t="s">
        <v>411</v>
      </c>
      <c r="N10" s="935"/>
      <c r="O10" s="1163" t="str">
        <f>IF(TITLE_NUMBER_PR_CHANGE="",IF(TITLE_NUMBER_PR="","",TITLE_NUMBER_PR),TITLE_NUMBER_PR_CHANGE)</f>
        <v>216-ПК</v>
      </c>
      <c r="P10" s="1163"/>
      <c r="Q10" s="1163"/>
      <c r="R10" s="1163"/>
      <c r="S10" s="1163"/>
      <c r="T10" s="1163"/>
      <c r="U10" s="1163"/>
      <c r="V10" s="46"/>
      <c r="W10" s="46"/>
      <c r="X10" s="442"/>
      <c r="Y10" s="121"/>
      <c r="Z10" s="121"/>
      <c r="AA10" s="121"/>
      <c r="AB10" s="121"/>
      <c r="AC10" s="121"/>
    </row>
    <row r="11" spans="6:29" s="174" customFormat="1" ht="22.5" customHeight="1">
      <c r="F11" s="100"/>
      <c r="G11" s="100"/>
      <c r="H11" s="100"/>
      <c r="L11" s="254"/>
      <c r="M11" s="440" t="s">
        <v>39</v>
      </c>
      <c r="N11" s="935"/>
      <c r="O11" s="1163" t="str">
        <f>IF(TITLE_IST_PUB_CHANGE="",IF(TITLE_IST_PUB="","",TITLE_IST_PUB),TITLE_IST_PUB_CHANGE)</f>
        <v>Региональная энергетическая комиссия Свердловской области</v>
      </c>
      <c r="P11" s="1163"/>
      <c r="Q11" s="1163"/>
      <c r="R11" s="1163"/>
      <c r="S11" s="1163"/>
      <c r="T11" s="1163"/>
      <c r="U11" s="1163"/>
      <c r="V11" s="46"/>
      <c r="W11" s="46"/>
      <c r="X11" s="442"/>
      <c r="Y11" s="121"/>
      <c r="Z11" s="121"/>
      <c r="AA11" s="121"/>
      <c r="AB11" s="121"/>
      <c r="AC11" s="121"/>
    </row>
    <row r="12" spans="6:29" s="174" customFormat="1" ht="11.25" hidden="1" customHeight="1">
      <c r="F12" s="100"/>
      <c r="G12" s="100"/>
      <c r="H12" s="100"/>
      <c r="L12" s="1309"/>
      <c r="M12" s="1309"/>
      <c r="N12" s="131"/>
      <c r="O12" s="46"/>
      <c r="P12" s="46"/>
      <c r="Q12" s="46"/>
      <c r="R12" s="46"/>
      <c r="S12" s="46"/>
      <c r="T12" s="46"/>
      <c r="U12" s="46"/>
      <c r="V12" s="53" t="s">
        <v>414</v>
      </c>
      <c r="Y12" s="121"/>
      <c r="Z12" s="121"/>
      <c r="AA12" s="121"/>
      <c r="AB12" s="121"/>
      <c r="AC12" s="121"/>
    </row>
    <row r="13" spans="6:29" ht="14.25" customHeight="1">
      <c r="J13" s="437"/>
      <c r="K13" s="437"/>
      <c r="L13" s="438"/>
      <c r="M13" s="83"/>
      <c r="N13" s="443"/>
      <c r="O13" s="1165"/>
      <c r="P13" s="1165"/>
      <c r="Q13" s="1165"/>
      <c r="R13" s="1165"/>
      <c r="S13" s="1165"/>
      <c r="T13" s="1165"/>
      <c r="U13" s="1165"/>
      <c r="V13" s="1165"/>
    </row>
    <row r="14" spans="6:29" ht="14.25" customHeight="1">
      <c r="J14" s="437"/>
      <c r="K14" s="437"/>
      <c r="L14" s="1087" t="s">
        <v>287</v>
      </c>
      <c r="M14" s="1087"/>
      <c r="N14" s="1087"/>
      <c r="O14" s="1087"/>
      <c r="P14" s="1087"/>
      <c r="Q14" s="1087"/>
      <c r="R14" s="1087"/>
      <c r="S14" s="1087"/>
      <c r="T14" s="1087"/>
      <c r="U14" s="1087"/>
      <c r="V14" s="1087"/>
      <c r="W14" s="1087"/>
      <c r="X14" s="1087" t="s">
        <v>288</v>
      </c>
    </row>
    <row r="15" spans="6:29" ht="14.25" customHeight="1">
      <c r="J15" s="437"/>
      <c r="K15" s="437"/>
      <c r="L15" s="1166" t="s">
        <v>84</v>
      </c>
      <c r="M15" s="1167" t="s">
        <v>415</v>
      </c>
      <c r="N15" s="444"/>
      <c r="O15" s="1140" t="s">
        <v>2123</v>
      </c>
      <c r="P15" s="1140"/>
      <c r="Q15" s="1140"/>
      <c r="R15" s="1140"/>
      <c r="S15" s="1140"/>
      <c r="T15" s="1140"/>
      <c r="U15" s="1140"/>
      <c r="V15" s="1167" t="s">
        <v>417</v>
      </c>
      <c r="W15" s="1168" t="s">
        <v>1040</v>
      </c>
      <c r="X15" s="1087"/>
    </row>
    <row r="16" spans="6:29" ht="33.75" customHeight="1">
      <c r="J16" s="437"/>
      <c r="K16" s="437"/>
      <c r="L16" s="1166"/>
      <c r="M16" s="1167"/>
      <c r="N16" s="445"/>
      <c r="O16" s="1169" t="s">
        <v>420</v>
      </c>
      <c r="P16" s="1169" t="s">
        <v>421</v>
      </c>
      <c r="Q16" s="1087" t="s">
        <v>422</v>
      </c>
      <c r="R16" s="1087"/>
      <c r="S16" s="1087" t="s">
        <v>435</v>
      </c>
      <c r="T16" s="1087"/>
      <c r="U16" s="1087"/>
      <c r="V16" s="1167"/>
      <c r="W16" s="1168"/>
      <c r="X16" s="1087"/>
    </row>
    <row r="17" spans="1:29" ht="33.75" customHeight="1">
      <c r="A17" s="100" t="s">
        <v>130</v>
      </c>
      <c r="B17" s="100" t="s">
        <v>131</v>
      </c>
      <c r="C17" s="100" t="s">
        <v>132</v>
      </c>
      <c r="D17" s="100" t="s">
        <v>133</v>
      </c>
      <c r="E17" s="100"/>
      <c r="J17" s="437"/>
      <c r="K17" s="437"/>
      <c r="L17" s="1166"/>
      <c r="M17" s="1167"/>
      <c r="N17" s="446"/>
      <c r="O17" s="1169"/>
      <c r="P17" s="1169"/>
      <c r="Q17" s="203" t="s">
        <v>431</v>
      </c>
      <c r="R17" s="203" t="s">
        <v>432</v>
      </c>
      <c r="S17" s="203" t="s">
        <v>433</v>
      </c>
      <c r="T17" s="1108" t="s">
        <v>434</v>
      </c>
      <c r="U17" s="1108"/>
      <c r="V17" s="1167"/>
      <c r="W17" s="1168"/>
      <c r="X17" s="1087"/>
    </row>
    <row r="18" spans="1:29" s="123" customFormat="1" ht="11.25" customHeight="1">
      <c r="A18" s="100"/>
      <c r="B18" s="100"/>
      <c r="C18" s="100"/>
      <c r="D18" s="100"/>
      <c r="E18" s="100"/>
      <c r="F18" s="56"/>
      <c r="G18" s="56"/>
      <c r="H18" s="56"/>
      <c r="I18" s="447"/>
      <c r="J18" s="448"/>
      <c r="K18" s="449">
        <v>1</v>
      </c>
      <c r="L18" s="450" t="s">
        <v>105</v>
      </c>
      <c r="M18" s="451" t="s">
        <v>106</v>
      </c>
      <c r="N18" s="452" t="str">
        <f ca="1">OFFSET(N18,0,-1)</f>
        <v>2</v>
      </c>
      <c r="O18" s="453">
        <f ca="1">OFFSET(O18,0,-1)+1</f>
        <v>3</v>
      </c>
      <c r="P18" s="453"/>
      <c r="Q18" s="453">
        <f ca="1">OFFSET(Q18,0,-1)+1</f>
        <v>1</v>
      </c>
      <c r="R18" s="453">
        <f ca="1">OFFSET(R18,0,-1)+1</f>
        <v>2</v>
      </c>
      <c r="S18" s="453">
        <f ca="1">OFFSET(S18,0,-1)+1</f>
        <v>3</v>
      </c>
      <c r="T18" s="1170">
        <f ca="1">OFFSET(T18,0,-1)+1</f>
        <v>4</v>
      </c>
      <c r="U18" s="1170"/>
      <c r="V18" s="453">
        <f ca="1">OFFSET(V18,0,-2)+1</f>
        <v>5</v>
      </c>
      <c r="W18" s="452">
        <f ca="1">OFFSET(W18,0,-1)</f>
        <v>5</v>
      </c>
      <c r="X18" s="453">
        <f ca="1">OFFSET(X18,0,-1)+1</f>
        <v>6</v>
      </c>
      <c r="Y18" s="53"/>
      <c r="Z18" s="53"/>
      <c r="AA18" s="53"/>
      <c r="AB18" s="53"/>
      <c r="AC18" s="53"/>
    </row>
    <row r="19" spans="1:29" ht="21" customHeight="1">
      <c r="A19" s="214" t="s">
        <v>2128</v>
      </c>
      <c r="B19" s="214" t="s">
        <v>2129</v>
      </c>
      <c r="C19" s="214" t="s">
        <v>2130</v>
      </c>
      <c r="D19" s="214" t="s">
        <v>2131</v>
      </c>
      <c r="E19" s="214"/>
      <c r="F19" s="254"/>
      <c r="G19" s="254"/>
      <c r="H19" s="254"/>
      <c r="J19" s="134"/>
      <c r="K19" s="393"/>
      <c r="L19" s="394" t="e">
        <f>INDEX(PT_DIFFERENTIATION_NUM_NTAR,MATCH(A19,PT_DIFFERENTIATION_NTAR_ID,0))</f>
        <v>#N/A</v>
      </c>
      <c r="M19" s="395" t="s">
        <v>119</v>
      </c>
      <c r="N19" s="396"/>
      <c r="O19" s="1310" t="e">
        <f>INDEX(PT_DIFFERENTIATION_NTAR,MATCH(A19,PT_DIFFERENTIATION_NTAR_ID,0))</f>
        <v>#N/A</v>
      </c>
      <c r="P19" s="1310"/>
      <c r="Q19" s="1310"/>
      <c r="R19" s="1310"/>
      <c r="S19" s="1310"/>
      <c r="T19" s="1310"/>
      <c r="U19" s="1310"/>
      <c r="V19" s="1310"/>
      <c r="W19" s="1310"/>
      <c r="X19" s="397" t="s">
        <v>385</v>
      </c>
      <c r="Z19" s="121"/>
      <c r="AA19" s="121" t="str">
        <f t="shared" ref="AA19:AA32" si="0">IF(M19="","",M19)</f>
        <v>Наименование тарифа</v>
      </c>
      <c r="AB19" s="121"/>
      <c r="AC19" s="121"/>
    </row>
    <row r="20" spans="1:29" ht="21" customHeight="1">
      <c r="A20" s="214" t="s">
        <v>2128</v>
      </c>
      <c r="B20" s="214" t="s">
        <v>2129</v>
      </c>
      <c r="C20" s="214" t="s">
        <v>2130</v>
      </c>
      <c r="D20" s="214" t="s">
        <v>2131</v>
      </c>
      <c r="E20" s="214"/>
      <c r="F20" s="254"/>
      <c r="G20" s="254"/>
      <c r="H20" s="254"/>
      <c r="I20" s="47"/>
      <c r="J20" s="398"/>
      <c r="K20" s="399"/>
      <c r="L20" s="394" t="e">
        <f>INDEX(PT_DIFFERENTIATION_NUM_TER,MATCH(B19,PT_DIFFERENTIATION_TER_ID,0))</f>
        <v>#N/A</v>
      </c>
      <c r="M20" s="400" t="s">
        <v>386</v>
      </c>
      <c r="N20" s="396"/>
      <c r="O20" s="1310" t="e">
        <f>INDEX(PT_DIFFERENTIATION_TER,MATCH(B19,PT_DIFFERENTIATION_TER_ID,0))</f>
        <v>#N/A</v>
      </c>
      <c r="P20" s="1310"/>
      <c r="Q20" s="1310"/>
      <c r="R20" s="1310"/>
      <c r="S20" s="1310"/>
      <c r="T20" s="1310"/>
      <c r="U20" s="1310"/>
      <c r="V20" s="1310"/>
      <c r="W20" s="1310"/>
      <c r="X20" s="397" t="s">
        <v>387</v>
      </c>
      <c r="Z20" s="121"/>
      <c r="AA20" s="121" t="str">
        <f t="shared" si="0"/>
        <v>Территория действия тарифа</v>
      </c>
      <c r="AB20" s="121"/>
      <c r="AC20" s="121"/>
    </row>
    <row r="21" spans="1:29" ht="22.5" customHeight="1">
      <c r="A21" s="214" t="s">
        <v>2128</v>
      </c>
      <c r="B21" s="214" t="s">
        <v>2129</v>
      </c>
      <c r="C21" s="214" t="s">
        <v>2130</v>
      </c>
      <c r="D21" s="214" t="s">
        <v>2131</v>
      </c>
      <c r="E21" s="214"/>
      <c r="F21" s="254"/>
      <c r="G21" s="254"/>
      <c r="H21" s="254"/>
      <c r="I21" s="401"/>
      <c r="J21" s="398"/>
      <c r="K21" s="399"/>
      <c r="L21" s="394" t="e">
        <f>INDEX(PT_DIFFERENTIATION_NUM_CS,MATCH(C19,PT_DIFFERENTIATION_CS_ID,0))</f>
        <v>#N/A</v>
      </c>
      <c r="M21" s="402" t="s">
        <v>388</v>
      </c>
      <c r="N21" s="396"/>
      <c r="O21" s="1310" t="e">
        <f>INDEX(PT_DIFFERENTIATION_CS,MATCH(C19,PT_DIFFERENTIATION_CS_ID,0))</f>
        <v>#N/A</v>
      </c>
      <c r="P21" s="1310"/>
      <c r="Q21" s="1310"/>
      <c r="R21" s="1310"/>
      <c r="S21" s="1310"/>
      <c r="T21" s="1310"/>
      <c r="U21" s="1310"/>
      <c r="V21" s="1310"/>
      <c r="W21" s="1310"/>
      <c r="X21" s="397" t="s">
        <v>389</v>
      </c>
      <c r="Z21" s="121"/>
      <c r="AA21" s="121" t="str">
        <f t="shared" si="0"/>
        <v xml:space="preserve">Наименование системы теплоснабжения </v>
      </c>
      <c r="AB21" s="121"/>
      <c r="AC21" s="121"/>
    </row>
    <row r="22" spans="1:29" ht="21" customHeight="1">
      <c r="A22" s="214" t="s">
        <v>2128</v>
      </c>
      <c r="B22" s="214" t="s">
        <v>2129</v>
      </c>
      <c r="C22" s="214" t="s">
        <v>2130</v>
      </c>
      <c r="D22" s="214" t="s">
        <v>2131</v>
      </c>
      <c r="E22" s="214"/>
      <c r="F22" s="254"/>
      <c r="G22" s="254"/>
      <c r="H22" s="254"/>
      <c r="I22" s="401"/>
      <c r="J22" s="398"/>
      <c r="K22" s="399"/>
      <c r="L22" s="394" t="e">
        <f>INDEX(PT_DIFFERENTIATION_NUM_IST_TE,MATCH(D19,PT_DIFFERENTIATION_IST_TE_ID,0))</f>
        <v>#N/A</v>
      </c>
      <c r="M22" s="403" t="s">
        <v>390</v>
      </c>
      <c r="N22" s="396"/>
      <c r="O22" s="1310" t="e">
        <f>INDEX(PT_DIFFERENTIATION_IST_TE,MATCH(D19,PT_DIFFERENTIATION_IST_TE_ID,0))</f>
        <v>#N/A</v>
      </c>
      <c r="P22" s="1310"/>
      <c r="Q22" s="1310"/>
      <c r="R22" s="1310"/>
      <c r="S22" s="1310"/>
      <c r="T22" s="1310"/>
      <c r="U22" s="1310"/>
      <c r="V22" s="1310"/>
      <c r="W22" s="1310"/>
      <c r="X22" s="397" t="s">
        <v>391</v>
      </c>
      <c r="Z22" s="121"/>
      <c r="AA22" s="121" t="str">
        <f t="shared" si="0"/>
        <v xml:space="preserve">Источник тепловой энергии  </v>
      </c>
      <c r="AB22" s="121"/>
      <c r="AC22" s="121"/>
    </row>
    <row r="23" spans="1:29" ht="94.5" customHeight="1">
      <c r="A23" s="214" t="s">
        <v>2128</v>
      </c>
      <c r="B23" s="214" t="s">
        <v>2129</v>
      </c>
      <c r="C23" s="214" t="s">
        <v>2130</v>
      </c>
      <c r="D23" s="214" t="s">
        <v>2131</v>
      </c>
      <c r="E23" s="214"/>
      <c r="F23" s="1089" t="e">
        <f>L22&amp;".1"</f>
        <v>#N/A</v>
      </c>
      <c r="I23" s="1156">
        <v>1</v>
      </c>
      <c r="J23" s="124"/>
      <c r="K23" s="405"/>
      <c r="L23" s="394" t="e">
        <f>$F$23</f>
        <v>#N/A</v>
      </c>
      <c r="M23" s="406" t="s">
        <v>393</v>
      </c>
      <c r="N23" s="396"/>
      <c r="O23" s="1311"/>
      <c r="P23" s="1311"/>
      <c r="Q23" s="1311"/>
      <c r="R23" s="1311"/>
      <c r="S23" s="1311"/>
      <c r="T23" s="1311"/>
      <c r="U23" s="1311"/>
      <c r="V23" s="1311"/>
      <c r="W23" s="1311"/>
      <c r="X23" s="397" t="s">
        <v>394</v>
      </c>
      <c r="Z23" s="121"/>
      <c r="AA23" s="121" t="str">
        <f t="shared" si="0"/>
        <v>Схема подключения теплопотребляющей установки к коллектору источника тепловой энергии</v>
      </c>
      <c r="AB23" s="121"/>
      <c r="AC23" s="121"/>
    </row>
    <row r="24" spans="1:29" ht="84" customHeight="1">
      <c r="A24" s="214" t="s">
        <v>2128</v>
      </c>
      <c r="B24" s="214" t="s">
        <v>2129</v>
      </c>
      <c r="C24" s="214" t="s">
        <v>2130</v>
      </c>
      <c r="D24" s="214" t="s">
        <v>2131</v>
      </c>
      <c r="E24" s="214"/>
      <c r="F24" s="1089"/>
      <c r="G24" s="1089" t="e">
        <f>F23&amp;".1"</f>
        <v>#N/A</v>
      </c>
      <c r="I24" s="1156"/>
      <c r="J24" s="1156">
        <v>1</v>
      </c>
      <c r="K24" s="408"/>
      <c r="L24" s="394" t="e">
        <f>$G$24</f>
        <v>#N/A</v>
      </c>
      <c r="M24" s="409" t="s">
        <v>396</v>
      </c>
      <c r="N24" s="396"/>
      <c r="O24" s="1311"/>
      <c r="P24" s="1311"/>
      <c r="Q24" s="1311"/>
      <c r="R24" s="1311"/>
      <c r="S24" s="1311"/>
      <c r="T24" s="1311"/>
      <c r="U24" s="1311"/>
      <c r="V24" s="1311"/>
      <c r="W24" s="1311"/>
      <c r="X24" s="397" t="s">
        <v>397</v>
      </c>
      <c r="Z24" s="121"/>
      <c r="AA24" s="121" t="str">
        <f t="shared" si="0"/>
        <v>Группа потребителей</v>
      </c>
      <c r="AB24" s="121"/>
      <c r="AC24" s="121"/>
    </row>
    <row r="25" spans="1:29" ht="11.25" customHeight="1">
      <c r="A25" s="214" t="s">
        <v>2128</v>
      </c>
      <c r="B25" s="214" t="s">
        <v>2129</v>
      </c>
      <c r="C25" s="214" t="s">
        <v>2130</v>
      </c>
      <c r="D25" s="214" t="s">
        <v>2131</v>
      </c>
      <c r="E25" s="214"/>
      <c r="F25" s="1089"/>
      <c r="G25" s="1089"/>
      <c r="H25" s="1089" t="e">
        <f>G24&amp;".1"</f>
        <v>#N/A</v>
      </c>
      <c r="I25" s="1156"/>
      <c r="J25" s="1156"/>
      <c r="K25" s="408">
        <v>1</v>
      </c>
      <c r="L25" s="394" t="e">
        <f>$H$25</f>
        <v>#N/A</v>
      </c>
      <c r="M25" s="1040"/>
      <c r="N25" s="396"/>
      <c r="O25" s="411"/>
      <c r="P25" s="412"/>
      <c r="Q25" s="411"/>
      <c r="R25" s="413"/>
      <c r="S25" s="1158"/>
      <c r="T25" s="1105" t="s">
        <v>63</v>
      </c>
      <c r="U25" s="1158"/>
      <c r="V25" s="1105" t="s">
        <v>53</v>
      </c>
      <c r="W25" s="412"/>
      <c r="X25" s="1159" t="s">
        <v>399</v>
      </c>
      <c r="Y25" s="53" t="e">
        <f ca="1">strcheckdate(O26:W26)</f>
        <v>#NAME?</v>
      </c>
      <c r="Z25" s="121"/>
      <c r="AA25" s="121" t="str">
        <f t="shared" si="0"/>
        <v/>
      </c>
      <c r="AB25" s="121"/>
      <c r="AC25" s="121"/>
    </row>
    <row r="26" spans="1:29" ht="11.25" customHeight="1">
      <c r="A26" s="214" t="s">
        <v>2128</v>
      </c>
      <c r="B26" s="214" t="s">
        <v>2129</v>
      </c>
      <c r="C26" s="214" t="s">
        <v>2130</v>
      </c>
      <c r="D26" s="214" t="s">
        <v>2131</v>
      </c>
      <c r="E26" s="214"/>
      <c r="F26" s="1089"/>
      <c r="G26" s="1089"/>
      <c r="H26" s="1089"/>
      <c r="I26" s="1156"/>
      <c r="J26" s="1156"/>
      <c r="K26" s="408"/>
      <c r="L26" s="370"/>
      <c r="M26" s="396"/>
      <c r="N26" s="396"/>
      <c r="O26" s="412"/>
      <c r="P26" s="412"/>
      <c r="Q26" s="412"/>
      <c r="R26" s="415" t="str">
        <f>S25&amp;"-"&amp;U25</f>
        <v>-</v>
      </c>
      <c r="S26" s="1158"/>
      <c r="T26" s="1105"/>
      <c r="U26" s="1158"/>
      <c r="V26" s="1105"/>
      <c r="W26" s="412"/>
      <c r="X26" s="1159"/>
      <c r="Z26" s="121"/>
      <c r="AA26" s="121" t="str">
        <f t="shared" si="0"/>
        <v/>
      </c>
      <c r="AB26" s="121"/>
      <c r="AC26" s="121"/>
    </row>
    <row r="27" spans="1:29" ht="15" customHeight="1">
      <c r="A27" s="214" t="s">
        <v>2128</v>
      </c>
      <c r="B27" s="214" t="s">
        <v>2129</v>
      </c>
      <c r="C27" s="214" t="s">
        <v>2130</v>
      </c>
      <c r="D27" s="214" t="s">
        <v>2131</v>
      </c>
      <c r="E27" s="214"/>
      <c r="F27" s="1089"/>
      <c r="G27" s="1089"/>
      <c r="I27" s="1156"/>
      <c r="J27" s="1156"/>
      <c r="K27" s="405"/>
      <c r="L27" s="416"/>
      <c r="M27" s="417" t="s">
        <v>400</v>
      </c>
      <c r="N27" s="186"/>
      <c r="O27" s="186"/>
      <c r="P27" s="186"/>
      <c r="Q27" s="186"/>
      <c r="R27" s="186"/>
      <c r="S27" s="186"/>
      <c r="T27" s="186"/>
      <c r="U27" s="186"/>
      <c r="V27" s="186"/>
      <c r="W27" s="418"/>
      <c r="X27" s="1159"/>
      <c r="Z27" s="121"/>
      <c r="AA27" s="121" t="str">
        <f t="shared" si="0"/>
        <v>Добавить вид теплоносителя (параметры теплоносителя)</v>
      </c>
      <c r="AB27" s="121"/>
      <c r="AC27" s="121"/>
    </row>
    <row r="28" spans="1:29" ht="15" customHeight="1">
      <c r="A28" s="214" t="s">
        <v>2128</v>
      </c>
      <c r="B28" s="214" t="s">
        <v>2129</v>
      </c>
      <c r="C28" s="214" t="s">
        <v>2130</v>
      </c>
      <c r="D28" s="214" t="s">
        <v>2131</v>
      </c>
      <c r="E28" s="214"/>
      <c r="F28" s="1089"/>
      <c r="I28" s="1156"/>
      <c r="J28" s="124"/>
      <c r="K28" s="405"/>
      <c r="L28" s="416"/>
      <c r="M28" s="419" t="s">
        <v>401</v>
      </c>
      <c r="N28" s="186"/>
      <c r="O28" s="186"/>
      <c r="P28" s="186"/>
      <c r="Q28" s="186"/>
      <c r="R28" s="186"/>
      <c r="S28" s="186"/>
      <c r="T28" s="186"/>
      <c r="U28" s="186"/>
      <c r="V28" s="420"/>
      <c r="W28" s="186"/>
      <c r="X28" s="421"/>
      <c r="Z28" s="121"/>
      <c r="AA28" s="121" t="str">
        <f t="shared" si="0"/>
        <v>Добавить группу потребителей</v>
      </c>
      <c r="AB28" s="121"/>
      <c r="AC28" s="121"/>
    </row>
    <row r="29" spans="1:29" ht="14.25" customHeight="1">
      <c r="A29" s="214" t="s">
        <v>2128</v>
      </c>
      <c r="B29" s="214" t="s">
        <v>2129</v>
      </c>
      <c r="C29" s="214" t="s">
        <v>2130</v>
      </c>
      <c r="D29" s="214" t="s">
        <v>2131</v>
      </c>
      <c r="E29" s="214"/>
      <c r="F29" s="254"/>
      <c r="G29" s="254"/>
      <c r="H29" s="46"/>
      <c r="I29" s="134"/>
      <c r="J29" s="422"/>
      <c r="K29" s="393"/>
      <c r="L29" s="416"/>
      <c r="M29" s="423" t="s">
        <v>402</v>
      </c>
      <c r="N29" s="186"/>
      <c r="O29" s="186"/>
      <c r="P29" s="186"/>
      <c r="Q29" s="186"/>
      <c r="R29" s="186"/>
      <c r="S29" s="186"/>
      <c r="T29" s="186"/>
      <c r="U29" s="186"/>
      <c r="V29" s="420"/>
      <c r="W29" s="186"/>
      <c r="X29" s="421"/>
      <c r="Z29" s="121"/>
      <c r="AA29" s="121" t="str">
        <f t="shared" si="0"/>
        <v>Добавить схему подключения</v>
      </c>
      <c r="AB29" s="121"/>
      <c r="AC29" s="121"/>
    </row>
    <row r="30" spans="1:29" ht="14.25" customHeight="1">
      <c r="A30" s="214" t="s">
        <v>2128</v>
      </c>
      <c r="B30" s="214" t="s">
        <v>2129</v>
      </c>
      <c r="C30" s="214" t="s">
        <v>2130</v>
      </c>
      <c r="D30" s="214"/>
      <c r="E30" s="214" t="s">
        <v>566</v>
      </c>
      <c r="F30" s="254"/>
      <c r="G30" s="254"/>
      <c r="H30" s="46"/>
      <c r="I30" s="134"/>
      <c r="J30" s="422"/>
      <c r="K30" s="393"/>
      <c r="L30" s="1041"/>
      <c r="M30" s="1042"/>
      <c r="N30" s="1043"/>
      <c r="O30" s="1043"/>
      <c r="P30" s="1043"/>
      <c r="Q30" s="1043"/>
      <c r="R30" s="1043"/>
      <c r="S30" s="1043"/>
      <c r="T30" s="1043"/>
      <c r="U30" s="1043"/>
      <c r="V30" s="1044"/>
      <c r="W30" s="1043"/>
      <c r="X30" s="1045"/>
      <c r="Z30" s="121"/>
      <c r="AA30" s="121" t="str">
        <f t="shared" si="0"/>
        <v/>
      </c>
      <c r="AB30" s="121"/>
      <c r="AC30" s="121"/>
    </row>
    <row r="31" spans="1:29" ht="14.25" customHeight="1">
      <c r="A31" s="214" t="s">
        <v>2128</v>
      </c>
      <c r="B31" s="214" t="s">
        <v>2129</v>
      </c>
      <c r="C31" s="214"/>
      <c r="D31" s="214"/>
      <c r="E31" s="214" t="s">
        <v>2124</v>
      </c>
      <c r="F31" s="1051"/>
      <c r="G31" s="1051"/>
      <c r="H31" s="46"/>
      <c r="I31" s="234"/>
      <c r="J31" s="422"/>
      <c r="K31" s="899"/>
      <c r="L31" s="1041"/>
      <c r="M31" s="1046"/>
      <c r="N31" s="1043"/>
      <c r="O31" s="1043"/>
      <c r="P31" s="1043"/>
      <c r="Q31" s="1043"/>
      <c r="R31" s="1043"/>
      <c r="S31" s="1043"/>
      <c r="T31" s="1043"/>
      <c r="U31" s="1043"/>
      <c r="V31" s="1044"/>
      <c r="W31" s="1043"/>
      <c r="X31" s="1045"/>
      <c r="Z31" s="121"/>
      <c r="AA31" s="121" t="str">
        <f t="shared" si="0"/>
        <v/>
      </c>
      <c r="AB31" s="121"/>
      <c r="AC31" s="121"/>
    </row>
    <row r="32" spans="1:29" ht="14.25" customHeight="1">
      <c r="A32" s="214" t="s">
        <v>2132</v>
      </c>
      <c r="B32" s="214"/>
      <c r="C32" s="214"/>
      <c r="D32" s="214"/>
      <c r="E32" s="214" t="s">
        <v>100</v>
      </c>
      <c r="F32" s="1051"/>
      <c r="G32" s="1051"/>
      <c r="H32" s="46"/>
      <c r="I32" s="134"/>
      <c r="J32" s="422"/>
      <c r="K32" s="393"/>
      <c r="L32" s="1041"/>
      <c r="M32" s="1047"/>
      <c r="N32" s="1043"/>
      <c r="O32" s="1043"/>
      <c r="P32" s="1043"/>
      <c r="Q32" s="1043"/>
      <c r="R32" s="1043"/>
      <c r="S32" s="1043"/>
      <c r="T32" s="1043"/>
      <c r="U32" s="1043"/>
      <c r="V32" s="1044"/>
      <c r="W32" s="1043"/>
      <c r="X32" s="1045"/>
      <c r="Z32" s="121"/>
      <c r="AA32" s="121" t="str">
        <f t="shared" si="0"/>
        <v/>
      </c>
      <c r="AB32" s="121"/>
      <c r="AC32" s="121"/>
    </row>
    <row r="33" spans="1:29" s="59" customFormat="1" ht="11.25" customHeight="1">
      <c r="A33" s="214"/>
      <c r="B33" s="214"/>
      <c r="C33" s="214"/>
      <c r="D33" s="214"/>
      <c r="E33" s="214" t="s">
        <v>255</v>
      </c>
      <c r="F33" s="1051"/>
      <c r="G33" s="989"/>
      <c r="H33" s="46"/>
      <c r="L33" s="1049"/>
      <c r="M33" s="1050"/>
      <c r="N33" s="1043"/>
      <c r="O33" s="1043"/>
      <c r="P33" s="1043"/>
      <c r="Q33" s="1043"/>
      <c r="R33" s="1043"/>
      <c r="S33" s="1043"/>
      <c r="T33" s="1043"/>
      <c r="U33" s="1043"/>
      <c r="V33" s="1044"/>
      <c r="W33" s="1043"/>
      <c r="X33" s="1045"/>
      <c r="Y33" s="158"/>
      <c r="Z33" s="158"/>
      <c r="AA33" s="158"/>
      <c r="AB33" s="158"/>
      <c r="AC33" s="158"/>
    </row>
    <row r="34" spans="1:29" ht="11.25" customHeight="1">
      <c r="F34" s="46"/>
      <c r="G34" s="46"/>
      <c r="H34" s="46"/>
      <c r="I34" s="46"/>
      <c r="J34" s="46"/>
      <c r="K34" s="46"/>
      <c r="Y34" s="46"/>
      <c r="Z34" s="46"/>
      <c r="AA34" s="46"/>
      <c r="AB34" s="46"/>
      <c r="AC34" s="46"/>
    </row>
    <row r="35" spans="1:29" ht="27" customHeight="1">
      <c r="H35" s="46"/>
      <c r="L35" s="456" t="s">
        <v>698</v>
      </c>
      <c r="M35" s="1312" t="s">
        <v>2126</v>
      </c>
      <c r="N35" s="1312"/>
      <c r="O35" s="1312"/>
      <c r="P35" s="1312"/>
      <c r="Q35" s="1312"/>
      <c r="R35" s="1312"/>
      <c r="S35" s="1312"/>
      <c r="T35" s="1312"/>
      <c r="U35" s="1312"/>
      <c r="V35" s="1312"/>
      <c r="W35" s="1312"/>
      <c r="X35" s="1312"/>
    </row>
    <row r="36" spans="1:29" ht="104.25" customHeight="1">
      <c r="H36" s="46"/>
      <c r="M36" s="1171" t="s">
        <v>2127</v>
      </c>
      <c r="N36" s="1171"/>
      <c r="O36" s="1171"/>
      <c r="P36" s="1171"/>
      <c r="Q36" s="1171"/>
      <c r="R36" s="1171"/>
      <c r="S36" s="1171"/>
      <c r="T36" s="1171"/>
      <c r="U36" s="1171"/>
      <c r="V36" s="1171"/>
      <c r="W36" s="1171"/>
      <c r="X36" s="1171"/>
    </row>
    <row r="37" spans="1:29" ht="14.25" customHeight="1">
      <c r="H37" s="46"/>
    </row>
    <row r="38" spans="1:29" ht="14.25" customHeight="1">
      <c r="H38" s="46"/>
    </row>
    <row r="39" spans="1:29" ht="14.25" customHeight="1">
      <c r="H39" s="46"/>
    </row>
    <row r="40" spans="1:29" ht="14.25" customHeight="1">
      <c r="H40" s="46"/>
    </row>
  </sheetData>
  <mergeCells count="39">
    <mergeCell ref="X25:X27"/>
    <mergeCell ref="M35:X35"/>
    <mergeCell ref="M36:X36"/>
    <mergeCell ref="F23:F28"/>
    <mergeCell ref="I23:I28"/>
    <mergeCell ref="O23:W23"/>
    <mergeCell ref="G24:G27"/>
    <mergeCell ref="J24:J27"/>
    <mergeCell ref="O24:W24"/>
    <mergeCell ref="H25:H26"/>
    <mergeCell ref="S25:S26"/>
    <mergeCell ref="T25:T26"/>
    <mergeCell ref="U25:U26"/>
    <mergeCell ref="V25:V26"/>
    <mergeCell ref="T18:U18"/>
    <mergeCell ref="O19:W19"/>
    <mergeCell ref="O20:W20"/>
    <mergeCell ref="O21:W21"/>
    <mergeCell ref="O22:W22"/>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s>
  <dataValidations count="3">
    <dataValidation allowBlank="1" showInputMessage="1" showErrorMessage="1" prompt="Для выбора выполните двойной щелчок левой клавиши мыши по соответствующей ячейке." sqref="T25 V25">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5 U25">
      <formula1>0</formula1>
      <formula2>0</formula2>
    </dataValidation>
    <dataValidation allowBlank="1" promptTitle="checkPeriodRange" sqref="R26">
      <formula1>0</formula1>
      <formula2>0</formula2>
    </dataValidation>
  </dataValidations>
  <pageMargins left="0.7" right="0.7" top="0.625" bottom="0.625" header="0.3" footer="0.3"/>
  <pageSetup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C40"/>
  <sheetViews>
    <sheetView showGridLines="0" topLeftCell="A4" zoomScaleNormal="100" workbookViewId="0"/>
  </sheetViews>
  <sheetFormatPr defaultColWidth="10.5703125" defaultRowHeight="14.25"/>
  <cols>
    <col min="1" max="1" width="10.5703125" style="46"/>
    <col min="2" max="2" width="11" style="46" customWidth="1"/>
    <col min="3" max="3" width="10.5703125" style="46"/>
    <col min="4" max="4" width="11.85546875" style="46" customWidth="1"/>
    <col min="5" max="5" width="12.28515625" style="46" customWidth="1"/>
    <col min="6" max="8" width="12.28515625" style="56" customWidth="1"/>
    <col min="9" max="9" width="3.7109375" style="56" customWidth="1"/>
    <col min="10" max="11" width="3.7109375" style="389" customWidth="1"/>
    <col min="12" max="12" width="12.7109375" style="254" customWidth="1"/>
    <col min="13" max="13" width="32" style="46" customWidth="1"/>
    <col min="14" max="14" width="1.7109375" style="46" customWidth="1"/>
    <col min="15" max="18" width="24.7109375" style="46" customWidth="1"/>
    <col min="19" max="19" width="11.7109375" style="46" customWidth="1"/>
    <col min="20" max="20" width="3.7109375" style="46" customWidth="1"/>
    <col min="21" max="21" width="11.7109375" style="46" customWidth="1"/>
    <col min="22" max="22" width="8.5703125" style="46" customWidth="1"/>
    <col min="23" max="23" width="4.7109375" style="46" customWidth="1"/>
    <col min="24" max="24" width="115.7109375" style="46" customWidth="1"/>
    <col min="25" max="26" width="10.5703125" style="53"/>
    <col min="27" max="27" width="11.140625" style="53" customWidth="1"/>
    <col min="28" max="29" width="10.5703125" style="53"/>
  </cols>
  <sheetData>
    <row r="1" spans="6:29" ht="14.25" hidden="1" customHeight="1"/>
    <row r="2" spans="6:29" ht="14.25" hidden="1" customHeight="1"/>
    <row r="3" spans="6:29" ht="14.25" hidden="1" customHeight="1"/>
    <row r="4" spans="6:29" ht="14.25" customHeight="1">
      <c r="J4" s="437"/>
      <c r="K4" s="437"/>
      <c r="L4" s="438"/>
      <c r="M4" s="83"/>
      <c r="N4" s="83"/>
    </row>
    <row r="5" spans="6:29" ht="64.5" customHeight="1">
      <c r="J5" s="437"/>
      <c r="K5" s="437"/>
      <c r="L5" s="1307" t="s">
        <v>2122</v>
      </c>
      <c r="M5" s="1307"/>
      <c r="N5" s="1307"/>
      <c r="O5" s="1307"/>
      <c r="P5" s="1307"/>
      <c r="Q5" s="1307"/>
      <c r="R5" s="1307"/>
      <c r="S5" s="1307"/>
      <c r="T5" s="1307"/>
      <c r="U5" s="1307"/>
      <c r="V5" s="201"/>
    </row>
    <row r="6" spans="6:29" ht="14.25" customHeight="1">
      <c r="J6" s="437"/>
      <c r="K6" s="437"/>
      <c r="L6" s="1308" t="str">
        <f>IF(org=0,"Не определено",org)</f>
        <v>Филиал ПАО "ОГК-2" - Серовская ГРЭС, г. Серов</v>
      </c>
      <c r="M6" s="1308"/>
      <c r="N6" s="1308"/>
      <c r="O6" s="1308"/>
      <c r="P6" s="1308"/>
      <c r="Q6" s="1308"/>
      <c r="R6" s="1308"/>
      <c r="S6" s="1308"/>
      <c r="T6" s="1308"/>
      <c r="U6" s="1308"/>
      <c r="V6" s="201"/>
    </row>
    <row r="7" spans="6:29" ht="14.25" customHeight="1">
      <c r="J7" s="437"/>
      <c r="K7" s="437"/>
      <c r="L7" s="438"/>
      <c r="M7" s="83"/>
      <c r="N7" s="83"/>
      <c r="O7" s="439"/>
      <c r="P7" s="439"/>
      <c r="Q7" s="439"/>
      <c r="R7" s="439"/>
      <c r="S7" s="439"/>
      <c r="T7" s="439"/>
      <c r="U7" s="439"/>
      <c r="V7" s="439"/>
    </row>
    <row r="8" spans="6:29" s="174" customFormat="1" ht="45" customHeight="1">
      <c r="F8" s="100"/>
      <c r="G8" s="100"/>
      <c r="H8" s="100"/>
      <c r="L8" s="951"/>
      <c r="M8" s="440" t="s">
        <v>37</v>
      </c>
      <c r="N8" s="935"/>
      <c r="O8" s="1163" t="str">
        <f>IF(TITLE_NAME_OR_PR_CHANGE="",IF(TITLE_NAME_OR_PR="","",TITLE_NAME_OR_PR),TITLE_NAME_OR_PR_CHANGE)</f>
        <v>Региональная энергетическая комиссия Свердловской области</v>
      </c>
      <c r="P8" s="1163"/>
      <c r="Q8" s="1163"/>
      <c r="R8" s="1163"/>
      <c r="S8" s="1163"/>
      <c r="T8" s="1163"/>
      <c r="U8" s="1163"/>
      <c r="V8" s="46"/>
      <c r="W8" s="46"/>
      <c r="X8" s="442"/>
      <c r="Y8" s="121"/>
      <c r="Z8" s="121"/>
      <c r="AA8" s="121"/>
      <c r="AB8" s="121"/>
      <c r="AC8" s="121"/>
    </row>
    <row r="9" spans="6:29" s="174" customFormat="1" ht="22.5" customHeight="1">
      <c r="F9" s="100"/>
      <c r="G9" s="100"/>
      <c r="H9" s="100"/>
      <c r="L9" s="951"/>
      <c r="M9" s="440" t="s">
        <v>410</v>
      </c>
      <c r="N9" s="935"/>
      <c r="O9" s="1163">
        <f>IF(TITLE_DATE_CHANGE_PERIOD="",IF(TITLE_DATE_PR="","",TITLE_DATE_PR),TITLE_DATE_CHANGE_PERIOD)</f>
        <v>45266.462974536997</v>
      </c>
      <c r="P9" s="1163"/>
      <c r="Q9" s="1163"/>
      <c r="R9" s="1163"/>
      <c r="S9" s="1163"/>
      <c r="T9" s="1163"/>
      <c r="U9" s="1163"/>
      <c r="V9" s="46"/>
      <c r="W9" s="46"/>
      <c r="X9" s="442"/>
      <c r="Y9" s="121"/>
      <c r="Z9" s="121"/>
      <c r="AA9" s="121"/>
      <c r="AB9" s="121"/>
      <c r="AC9" s="121"/>
    </row>
    <row r="10" spans="6:29" s="174" customFormat="1" ht="22.5" customHeight="1">
      <c r="F10" s="100"/>
      <c r="G10" s="100"/>
      <c r="H10" s="100"/>
      <c r="L10" s="254"/>
      <c r="M10" s="440" t="s">
        <v>411</v>
      </c>
      <c r="N10" s="935"/>
      <c r="O10" s="1163" t="str">
        <f>IF(TITLE_NUMBER_PR_CHANGE="",IF(TITLE_NUMBER_PR="","",TITLE_NUMBER_PR),TITLE_NUMBER_PR_CHANGE)</f>
        <v>216-ПК</v>
      </c>
      <c r="P10" s="1163"/>
      <c r="Q10" s="1163"/>
      <c r="R10" s="1163"/>
      <c r="S10" s="1163"/>
      <c r="T10" s="1163"/>
      <c r="U10" s="1163"/>
      <c r="V10" s="46"/>
      <c r="W10" s="46"/>
      <c r="X10" s="442"/>
      <c r="Y10" s="121"/>
      <c r="Z10" s="121"/>
      <c r="AA10" s="121"/>
      <c r="AB10" s="121"/>
      <c r="AC10" s="121"/>
    </row>
    <row r="11" spans="6:29" s="174" customFormat="1" ht="22.5" customHeight="1">
      <c r="F11" s="100"/>
      <c r="G11" s="100"/>
      <c r="H11" s="100"/>
      <c r="L11" s="254"/>
      <c r="M11" s="440" t="s">
        <v>39</v>
      </c>
      <c r="N11" s="935"/>
      <c r="O11" s="1163" t="str">
        <f>IF(TITLE_IST_PUB_CHANGE="",IF(TITLE_IST_PUB="","",TITLE_IST_PUB),TITLE_IST_PUB_CHANGE)</f>
        <v>Региональная энергетическая комиссия Свердловской области</v>
      </c>
      <c r="P11" s="1163"/>
      <c r="Q11" s="1163"/>
      <c r="R11" s="1163"/>
      <c r="S11" s="1163"/>
      <c r="T11" s="1163"/>
      <c r="U11" s="1163"/>
      <c r="V11" s="46"/>
      <c r="W11" s="46"/>
      <c r="X11" s="442"/>
      <c r="Y11" s="121"/>
      <c r="Z11" s="121"/>
      <c r="AA11" s="121"/>
      <c r="AB11" s="121"/>
      <c r="AC11" s="121"/>
    </row>
    <row r="12" spans="6:29" s="174" customFormat="1" ht="11.25" hidden="1" customHeight="1">
      <c r="F12" s="100"/>
      <c r="G12" s="100"/>
      <c r="H12" s="100"/>
      <c r="L12" s="1309"/>
      <c r="M12" s="1309"/>
      <c r="N12" s="131"/>
      <c r="O12" s="46"/>
      <c r="P12" s="46"/>
      <c r="Q12" s="46"/>
      <c r="R12" s="46"/>
      <c r="S12" s="46"/>
      <c r="T12" s="46"/>
      <c r="U12" s="46"/>
      <c r="V12" s="53" t="s">
        <v>414</v>
      </c>
      <c r="Y12" s="121"/>
      <c r="Z12" s="121"/>
      <c r="AA12" s="121"/>
      <c r="AB12" s="121"/>
      <c r="AC12" s="121"/>
    </row>
    <row r="13" spans="6:29" ht="14.25" customHeight="1">
      <c r="J13" s="437"/>
      <c r="K13" s="437"/>
      <c r="L13" s="438"/>
      <c r="M13" s="83"/>
      <c r="N13" s="443"/>
      <c r="O13" s="1165"/>
      <c r="P13" s="1165"/>
      <c r="Q13" s="1165"/>
      <c r="R13" s="1165"/>
      <c r="S13" s="1165"/>
      <c r="T13" s="1165"/>
      <c r="U13" s="1165"/>
      <c r="V13" s="1165"/>
    </row>
    <row r="14" spans="6:29" ht="14.25" customHeight="1">
      <c r="J14" s="437"/>
      <c r="K14" s="437"/>
      <c r="L14" s="1087" t="s">
        <v>287</v>
      </c>
      <c r="M14" s="1087"/>
      <c r="N14" s="1087"/>
      <c r="O14" s="1087"/>
      <c r="P14" s="1087"/>
      <c r="Q14" s="1087"/>
      <c r="R14" s="1087"/>
      <c r="S14" s="1087"/>
      <c r="T14" s="1087"/>
      <c r="U14" s="1087"/>
      <c r="V14" s="1087"/>
      <c r="W14" s="1087"/>
      <c r="X14" s="1087" t="s">
        <v>288</v>
      </c>
    </row>
    <row r="15" spans="6:29" ht="14.25" customHeight="1">
      <c r="J15" s="437"/>
      <c r="K15" s="437"/>
      <c r="L15" s="1166" t="s">
        <v>84</v>
      </c>
      <c r="M15" s="1167" t="s">
        <v>415</v>
      </c>
      <c r="N15" s="444"/>
      <c r="O15" s="1140" t="s">
        <v>2123</v>
      </c>
      <c r="P15" s="1140"/>
      <c r="Q15" s="1140"/>
      <c r="R15" s="1140"/>
      <c r="S15" s="1140"/>
      <c r="T15" s="1140"/>
      <c r="U15" s="1140"/>
      <c r="V15" s="1167" t="s">
        <v>417</v>
      </c>
      <c r="W15" s="1168" t="s">
        <v>1040</v>
      </c>
      <c r="X15" s="1087"/>
    </row>
    <row r="16" spans="6:29" ht="33.75" customHeight="1">
      <c r="J16" s="437"/>
      <c r="K16" s="437"/>
      <c r="L16" s="1166"/>
      <c r="M16" s="1167"/>
      <c r="N16" s="445"/>
      <c r="O16" s="1169" t="s">
        <v>420</v>
      </c>
      <c r="P16" s="1169" t="s">
        <v>421</v>
      </c>
      <c r="Q16" s="1087" t="s">
        <v>422</v>
      </c>
      <c r="R16" s="1087"/>
      <c r="S16" s="1087" t="s">
        <v>435</v>
      </c>
      <c r="T16" s="1087"/>
      <c r="U16" s="1087"/>
      <c r="V16" s="1167"/>
      <c r="W16" s="1168"/>
      <c r="X16" s="1087"/>
    </row>
    <row r="17" spans="1:29" ht="33.75" customHeight="1">
      <c r="A17" s="100" t="s">
        <v>130</v>
      </c>
      <c r="B17" s="100" t="s">
        <v>131</v>
      </c>
      <c r="C17" s="100" t="s">
        <v>132</v>
      </c>
      <c r="D17" s="100" t="s">
        <v>133</v>
      </c>
      <c r="E17" s="100"/>
      <c r="J17" s="437"/>
      <c r="K17" s="437"/>
      <c r="L17" s="1166"/>
      <c r="M17" s="1167"/>
      <c r="N17" s="446"/>
      <c r="O17" s="1169"/>
      <c r="P17" s="1169"/>
      <c r="Q17" s="203" t="s">
        <v>431</v>
      </c>
      <c r="R17" s="203" t="s">
        <v>432</v>
      </c>
      <c r="S17" s="203" t="s">
        <v>433</v>
      </c>
      <c r="T17" s="1108" t="s">
        <v>434</v>
      </c>
      <c r="U17" s="1108"/>
      <c r="V17" s="1167"/>
      <c r="W17" s="1168"/>
      <c r="X17" s="1087"/>
    </row>
    <row r="18" spans="1:29" s="123" customFormat="1" ht="11.25" customHeight="1">
      <c r="A18" s="100"/>
      <c r="B18" s="100"/>
      <c r="C18" s="100"/>
      <c r="D18" s="100"/>
      <c r="E18" s="100"/>
      <c r="F18" s="56"/>
      <c r="G18" s="56"/>
      <c r="H18" s="56"/>
      <c r="I18" s="447"/>
      <c r="J18" s="448"/>
      <c r="K18" s="449">
        <v>1</v>
      </c>
      <c r="L18" s="450" t="s">
        <v>105</v>
      </c>
      <c r="M18" s="451" t="s">
        <v>106</v>
      </c>
      <c r="N18" s="452" t="str">
        <f ca="1">OFFSET(N18,0,-1)</f>
        <v>2</v>
      </c>
      <c r="O18" s="453">
        <f ca="1">OFFSET(O18,0,-1)+1</f>
        <v>3</v>
      </c>
      <c r="P18" s="453"/>
      <c r="Q18" s="453">
        <f ca="1">OFFSET(Q18,0,-1)+1</f>
        <v>1</v>
      </c>
      <c r="R18" s="453">
        <f ca="1">OFFSET(R18,0,-1)+1</f>
        <v>2</v>
      </c>
      <c r="S18" s="453">
        <f ca="1">OFFSET(S18,0,-1)+1</f>
        <v>3</v>
      </c>
      <c r="T18" s="1170">
        <f ca="1">OFFSET(T18,0,-1)+1</f>
        <v>4</v>
      </c>
      <c r="U18" s="1170"/>
      <c r="V18" s="453">
        <f ca="1">OFFSET(V18,0,-2)+1</f>
        <v>5</v>
      </c>
      <c r="W18" s="452">
        <f ca="1">OFFSET(W18,0,-1)</f>
        <v>5</v>
      </c>
      <c r="X18" s="453">
        <f ca="1">OFFSET(X18,0,-1)+1</f>
        <v>6</v>
      </c>
      <c r="Y18" s="53"/>
      <c r="Z18" s="53"/>
      <c r="AA18" s="53"/>
      <c r="AB18" s="53"/>
      <c r="AC18" s="53"/>
    </row>
    <row r="19" spans="1:29" ht="21" customHeight="1">
      <c r="A19" s="214" t="s">
        <v>2133</v>
      </c>
      <c r="B19" s="214" t="s">
        <v>2134</v>
      </c>
      <c r="C19" s="214" t="s">
        <v>2135</v>
      </c>
      <c r="D19" s="214" t="s">
        <v>2136</v>
      </c>
      <c r="E19" s="214"/>
      <c r="F19" s="254"/>
      <c r="G19" s="254"/>
      <c r="H19" s="254"/>
      <c r="J19" s="134"/>
      <c r="K19" s="393"/>
      <c r="L19" s="394" t="e">
        <f>INDEX(PT_DIFFERENTIATION_NUM_NTAR,MATCH(A19,PT_DIFFERENTIATION_NTAR_ID,0))</f>
        <v>#N/A</v>
      </c>
      <c r="M19" s="395" t="s">
        <v>119</v>
      </c>
      <c r="N19" s="396"/>
      <c r="O19" s="1310" t="e">
        <f>INDEX(PT_DIFFERENTIATION_NTAR,MATCH(A19,PT_DIFFERENTIATION_NTAR_ID,0))</f>
        <v>#N/A</v>
      </c>
      <c r="P19" s="1310"/>
      <c r="Q19" s="1310"/>
      <c r="R19" s="1310"/>
      <c r="S19" s="1310"/>
      <c r="T19" s="1310"/>
      <c r="U19" s="1310"/>
      <c r="V19" s="1310"/>
      <c r="W19" s="1310"/>
      <c r="X19" s="397" t="s">
        <v>385</v>
      </c>
      <c r="Z19" s="121"/>
      <c r="AA19" s="121" t="str">
        <f t="shared" ref="AA19:AA32" si="0">IF(M19="","",M19)</f>
        <v>Наименование тарифа</v>
      </c>
      <c r="AB19" s="121"/>
      <c r="AC19" s="121"/>
    </row>
    <row r="20" spans="1:29" ht="21" customHeight="1">
      <c r="A20" s="214" t="s">
        <v>2133</v>
      </c>
      <c r="B20" s="214" t="s">
        <v>2134</v>
      </c>
      <c r="C20" s="214" t="s">
        <v>2135</v>
      </c>
      <c r="D20" s="214" t="s">
        <v>2136</v>
      </c>
      <c r="E20" s="214"/>
      <c r="F20" s="254"/>
      <c r="G20" s="254"/>
      <c r="H20" s="254"/>
      <c r="I20" s="47"/>
      <c r="J20" s="398"/>
      <c r="K20" s="399"/>
      <c r="L20" s="394" t="e">
        <f>INDEX(PT_DIFFERENTIATION_NUM_TER,MATCH(B19,PT_DIFFERENTIATION_TER_ID,0))</f>
        <v>#N/A</v>
      </c>
      <c r="M20" s="400" t="s">
        <v>386</v>
      </c>
      <c r="N20" s="396"/>
      <c r="O20" s="1310" t="e">
        <f>INDEX(PT_DIFFERENTIATION_TER,MATCH(B19,PT_DIFFERENTIATION_TER_ID,0))</f>
        <v>#N/A</v>
      </c>
      <c r="P20" s="1310"/>
      <c r="Q20" s="1310"/>
      <c r="R20" s="1310"/>
      <c r="S20" s="1310"/>
      <c r="T20" s="1310"/>
      <c r="U20" s="1310"/>
      <c r="V20" s="1310"/>
      <c r="W20" s="1310"/>
      <c r="X20" s="397" t="s">
        <v>387</v>
      </c>
      <c r="Z20" s="121"/>
      <c r="AA20" s="121" t="str">
        <f t="shared" si="0"/>
        <v>Территория действия тарифа</v>
      </c>
      <c r="AB20" s="121"/>
      <c r="AC20" s="121"/>
    </row>
    <row r="21" spans="1:29" ht="22.5" customHeight="1">
      <c r="A21" s="214" t="s">
        <v>2133</v>
      </c>
      <c r="B21" s="214" t="s">
        <v>2134</v>
      </c>
      <c r="C21" s="214" t="s">
        <v>2135</v>
      </c>
      <c r="D21" s="214" t="s">
        <v>2136</v>
      </c>
      <c r="E21" s="214"/>
      <c r="F21" s="254"/>
      <c r="G21" s="254"/>
      <c r="H21" s="254"/>
      <c r="I21" s="401"/>
      <c r="J21" s="398"/>
      <c r="K21" s="399"/>
      <c r="L21" s="394" t="e">
        <f>INDEX(PT_DIFFERENTIATION_NUM_CS,MATCH(C19,PT_DIFFERENTIATION_CS_ID,0))</f>
        <v>#N/A</v>
      </c>
      <c r="M21" s="402" t="s">
        <v>388</v>
      </c>
      <c r="N21" s="396"/>
      <c r="O21" s="1310" t="e">
        <f>INDEX(PT_DIFFERENTIATION_CS,MATCH(C19,PT_DIFFERENTIATION_CS_ID,0))</f>
        <v>#N/A</v>
      </c>
      <c r="P21" s="1310"/>
      <c r="Q21" s="1310"/>
      <c r="R21" s="1310"/>
      <c r="S21" s="1310"/>
      <c r="T21" s="1310"/>
      <c r="U21" s="1310"/>
      <c r="V21" s="1310"/>
      <c r="W21" s="1310"/>
      <c r="X21" s="397" t="s">
        <v>389</v>
      </c>
      <c r="Z21" s="121"/>
      <c r="AA21" s="121" t="str">
        <f t="shared" si="0"/>
        <v xml:space="preserve">Наименование системы теплоснабжения </v>
      </c>
      <c r="AB21" s="121"/>
      <c r="AC21" s="121"/>
    </row>
    <row r="22" spans="1:29" ht="21" customHeight="1">
      <c r="A22" s="214" t="s">
        <v>2133</v>
      </c>
      <c r="B22" s="214" t="s">
        <v>2134</v>
      </c>
      <c r="C22" s="214" t="s">
        <v>2135</v>
      </c>
      <c r="D22" s="214" t="s">
        <v>2136</v>
      </c>
      <c r="E22" s="214"/>
      <c r="F22" s="254"/>
      <c r="G22" s="254"/>
      <c r="H22" s="254"/>
      <c r="I22" s="401"/>
      <c r="J22" s="398"/>
      <c r="K22" s="399"/>
      <c r="L22" s="394" t="e">
        <f>INDEX(PT_DIFFERENTIATION_NUM_IST_TE,MATCH(D19,PT_DIFFERENTIATION_IST_TE_ID,0))</f>
        <v>#N/A</v>
      </c>
      <c r="M22" s="403" t="s">
        <v>390</v>
      </c>
      <c r="N22" s="396"/>
      <c r="O22" s="1310" t="e">
        <f>INDEX(PT_DIFFERENTIATION_IST_TE,MATCH(D19,PT_DIFFERENTIATION_IST_TE_ID,0))</f>
        <v>#N/A</v>
      </c>
      <c r="P22" s="1310"/>
      <c r="Q22" s="1310"/>
      <c r="R22" s="1310"/>
      <c r="S22" s="1310"/>
      <c r="T22" s="1310"/>
      <c r="U22" s="1310"/>
      <c r="V22" s="1310"/>
      <c r="W22" s="1310"/>
      <c r="X22" s="397" t="s">
        <v>391</v>
      </c>
      <c r="Z22" s="121"/>
      <c r="AA22" s="121" t="str">
        <f t="shared" si="0"/>
        <v xml:space="preserve">Источник тепловой энергии  </v>
      </c>
      <c r="AB22" s="121"/>
      <c r="AC22" s="121"/>
    </row>
    <row r="23" spans="1:29" ht="94.5" customHeight="1">
      <c r="A23" s="214" t="s">
        <v>2133</v>
      </c>
      <c r="B23" s="214" t="s">
        <v>2134</v>
      </c>
      <c r="C23" s="214" t="s">
        <v>2135</v>
      </c>
      <c r="D23" s="214" t="s">
        <v>2136</v>
      </c>
      <c r="E23" s="214"/>
      <c r="F23" s="1089" t="e">
        <f>L22&amp;".1"</f>
        <v>#N/A</v>
      </c>
      <c r="I23" s="1156">
        <v>1</v>
      </c>
      <c r="J23" s="124"/>
      <c r="K23" s="405"/>
      <c r="L23" s="394" t="e">
        <f>$F$23</f>
        <v>#N/A</v>
      </c>
      <c r="M23" s="406" t="s">
        <v>393</v>
      </c>
      <c r="N23" s="396"/>
      <c r="O23" s="1311"/>
      <c r="P23" s="1311"/>
      <c r="Q23" s="1311"/>
      <c r="R23" s="1311"/>
      <c r="S23" s="1311"/>
      <c r="T23" s="1311"/>
      <c r="U23" s="1311"/>
      <c r="V23" s="1311"/>
      <c r="W23" s="1311"/>
      <c r="X23" s="397" t="s">
        <v>394</v>
      </c>
      <c r="Z23" s="121"/>
      <c r="AA23" s="121" t="str">
        <f t="shared" si="0"/>
        <v>Схема подключения теплопотребляющей установки к коллектору источника тепловой энергии</v>
      </c>
      <c r="AB23" s="121"/>
      <c r="AC23" s="121"/>
    </row>
    <row r="24" spans="1:29" ht="84" customHeight="1">
      <c r="A24" s="214" t="s">
        <v>2133</v>
      </c>
      <c r="B24" s="214" t="s">
        <v>2134</v>
      </c>
      <c r="C24" s="214" t="s">
        <v>2135</v>
      </c>
      <c r="D24" s="214" t="s">
        <v>2136</v>
      </c>
      <c r="E24" s="214"/>
      <c r="F24" s="1089"/>
      <c r="G24" s="1089" t="e">
        <f>F23&amp;".1"</f>
        <v>#N/A</v>
      </c>
      <c r="I24" s="1156"/>
      <c r="J24" s="1156">
        <v>1</v>
      </c>
      <c r="K24" s="408"/>
      <c r="L24" s="394" t="e">
        <f>$G$24</f>
        <v>#N/A</v>
      </c>
      <c r="M24" s="409" t="s">
        <v>396</v>
      </c>
      <c r="N24" s="396"/>
      <c r="O24" s="1311"/>
      <c r="P24" s="1311"/>
      <c r="Q24" s="1311"/>
      <c r="R24" s="1311"/>
      <c r="S24" s="1311"/>
      <c r="T24" s="1311"/>
      <c r="U24" s="1311"/>
      <c r="V24" s="1311"/>
      <c r="W24" s="1311"/>
      <c r="X24" s="397" t="s">
        <v>397</v>
      </c>
      <c r="Z24" s="121"/>
      <c r="AA24" s="121" t="str">
        <f t="shared" si="0"/>
        <v>Группа потребителей</v>
      </c>
      <c r="AB24" s="121"/>
      <c r="AC24" s="121"/>
    </row>
    <row r="25" spans="1:29" ht="11.25" customHeight="1">
      <c r="A25" s="214" t="s">
        <v>2133</v>
      </c>
      <c r="B25" s="214" t="s">
        <v>2134</v>
      </c>
      <c r="C25" s="214" t="s">
        <v>2135</v>
      </c>
      <c r="D25" s="214" t="s">
        <v>2136</v>
      </c>
      <c r="E25" s="214"/>
      <c r="F25" s="1089"/>
      <c r="G25" s="1089"/>
      <c r="H25" s="1089" t="e">
        <f>G24&amp;".1"</f>
        <v>#N/A</v>
      </c>
      <c r="I25" s="1156"/>
      <c r="J25" s="1156"/>
      <c r="K25" s="408">
        <v>1</v>
      </c>
      <c r="L25" s="394" t="e">
        <f>$H$25</f>
        <v>#N/A</v>
      </c>
      <c r="M25" s="1040"/>
      <c r="N25" s="396"/>
      <c r="O25" s="411"/>
      <c r="P25" s="412"/>
      <c r="Q25" s="411"/>
      <c r="R25" s="413"/>
      <c r="S25" s="1158"/>
      <c r="T25" s="1105" t="s">
        <v>63</v>
      </c>
      <c r="U25" s="1158"/>
      <c r="V25" s="1105" t="s">
        <v>53</v>
      </c>
      <c r="W25" s="412"/>
      <c r="X25" s="1159" t="s">
        <v>399</v>
      </c>
      <c r="Y25" s="53" t="e">
        <f ca="1">strcheckdate(O26:W26)</f>
        <v>#NAME?</v>
      </c>
      <c r="Z25" s="121"/>
      <c r="AA25" s="121" t="str">
        <f t="shared" si="0"/>
        <v/>
      </c>
      <c r="AB25" s="121"/>
      <c r="AC25" s="121"/>
    </row>
    <row r="26" spans="1:29" ht="11.25" customHeight="1">
      <c r="A26" s="214" t="s">
        <v>2133</v>
      </c>
      <c r="B26" s="214" t="s">
        <v>2134</v>
      </c>
      <c r="C26" s="214" t="s">
        <v>2135</v>
      </c>
      <c r="D26" s="214" t="s">
        <v>2136</v>
      </c>
      <c r="E26" s="214"/>
      <c r="F26" s="1089"/>
      <c r="G26" s="1089"/>
      <c r="H26" s="1089"/>
      <c r="I26" s="1156"/>
      <c r="J26" s="1156"/>
      <c r="K26" s="408"/>
      <c r="L26" s="370"/>
      <c r="M26" s="396"/>
      <c r="N26" s="396"/>
      <c r="O26" s="412"/>
      <c r="P26" s="412"/>
      <c r="Q26" s="412"/>
      <c r="R26" s="415" t="str">
        <f>S25&amp;"-"&amp;U25</f>
        <v>-</v>
      </c>
      <c r="S26" s="1158"/>
      <c r="T26" s="1105"/>
      <c r="U26" s="1158"/>
      <c r="V26" s="1105"/>
      <c r="W26" s="412"/>
      <c r="X26" s="1159"/>
      <c r="Z26" s="121"/>
      <c r="AA26" s="121" t="str">
        <f t="shared" si="0"/>
        <v/>
      </c>
      <c r="AB26" s="121"/>
      <c r="AC26" s="121"/>
    </row>
    <row r="27" spans="1:29" ht="15" customHeight="1">
      <c r="A27" s="214" t="s">
        <v>2133</v>
      </c>
      <c r="B27" s="214" t="s">
        <v>2134</v>
      </c>
      <c r="C27" s="214" t="s">
        <v>2135</v>
      </c>
      <c r="D27" s="214" t="s">
        <v>2136</v>
      </c>
      <c r="E27" s="214"/>
      <c r="F27" s="1089"/>
      <c r="G27" s="1089"/>
      <c r="I27" s="1156"/>
      <c r="J27" s="1156"/>
      <c r="K27" s="405"/>
      <c r="L27" s="416"/>
      <c r="M27" s="417" t="s">
        <v>400</v>
      </c>
      <c r="N27" s="186"/>
      <c r="O27" s="186"/>
      <c r="P27" s="186"/>
      <c r="Q27" s="186"/>
      <c r="R27" s="186"/>
      <c r="S27" s="186"/>
      <c r="T27" s="186"/>
      <c r="U27" s="186"/>
      <c r="V27" s="186"/>
      <c r="W27" s="418"/>
      <c r="X27" s="1159"/>
      <c r="Z27" s="121"/>
      <c r="AA27" s="121" t="str">
        <f t="shared" si="0"/>
        <v>Добавить вид теплоносителя (параметры теплоносителя)</v>
      </c>
      <c r="AB27" s="121"/>
      <c r="AC27" s="121"/>
    </row>
    <row r="28" spans="1:29" ht="15" customHeight="1">
      <c r="A28" s="214" t="s">
        <v>2133</v>
      </c>
      <c r="B28" s="214" t="s">
        <v>2134</v>
      </c>
      <c r="C28" s="214" t="s">
        <v>2135</v>
      </c>
      <c r="D28" s="214" t="s">
        <v>2136</v>
      </c>
      <c r="E28" s="214"/>
      <c r="F28" s="1089"/>
      <c r="I28" s="1156"/>
      <c r="J28" s="124"/>
      <c r="K28" s="405"/>
      <c r="L28" s="416"/>
      <c r="M28" s="419" t="s">
        <v>401</v>
      </c>
      <c r="N28" s="186"/>
      <c r="O28" s="186"/>
      <c r="P28" s="186"/>
      <c r="Q28" s="186"/>
      <c r="R28" s="186"/>
      <c r="S28" s="186"/>
      <c r="T28" s="186"/>
      <c r="U28" s="186"/>
      <c r="V28" s="420"/>
      <c r="W28" s="186"/>
      <c r="X28" s="421"/>
      <c r="Z28" s="121"/>
      <c r="AA28" s="121" t="str">
        <f t="shared" si="0"/>
        <v>Добавить группу потребителей</v>
      </c>
      <c r="AB28" s="121"/>
      <c r="AC28" s="121"/>
    </row>
    <row r="29" spans="1:29" ht="14.25" customHeight="1">
      <c r="A29" s="214" t="s">
        <v>2133</v>
      </c>
      <c r="B29" s="214" t="s">
        <v>2134</v>
      </c>
      <c r="C29" s="214" t="s">
        <v>2135</v>
      </c>
      <c r="D29" s="214" t="s">
        <v>2136</v>
      </c>
      <c r="E29" s="214"/>
      <c r="F29" s="254"/>
      <c r="G29" s="254"/>
      <c r="H29" s="46"/>
      <c r="I29" s="134"/>
      <c r="J29" s="422"/>
      <c r="K29" s="393"/>
      <c r="L29" s="416"/>
      <c r="M29" s="423" t="s">
        <v>402</v>
      </c>
      <c r="N29" s="186"/>
      <c r="O29" s="186"/>
      <c r="P29" s="186"/>
      <c r="Q29" s="186"/>
      <c r="R29" s="186"/>
      <c r="S29" s="186"/>
      <c r="T29" s="186"/>
      <c r="U29" s="186"/>
      <c r="V29" s="420"/>
      <c r="W29" s="186"/>
      <c r="X29" s="421"/>
      <c r="Z29" s="121"/>
      <c r="AA29" s="121" t="str">
        <f t="shared" si="0"/>
        <v>Добавить схему подключения</v>
      </c>
      <c r="AB29" s="121"/>
      <c r="AC29" s="121"/>
    </row>
    <row r="30" spans="1:29" ht="14.25" customHeight="1">
      <c r="A30" s="214" t="s">
        <v>2133</v>
      </c>
      <c r="B30" s="214" t="s">
        <v>2134</v>
      </c>
      <c r="C30" s="214" t="s">
        <v>2135</v>
      </c>
      <c r="D30" s="214"/>
      <c r="E30" s="214" t="s">
        <v>566</v>
      </c>
      <c r="F30" s="254"/>
      <c r="G30" s="254"/>
      <c r="H30" s="46"/>
      <c r="I30" s="134"/>
      <c r="J30" s="422"/>
      <c r="K30" s="393"/>
      <c r="L30" s="1041"/>
      <c r="M30" s="1042"/>
      <c r="N30" s="1043"/>
      <c r="O30" s="1043"/>
      <c r="P30" s="1043"/>
      <c r="Q30" s="1043"/>
      <c r="R30" s="1043"/>
      <c r="S30" s="1043"/>
      <c r="T30" s="1043"/>
      <c r="U30" s="1043"/>
      <c r="V30" s="1044"/>
      <c r="W30" s="1043"/>
      <c r="X30" s="1045"/>
      <c r="Z30" s="121"/>
      <c r="AA30" s="121" t="str">
        <f t="shared" si="0"/>
        <v/>
      </c>
      <c r="AB30" s="121"/>
      <c r="AC30" s="121"/>
    </row>
    <row r="31" spans="1:29" ht="14.25" customHeight="1">
      <c r="A31" s="214" t="s">
        <v>2133</v>
      </c>
      <c r="B31" s="214" t="s">
        <v>2134</v>
      </c>
      <c r="C31" s="214"/>
      <c r="D31" s="214"/>
      <c r="E31" s="214" t="s">
        <v>2124</v>
      </c>
      <c r="F31" s="1051"/>
      <c r="G31" s="1051"/>
      <c r="H31" s="46"/>
      <c r="I31" s="234"/>
      <c r="J31" s="422"/>
      <c r="K31" s="899"/>
      <c r="L31" s="1041"/>
      <c r="M31" s="1046"/>
      <c r="N31" s="1043"/>
      <c r="O31" s="1043"/>
      <c r="P31" s="1043"/>
      <c r="Q31" s="1043"/>
      <c r="R31" s="1043"/>
      <c r="S31" s="1043"/>
      <c r="T31" s="1043"/>
      <c r="U31" s="1043"/>
      <c r="V31" s="1044"/>
      <c r="W31" s="1043"/>
      <c r="X31" s="1045"/>
      <c r="Z31" s="121"/>
      <c r="AA31" s="121" t="str">
        <f t="shared" si="0"/>
        <v/>
      </c>
      <c r="AB31" s="121"/>
      <c r="AC31" s="121"/>
    </row>
    <row r="32" spans="1:29" ht="14.25" customHeight="1">
      <c r="A32" s="214" t="s">
        <v>2137</v>
      </c>
      <c r="B32" s="214"/>
      <c r="C32" s="214"/>
      <c r="D32" s="214"/>
      <c r="E32" s="214" t="s">
        <v>100</v>
      </c>
      <c r="F32" s="1051"/>
      <c r="G32" s="1051"/>
      <c r="H32" s="46"/>
      <c r="I32" s="134"/>
      <c r="J32" s="422"/>
      <c r="K32" s="393"/>
      <c r="L32" s="1041"/>
      <c r="M32" s="1047"/>
      <c r="N32" s="1043"/>
      <c r="O32" s="1043"/>
      <c r="P32" s="1043"/>
      <c r="Q32" s="1043"/>
      <c r="R32" s="1043"/>
      <c r="S32" s="1043"/>
      <c r="T32" s="1043"/>
      <c r="U32" s="1043"/>
      <c r="V32" s="1044"/>
      <c r="W32" s="1043"/>
      <c r="X32" s="1045"/>
      <c r="Z32" s="121"/>
      <c r="AA32" s="121" t="str">
        <f t="shared" si="0"/>
        <v/>
      </c>
      <c r="AB32" s="121"/>
      <c r="AC32" s="121"/>
    </row>
    <row r="33" spans="1:29" s="59" customFormat="1" ht="11.25" customHeight="1">
      <c r="A33" s="214"/>
      <c r="B33" s="214"/>
      <c r="C33" s="214"/>
      <c r="D33" s="214"/>
      <c r="E33" s="214" t="s">
        <v>255</v>
      </c>
      <c r="F33" s="1051"/>
      <c r="G33" s="989"/>
      <c r="H33" s="46"/>
      <c r="L33" s="1049"/>
      <c r="M33" s="1050"/>
      <c r="N33" s="1043"/>
      <c r="O33" s="1043"/>
      <c r="P33" s="1043"/>
      <c r="Q33" s="1043"/>
      <c r="R33" s="1043"/>
      <c r="S33" s="1043"/>
      <c r="T33" s="1043"/>
      <c r="U33" s="1043"/>
      <c r="V33" s="1044"/>
      <c r="W33" s="1043"/>
      <c r="X33" s="1045"/>
      <c r="Y33" s="158"/>
      <c r="Z33" s="158"/>
      <c r="AA33" s="158"/>
      <c r="AB33" s="158"/>
      <c r="AC33" s="158"/>
    </row>
    <row r="34" spans="1:29" ht="11.25" customHeight="1">
      <c r="F34" s="46"/>
      <c r="G34" s="46"/>
      <c r="H34" s="46"/>
      <c r="I34" s="46"/>
      <c r="J34" s="46"/>
      <c r="K34" s="46"/>
      <c r="Y34" s="46"/>
      <c r="Z34" s="46"/>
      <c r="AA34" s="46"/>
      <c r="AB34" s="46"/>
      <c r="AC34" s="46"/>
    </row>
    <row r="35" spans="1:29" ht="27" customHeight="1">
      <c r="H35" s="46"/>
      <c r="L35" s="456" t="s">
        <v>698</v>
      </c>
      <c r="M35" s="1312" t="s">
        <v>2126</v>
      </c>
      <c r="N35" s="1312"/>
      <c r="O35" s="1312"/>
      <c r="P35" s="1312"/>
      <c r="Q35" s="1312"/>
      <c r="R35" s="1312"/>
      <c r="S35" s="1312"/>
      <c r="T35" s="1312"/>
      <c r="U35" s="1312"/>
      <c r="V35" s="1312"/>
      <c r="W35" s="1312"/>
      <c r="X35" s="1312"/>
    </row>
    <row r="36" spans="1:29" ht="104.25" customHeight="1">
      <c r="H36" s="46"/>
      <c r="M36" s="1171" t="s">
        <v>2127</v>
      </c>
      <c r="N36" s="1171"/>
      <c r="O36" s="1171"/>
      <c r="P36" s="1171"/>
      <c r="Q36" s="1171"/>
      <c r="R36" s="1171"/>
      <c r="S36" s="1171"/>
      <c r="T36" s="1171"/>
      <c r="U36" s="1171"/>
      <c r="V36" s="1171"/>
      <c r="W36" s="1171"/>
      <c r="X36" s="1171"/>
    </row>
    <row r="37" spans="1:29" ht="14.25" customHeight="1">
      <c r="H37" s="46"/>
    </row>
    <row r="38" spans="1:29" ht="14.25" customHeight="1">
      <c r="H38" s="46"/>
    </row>
    <row r="39" spans="1:29" ht="14.25" customHeight="1">
      <c r="H39" s="46"/>
    </row>
    <row r="40" spans="1:29" ht="14.25" customHeight="1">
      <c r="H40" s="46"/>
    </row>
  </sheetData>
  <mergeCells count="39">
    <mergeCell ref="X25:X27"/>
    <mergeCell ref="M35:X35"/>
    <mergeCell ref="M36:X36"/>
    <mergeCell ref="F23:F28"/>
    <mergeCell ref="I23:I28"/>
    <mergeCell ref="O23:W23"/>
    <mergeCell ref="G24:G27"/>
    <mergeCell ref="J24:J27"/>
    <mergeCell ref="O24:W24"/>
    <mergeCell ref="H25:H26"/>
    <mergeCell ref="S25:S26"/>
    <mergeCell ref="T25:T26"/>
    <mergeCell ref="U25:U26"/>
    <mergeCell ref="V25:V26"/>
    <mergeCell ref="T18:U18"/>
    <mergeCell ref="O19:W19"/>
    <mergeCell ref="O20:W20"/>
    <mergeCell ref="O21:W21"/>
    <mergeCell ref="O22:W22"/>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s>
  <dataValidations count="3">
    <dataValidation allowBlank="1" showInputMessage="1" showErrorMessage="1" prompt="Для выбора выполните двойной щелчок левой клавиши мыши по соответствующей ячейке." sqref="T25 V25">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5 U25">
      <formula1>0</formula1>
      <formula2>0</formula2>
    </dataValidation>
    <dataValidation allowBlank="1" promptTitle="checkPeriodRange" sqref="R26">
      <formula1>0</formula1>
      <formula2>0</formula2>
    </dataValidation>
  </dataValidations>
  <pageMargins left="0.7" right="0.7" top="0.625" bottom="0.625" header="0.3" footer="0.3"/>
  <pageSetup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D69B"/>
  </sheetPr>
  <dimension ref="A1:AC32"/>
  <sheetViews>
    <sheetView showGridLines="0" topLeftCell="A4" zoomScaleNormal="100" workbookViewId="0"/>
  </sheetViews>
  <sheetFormatPr defaultColWidth="10.5703125" defaultRowHeight="14.25"/>
  <cols>
    <col min="1" max="6" width="10.5703125" style="53"/>
    <col min="7" max="8" width="9.140625" style="466" customWidth="1"/>
    <col min="9" max="9" width="3.7109375" style="56" customWidth="1"/>
    <col min="10" max="11" width="3.7109375" style="389" customWidth="1"/>
    <col min="12" max="12" width="12.7109375" style="46" customWidth="1"/>
    <col min="13" max="13" width="47.42578125" style="46" customWidth="1"/>
    <col min="14" max="14" width="2.7109375" style="46" hidden="1" customWidth="1"/>
    <col min="15" max="18" width="23.7109375" style="46" customWidth="1"/>
    <col min="19" max="19" width="11.7109375" style="46" customWidth="1"/>
    <col min="20" max="20" width="3.7109375" style="46" customWidth="1"/>
    <col min="21" max="21" width="11.7109375" style="46" customWidth="1"/>
    <col min="22" max="22" width="8.5703125" style="46" hidden="1" customWidth="1"/>
    <col min="23" max="23" width="4.7109375" style="46" customWidth="1"/>
    <col min="24" max="24" width="115.7109375" style="46" customWidth="1"/>
    <col min="25" max="29" width="10.5703125" style="53"/>
  </cols>
  <sheetData>
    <row r="1" spans="1:29" ht="14.25" hidden="1" customHeight="1"/>
    <row r="2" spans="1:29" ht="14.25" hidden="1" customHeight="1"/>
    <row r="3" spans="1:29" ht="14.25" hidden="1" customHeight="1"/>
    <row r="4" spans="1:29" ht="14.25" customHeight="1">
      <c r="J4" s="437"/>
      <c r="K4" s="437"/>
      <c r="L4" s="83"/>
      <c r="M4" s="83"/>
      <c r="N4" s="83"/>
      <c r="V4" s="83"/>
    </row>
    <row r="5" spans="1:29" ht="14.25" customHeight="1">
      <c r="J5" s="437"/>
      <c r="K5" s="437"/>
      <c r="L5" s="1313" t="s">
        <v>2138</v>
      </c>
      <c r="M5" s="1313"/>
      <c r="N5" s="1313"/>
      <c r="O5" s="1313"/>
      <c r="P5" s="1313"/>
      <c r="Q5" s="1313"/>
      <c r="R5" s="1313"/>
      <c r="S5" s="1313"/>
      <c r="T5" s="1313"/>
      <c r="U5" s="366"/>
      <c r="V5" s="366"/>
    </row>
    <row r="6" spans="1:29" ht="14.25" customHeight="1">
      <c r="J6" s="437"/>
      <c r="K6" s="437"/>
      <c r="L6" s="83"/>
      <c r="M6" s="83"/>
      <c r="N6" s="83"/>
      <c r="O6" s="439"/>
      <c r="P6" s="439"/>
      <c r="Q6" s="439"/>
      <c r="R6" s="439"/>
      <c r="S6" s="439"/>
      <c r="T6" s="439"/>
      <c r="U6" s="83"/>
    </row>
    <row r="7" spans="1:29" s="174" customFormat="1" ht="22.5" customHeight="1">
      <c r="A7" s="121"/>
      <c r="B7" s="121"/>
      <c r="C7" s="121"/>
      <c r="D7" s="121"/>
      <c r="E7" s="121"/>
      <c r="F7" s="121"/>
      <c r="G7" s="121"/>
      <c r="H7" s="121"/>
      <c r="L7" s="974"/>
      <c r="M7" s="440" t="s">
        <v>37</v>
      </c>
      <c r="N7" s="935"/>
      <c r="O7" s="1163" t="e">
        <f>IF(nameorpr_ch="",IF(nameorpr="","",nameorpr),nameorpr_ch)</f>
        <v>#NAME?</v>
      </c>
      <c r="P7" s="1163"/>
      <c r="Q7" s="1163"/>
      <c r="R7" s="1163"/>
      <c r="S7" s="1163"/>
      <c r="T7" s="1163"/>
      <c r="U7" s="1052"/>
      <c r="Y7" s="121"/>
      <c r="Z7" s="121"/>
      <c r="AA7" s="121"/>
      <c r="AB7" s="121"/>
      <c r="AC7" s="121"/>
    </row>
    <row r="8" spans="1:29" s="174" customFormat="1" ht="18.75" customHeight="1">
      <c r="A8" s="121"/>
      <c r="B8" s="121"/>
      <c r="C8" s="121"/>
      <c r="D8" s="121"/>
      <c r="E8" s="121"/>
      <c r="F8" s="121"/>
      <c r="G8" s="121"/>
      <c r="H8" s="121"/>
      <c r="L8" s="974"/>
      <c r="M8" s="440" t="s">
        <v>410</v>
      </c>
      <c r="N8" s="935"/>
      <c r="O8" s="1163" t="e">
        <f>IF(datepr_ch="",IF(datepr="","",datepr),datepr_ch)</f>
        <v>#NAME?</v>
      </c>
      <c r="P8" s="1163"/>
      <c r="Q8" s="1163"/>
      <c r="R8" s="1163"/>
      <c r="S8" s="1163"/>
      <c r="T8" s="1163"/>
      <c r="U8" s="1052"/>
      <c r="Y8" s="121"/>
      <c r="Z8" s="121"/>
      <c r="AA8" s="121"/>
      <c r="AB8" s="121"/>
      <c r="AC8" s="121"/>
    </row>
    <row r="9" spans="1:29" s="174" customFormat="1" ht="18.75" customHeight="1">
      <c r="A9" s="121"/>
      <c r="B9" s="121"/>
      <c r="C9" s="121"/>
      <c r="D9" s="121"/>
      <c r="E9" s="121"/>
      <c r="F9" s="121"/>
      <c r="G9" s="121"/>
      <c r="H9" s="121"/>
      <c r="L9" s="46"/>
      <c r="M9" s="440" t="s">
        <v>411</v>
      </c>
      <c r="N9" s="935"/>
      <c r="O9" s="1163" t="e">
        <f>IF(numberpr_ch="",IF(numberpr="","",numberpr),numberpr_ch)</f>
        <v>#NAME?</v>
      </c>
      <c r="P9" s="1163"/>
      <c r="Q9" s="1163"/>
      <c r="R9" s="1163"/>
      <c r="S9" s="1163"/>
      <c r="T9" s="1163"/>
      <c r="U9" s="1052"/>
      <c r="Y9" s="121"/>
      <c r="Z9" s="121"/>
      <c r="AA9" s="121"/>
      <c r="AB9" s="121"/>
      <c r="AC9" s="121"/>
    </row>
    <row r="10" spans="1:29" s="174" customFormat="1" ht="18.75" customHeight="1">
      <c r="A10" s="121"/>
      <c r="B10" s="121"/>
      <c r="C10" s="121"/>
      <c r="D10" s="121"/>
      <c r="E10" s="121"/>
      <c r="F10" s="121"/>
      <c r="G10" s="121"/>
      <c r="H10" s="121"/>
      <c r="L10" s="46"/>
      <c r="M10" s="440" t="s">
        <v>39</v>
      </c>
      <c r="N10" s="935"/>
      <c r="O10" s="1163" t="e">
        <f>IF(istpub_ch="",IF(istpub="","",istpub),istpub_ch)</f>
        <v>#NAME?</v>
      </c>
      <c r="P10" s="1163"/>
      <c r="Q10" s="1163"/>
      <c r="R10" s="1163"/>
      <c r="S10" s="1163"/>
      <c r="T10" s="1163"/>
      <c r="U10" s="1052"/>
      <c r="Y10" s="121"/>
      <c r="Z10" s="121"/>
      <c r="AA10" s="121"/>
      <c r="AB10" s="121"/>
      <c r="AC10" s="121"/>
    </row>
    <row r="11" spans="1:29" s="174" customFormat="1" ht="18.75" hidden="1" customHeight="1">
      <c r="A11" s="121"/>
      <c r="B11" s="121"/>
      <c r="C11" s="121"/>
      <c r="D11" s="121"/>
      <c r="E11" s="121"/>
      <c r="F11" s="121"/>
      <c r="G11" s="121"/>
      <c r="H11" s="121"/>
      <c r="L11" s="46"/>
      <c r="M11" s="1053"/>
      <c r="O11" s="114"/>
      <c r="P11" s="114"/>
      <c r="Q11" s="121" t="s">
        <v>2139</v>
      </c>
      <c r="R11" s="121" t="s">
        <v>2140</v>
      </c>
      <c r="S11" s="114"/>
      <c r="T11" s="114"/>
      <c r="U11" s="1052"/>
      <c r="Y11" s="121"/>
      <c r="Z11" s="121"/>
      <c r="AA11" s="121"/>
      <c r="AB11" s="121"/>
      <c r="AC11" s="121"/>
    </row>
    <row r="12" spans="1:29" s="174" customFormat="1" ht="11.25" hidden="1" customHeight="1">
      <c r="A12" s="121"/>
      <c r="B12" s="121"/>
      <c r="C12" s="121"/>
      <c r="D12" s="121"/>
      <c r="E12" s="121"/>
      <c r="F12" s="121"/>
      <c r="G12" s="121"/>
      <c r="H12" s="121"/>
      <c r="L12" s="1309"/>
      <c r="M12" s="1309"/>
      <c r="N12" s="131"/>
      <c r="O12" s="46"/>
      <c r="P12" s="46"/>
      <c r="Q12" s="46"/>
      <c r="R12" s="46"/>
      <c r="S12" s="46"/>
      <c r="T12" s="46"/>
      <c r="U12" s="254"/>
      <c r="V12" s="53" t="s">
        <v>414</v>
      </c>
      <c r="Y12" s="121"/>
      <c r="Z12" s="121"/>
      <c r="AA12" s="121"/>
      <c r="AB12" s="121"/>
      <c r="AC12" s="121"/>
    </row>
    <row r="13" spans="1:29" ht="14.25" customHeight="1">
      <c r="J13" s="437"/>
      <c r="K13" s="437"/>
      <c r="L13" s="83"/>
      <c r="M13" s="83"/>
      <c r="N13" s="83"/>
      <c r="O13" s="1054"/>
      <c r="P13" s="1054"/>
      <c r="Q13" s="1314"/>
      <c r="R13" s="1314"/>
      <c r="S13" s="1314"/>
      <c r="T13" s="1314"/>
      <c r="U13" s="1314"/>
      <c r="V13" s="1314"/>
    </row>
    <row r="14" spans="1:29" ht="14.25" customHeight="1">
      <c r="J14" s="437"/>
      <c r="K14" s="437"/>
      <c r="L14" s="1087" t="s">
        <v>287</v>
      </c>
      <c r="M14" s="1087"/>
      <c r="N14" s="1087"/>
      <c r="O14" s="1087"/>
      <c r="P14" s="1087"/>
      <c r="Q14" s="1087"/>
      <c r="R14" s="1087"/>
      <c r="S14" s="1087"/>
      <c r="T14" s="1087"/>
      <c r="U14" s="1087"/>
      <c r="V14" s="1087"/>
      <c r="W14" s="1087"/>
      <c r="X14" s="1087" t="s">
        <v>288</v>
      </c>
    </row>
    <row r="15" spans="1:29" ht="14.25" customHeight="1">
      <c r="J15" s="437"/>
      <c r="K15" s="437"/>
      <c r="L15" s="1167" t="s">
        <v>84</v>
      </c>
      <c r="M15" s="1167" t="s">
        <v>2141</v>
      </c>
      <c r="N15" s="368"/>
      <c r="O15" s="1167" t="s">
        <v>2142</v>
      </c>
      <c r="P15" s="1140" t="s">
        <v>2143</v>
      </c>
      <c r="Q15" s="1140" t="s">
        <v>2123</v>
      </c>
      <c r="R15" s="1140"/>
      <c r="S15" s="1140"/>
      <c r="T15" s="1140"/>
      <c r="U15" s="1140"/>
      <c r="V15" s="1167" t="s">
        <v>417</v>
      </c>
      <c r="W15" s="1168" t="s">
        <v>1040</v>
      </c>
      <c r="X15" s="1087"/>
    </row>
    <row r="16" spans="1:29" ht="25.5" customHeight="1">
      <c r="J16" s="437"/>
      <c r="K16" s="437"/>
      <c r="L16" s="1167"/>
      <c r="M16" s="1167"/>
      <c r="N16" s="368"/>
      <c r="O16" s="1167"/>
      <c r="P16" s="1140"/>
      <c r="Q16" s="1140" t="s">
        <v>2144</v>
      </c>
      <c r="R16" s="1140"/>
      <c r="S16" s="1087" t="s">
        <v>435</v>
      </c>
      <c r="T16" s="1087"/>
      <c r="U16" s="1087"/>
      <c r="V16" s="1167"/>
      <c r="W16" s="1168"/>
      <c r="X16" s="1087"/>
    </row>
    <row r="17" spans="1:29" ht="14.25" customHeight="1">
      <c r="J17" s="437"/>
      <c r="K17" s="437"/>
      <c r="L17" s="1167"/>
      <c r="M17" s="1167"/>
      <c r="N17" s="368"/>
      <c r="O17" s="1167"/>
      <c r="P17" s="1140"/>
      <c r="Q17" s="368" t="s">
        <v>464</v>
      </c>
      <c r="R17" s="368" t="s">
        <v>465</v>
      </c>
      <c r="S17" s="203" t="s">
        <v>433</v>
      </c>
      <c r="T17" s="1108" t="s">
        <v>434</v>
      </c>
      <c r="U17" s="1108"/>
      <c r="V17" s="1167"/>
      <c r="W17" s="1168"/>
      <c r="X17" s="1087"/>
    </row>
    <row r="18" spans="1:29" ht="14.25" customHeight="1">
      <c r="J18" s="437"/>
      <c r="K18" s="508">
        <v>1</v>
      </c>
      <c r="L18" s="342" t="s">
        <v>105</v>
      </c>
      <c r="M18" s="342" t="s">
        <v>106</v>
      </c>
      <c r="N18" s="204" t="s">
        <v>106</v>
      </c>
      <c r="O18" s="341">
        <f t="shared" ref="O18:T18" ca="1" si="0">OFFSET(O18,0,-1)+1</f>
        <v>3</v>
      </c>
      <c r="P18" s="341">
        <f t="shared" ca="1" si="0"/>
        <v>4</v>
      </c>
      <c r="Q18" s="341">
        <f t="shared" ca="1" si="0"/>
        <v>5</v>
      </c>
      <c r="R18" s="341">
        <f t="shared" ca="1" si="0"/>
        <v>6</v>
      </c>
      <c r="S18" s="341">
        <f t="shared" ca="1" si="0"/>
        <v>7</v>
      </c>
      <c r="T18" s="1315">
        <f t="shared" ca="1" si="0"/>
        <v>8</v>
      </c>
      <c r="U18" s="1315"/>
      <c r="V18" s="341">
        <f ca="1">OFFSET(V18,0,-2)+1</f>
        <v>9</v>
      </c>
      <c r="X18" s="341">
        <f ca="1">OFFSET(X18,0,-2)+1</f>
        <v>10</v>
      </c>
    </row>
    <row r="19" spans="1:29" ht="22.5" customHeight="1">
      <c r="A19" s="1156">
        <v>1</v>
      </c>
      <c r="J19" s="437"/>
      <c r="K19" s="437"/>
      <c r="L19" s="394" t="e">
        <f ca="1">mergevalue(A19)</f>
        <v>#NAME?</v>
      </c>
      <c r="M19" s="395" t="s">
        <v>119</v>
      </c>
      <c r="N19" s="395"/>
      <c r="O19" s="1154"/>
      <c r="P19" s="1154"/>
      <c r="Q19" s="1154"/>
      <c r="R19" s="1154"/>
      <c r="S19" s="1154"/>
      <c r="T19" s="1154"/>
      <c r="U19" s="1154"/>
      <c r="V19" s="1154"/>
      <c r="W19" s="1154"/>
      <c r="X19" s="533" t="s">
        <v>385</v>
      </c>
    </row>
    <row r="20" spans="1:29" ht="22.5" customHeight="1">
      <c r="A20" s="1156"/>
      <c r="B20" s="1156">
        <v>1</v>
      </c>
      <c r="G20" s="1055"/>
      <c r="H20" s="124"/>
      <c r="I20" s="48"/>
      <c r="J20" s="302"/>
      <c r="K20" s="46"/>
      <c r="L20" s="394" t="e">
        <f ca="1">mergevalue(A20)&amp;"."&amp;mergevalue(B20)</f>
        <v>#NAME?</v>
      </c>
      <c r="M20" s="400" t="s">
        <v>386</v>
      </c>
      <c r="N20" s="395"/>
      <c r="O20" s="1154"/>
      <c r="P20" s="1154"/>
      <c r="Q20" s="1154"/>
      <c r="R20" s="1154"/>
      <c r="S20" s="1154"/>
      <c r="T20" s="1154"/>
      <c r="U20" s="1154"/>
      <c r="V20" s="1154"/>
      <c r="W20" s="1154"/>
      <c r="X20" s="533" t="s">
        <v>387</v>
      </c>
    </row>
    <row r="21" spans="1:29" ht="22.5" customHeight="1">
      <c r="A21" s="1156"/>
      <c r="B21" s="1156"/>
      <c r="C21" s="1156">
        <v>1</v>
      </c>
      <c r="G21" s="1055"/>
      <c r="H21" s="124"/>
      <c r="I21" s="52"/>
      <c r="J21" s="302"/>
      <c r="K21" s="46"/>
      <c r="L21" s="394" t="e">
        <f ca="1">mergevalue(A21)&amp;"."&amp;mergevalue(B21)&amp;"."&amp;mergevalue(C21)</f>
        <v>#NAME?</v>
      </c>
      <c r="M21" s="402" t="s">
        <v>388</v>
      </c>
      <c r="N21" s="395"/>
      <c r="O21" s="1154"/>
      <c r="P21" s="1154"/>
      <c r="Q21" s="1154"/>
      <c r="R21" s="1154"/>
      <c r="S21" s="1154"/>
      <c r="T21" s="1154"/>
      <c r="U21" s="1154"/>
      <c r="V21" s="1154"/>
      <c r="W21" s="1154"/>
      <c r="X21" s="533" t="s">
        <v>389</v>
      </c>
    </row>
    <row r="22" spans="1:29" ht="14.25" customHeight="1">
      <c r="A22" s="1156"/>
      <c r="B22" s="1156"/>
      <c r="C22" s="1156"/>
      <c r="D22" s="1156">
        <v>1</v>
      </c>
      <c r="G22" s="1055"/>
      <c r="H22" s="124"/>
      <c r="I22" s="52"/>
      <c r="J22" s="1056"/>
      <c r="K22" s="46"/>
      <c r="L22" s="394" t="e">
        <f ca="1">mergevalue(A22)&amp;"."&amp;mergevalue(B22)&amp;"."&amp;mergevalue(C22)&amp;"."&amp;mergevalue(D22)</f>
        <v>#NAME?</v>
      </c>
      <c r="M22" s="403" t="s">
        <v>390</v>
      </c>
      <c r="N22" s="395"/>
      <c r="O22" s="1154"/>
      <c r="P22" s="1154"/>
      <c r="Q22" s="1154"/>
      <c r="R22" s="1154"/>
      <c r="S22" s="1154"/>
      <c r="T22" s="1154"/>
      <c r="U22" s="1154"/>
      <c r="V22" s="1154"/>
      <c r="W22" s="1154"/>
      <c r="X22" s="444" t="s">
        <v>2145</v>
      </c>
    </row>
    <row r="23" spans="1:29" ht="22.5" customHeight="1">
      <c r="A23" s="1156"/>
      <c r="B23" s="1156"/>
      <c r="C23" s="1156"/>
      <c r="D23" s="1156"/>
      <c r="E23" s="53">
        <v>1</v>
      </c>
      <c r="G23" s="1055"/>
      <c r="H23" s="124"/>
      <c r="I23" s="52"/>
      <c r="J23" s="1056"/>
      <c r="K23" s="120"/>
      <c r="L23" s="394" t="e">
        <f ca="1">mergevalue(A23)&amp;"."&amp;mergevalue(B23)&amp;"."&amp;mergevalue(C23)&amp;"."&amp;mergevalue(D23)&amp;"."&amp;mergevalue(E23)</f>
        <v>#NAME?</v>
      </c>
      <c r="M23" s="1057"/>
      <c r="N23" s="190"/>
      <c r="O23" s="224"/>
      <c r="P23" s="350"/>
      <c r="Q23" s="1058"/>
      <c r="R23" s="1058"/>
      <c r="S23" s="414"/>
      <c r="T23" s="191" t="s">
        <v>53</v>
      </c>
      <c r="U23" s="274"/>
      <c r="V23" s="191" t="s">
        <v>53</v>
      </c>
      <c r="W23" s="1059"/>
      <c r="X23" s="1152" t="s">
        <v>2146</v>
      </c>
      <c r="Y23" s="53" t="e">
        <f ca="1">strcheckdatetwo(N23:W23)</f>
        <v>#NAME?</v>
      </c>
    </row>
    <row r="24" spans="1:29" ht="14.25" hidden="1" customHeight="1">
      <c r="A24" s="1156"/>
      <c r="B24" s="1156"/>
      <c r="C24" s="1156"/>
      <c r="D24" s="1156"/>
      <c r="G24" s="1055"/>
      <c r="H24" s="124"/>
      <c r="I24" s="52"/>
      <c r="J24" s="1056"/>
      <c r="K24" s="120"/>
      <c r="L24" s="549"/>
      <c r="M24" s="487"/>
      <c r="N24" s="396"/>
      <c r="O24" s="396"/>
      <c r="P24" s="396"/>
      <c r="Q24" s="396"/>
      <c r="R24" s="415" t="str">
        <f>S23&amp;"-"&amp;U23</f>
        <v>-</v>
      </c>
      <c r="S24" s="627"/>
      <c r="T24" s="484"/>
      <c r="U24" s="627"/>
      <c r="V24" s="396"/>
      <c r="W24" s="1060"/>
      <c r="X24" s="1152"/>
    </row>
    <row r="25" spans="1:29" ht="14.25" customHeight="1">
      <c r="A25" s="1156"/>
      <c r="B25" s="1156"/>
      <c r="C25" s="1156"/>
      <c r="D25" s="1156"/>
      <c r="G25" s="1055"/>
      <c r="H25" s="124"/>
      <c r="I25" s="52"/>
      <c r="J25" s="1056"/>
      <c r="K25" s="120"/>
      <c r="L25" s="1061"/>
      <c r="M25" s="423" t="s">
        <v>453</v>
      </c>
      <c r="N25" s="199"/>
      <c r="O25" s="1062"/>
      <c r="P25" s="1062"/>
      <c r="Q25" s="1062"/>
      <c r="R25" s="1062"/>
      <c r="S25" s="420"/>
      <c r="T25" s="186"/>
      <c r="U25" s="420"/>
      <c r="V25" s="199"/>
      <c r="W25" s="199"/>
      <c r="X25" s="1152"/>
    </row>
    <row r="26" spans="1:29" s="59" customFormat="1" ht="14.25" customHeight="1">
      <c r="A26" s="1156"/>
      <c r="B26" s="1156"/>
      <c r="C26" s="1156"/>
      <c r="D26" s="158"/>
      <c r="E26" s="158"/>
      <c r="F26" s="158"/>
      <c r="G26" s="1055"/>
      <c r="H26" s="158"/>
      <c r="I26" s="52"/>
      <c r="J26" s="422"/>
      <c r="K26" s="134"/>
      <c r="L26" s="1061"/>
      <c r="M26" s="521" t="s">
        <v>566</v>
      </c>
      <c r="N26" s="199"/>
      <c r="O26" s="1062"/>
      <c r="P26" s="1062"/>
      <c r="Q26" s="1062"/>
      <c r="R26" s="1062"/>
      <c r="S26" s="420"/>
      <c r="T26" s="186"/>
      <c r="U26" s="420"/>
      <c r="V26" s="199"/>
      <c r="W26" s="186"/>
      <c r="X26" s="1063"/>
      <c r="Y26" s="158"/>
      <c r="Z26" s="158"/>
      <c r="AA26" s="158"/>
      <c r="AB26" s="158"/>
      <c r="AC26" s="158"/>
    </row>
    <row r="27" spans="1:29" s="59" customFormat="1" ht="14.25" customHeight="1">
      <c r="A27" s="1156"/>
      <c r="B27" s="1156"/>
      <c r="C27" s="158"/>
      <c r="D27" s="158"/>
      <c r="E27" s="158"/>
      <c r="F27" s="158"/>
      <c r="G27" s="1055"/>
      <c r="H27" s="158"/>
      <c r="I27" s="134"/>
      <c r="J27" s="422"/>
      <c r="K27" s="134"/>
      <c r="L27" s="1061"/>
      <c r="M27" s="199" t="s">
        <v>2124</v>
      </c>
      <c r="N27" s="199"/>
      <c r="O27" s="1062"/>
      <c r="P27" s="1062"/>
      <c r="Q27" s="1062"/>
      <c r="R27" s="1062"/>
      <c r="S27" s="420"/>
      <c r="T27" s="186"/>
      <c r="U27" s="420"/>
      <c r="V27" s="199"/>
      <c r="W27" s="186"/>
      <c r="X27" s="418"/>
      <c r="Y27" s="158"/>
      <c r="Z27" s="158"/>
      <c r="AA27" s="158"/>
      <c r="AB27" s="158"/>
      <c r="AC27" s="158"/>
    </row>
    <row r="28" spans="1:29" s="59" customFormat="1" ht="14.25" customHeight="1">
      <c r="A28" s="1156"/>
      <c r="B28" s="158"/>
      <c r="C28" s="158"/>
      <c r="D28" s="158"/>
      <c r="E28" s="158"/>
      <c r="F28" s="158"/>
      <c r="G28" s="1055"/>
      <c r="H28" s="158"/>
      <c r="I28" s="134"/>
      <c r="J28" s="422"/>
      <c r="K28" s="134"/>
      <c r="L28" s="1061"/>
      <c r="M28" s="163" t="s">
        <v>100</v>
      </c>
      <c r="N28" s="199"/>
      <c r="O28" s="1062"/>
      <c r="P28" s="1062"/>
      <c r="Q28" s="1062"/>
      <c r="R28" s="1062"/>
      <c r="S28" s="420"/>
      <c r="T28" s="186"/>
      <c r="U28" s="420"/>
      <c r="V28" s="199"/>
      <c r="W28" s="186"/>
      <c r="X28" s="418"/>
      <c r="Y28" s="158"/>
      <c r="Z28" s="158"/>
      <c r="AA28" s="158"/>
      <c r="AB28" s="158"/>
      <c r="AC28" s="158"/>
    </row>
    <row r="29" spans="1:29" s="59" customFormat="1" ht="14.25" customHeight="1">
      <c r="G29" s="709"/>
      <c r="H29" s="134"/>
      <c r="I29" s="234"/>
      <c r="J29" s="422"/>
      <c r="L29" s="1061"/>
      <c r="M29" s="168" t="s">
        <v>255</v>
      </c>
      <c r="N29" s="199"/>
      <c r="O29" s="1062"/>
      <c r="P29" s="1062"/>
      <c r="Q29" s="1062"/>
      <c r="R29" s="1062"/>
      <c r="S29" s="420"/>
      <c r="T29" s="186"/>
      <c r="U29" s="420"/>
      <c r="V29" s="199"/>
      <c r="W29" s="186"/>
      <c r="X29" s="418"/>
      <c r="Y29" s="158"/>
      <c r="Z29" s="158"/>
      <c r="AA29" s="158"/>
      <c r="AB29" s="158"/>
      <c r="AC29" s="158"/>
    </row>
    <row r="31" spans="1:29" ht="14.25" customHeight="1">
      <c r="L31" s="318">
        <v>1</v>
      </c>
      <c r="M31" s="1312" t="s">
        <v>2147</v>
      </c>
      <c r="N31" s="1312"/>
      <c r="O31" s="1312"/>
      <c r="P31" s="1312"/>
      <c r="Q31" s="1312"/>
      <c r="R31" s="1312"/>
      <c r="S31" s="1312"/>
      <c r="T31" s="1312"/>
      <c r="U31" s="1312"/>
      <c r="V31" s="1312"/>
      <c r="W31" s="1312"/>
      <c r="X31" s="1312"/>
      <c r="Y31" s="1064"/>
      <c r="Z31" s="318"/>
      <c r="AA31" s="318"/>
      <c r="AB31" s="318"/>
      <c r="AC31" s="318"/>
    </row>
    <row r="32" spans="1:29" ht="14.25" customHeight="1">
      <c r="M32" s="923"/>
      <c r="N32" s="923"/>
      <c r="O32" s="923"/>
      <c r="P32" s="923"/>
      <c r="Q32" s="923"/>
      <c r="R32" s="923"/>
      <c r="S32" s="923"/>
      <c r="T32" s="923"/>
      <c r="U32" s="923"/>
      <c r="V32" s="923"/>
      <c r="W32" s="923"/>
      <c r="X32" s="923"/>
      <c r="Y32" s="466"/>
      <c r="Z32" s="466"/>
      <c r="AA32" s="466"/>
      <c r="AB32" s="466"/>
      <c r="AC32" s="466"/>
    </row>
  </sheetData>
  <mergeCells count="30">
    <mergeCell ref="X23:X25"/>
    <mergeCell ref="M31:X31"/>
    <mergeCell ref="T18:U18"/>
    <mergeCell ref="A19:A28"/>
    <mergeCell ref="O19:W19"/>
    <mergeCell ref="B20:B27"/>
    <mergeCell ref="O20:W20"/>
    <mergeCell ref="C21:C26"/>
    <mergeCell ref="O21:W21"/>
    <mergeCell ref="D22:D25"/>
    <mergeCell ref="O22:W22"/>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L5:T5"/>
    <mergeCell ref="O7:T7"/>
    <mergeCell ref="O8:T8"/>
    <mergeCell ref="O9:T9"/>
    <mergeCell ref="O10:T10"/>
  </mergeCells>
  <dataValidations count="8">
    <dataValidation allowBlank="1" showInputMessage="1" showErrorMessage="1" prompt="Для выбора выполните двойной щелчок левой клавиши мыши по соответствующей ячейке."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formula1>0</formula1>
      <formula2>0</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formula1>0</formula1>
      <formula2>0</formula2>
    </dataValidation>
    <dataValidation type="textLength" operator="lessThanOrEqual" allowBlank="1" showInputMessage="1" showErrorMessage="1" errorTitle="Ошибка" error="Допускается ввод не более 900 символов!"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formula1>900</formula1>
      <formula2>0</formula2>
    </dataValidation>
    <dataValidation type="decimal" allowBlank="1" showErrorMessage="1" errorTitle="Ошибка" error="Допускается ввод только неотрицательных чисел!"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ormula1>0</formula1>
      <formula2>9.99999999999999E+23</formula2>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formula1>0</formula1>
      <formula2>0</formula2>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formula1>0</formula1>
      <formula2>0</formula2>
    </dataValidation>
    <dataValidation type="textLength" operator="lessThanOrEqual" allowBlank="1" showInputMessage="1" showErrorMessage="1" errorTitle="Ошибка" error="Допускается ввод не более 900 символов!" prompt="Укажите заявителя"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formula1>900</formula1>
      <formula2>0</formula2>
    </dataValidation>
    <dataValidation type="decimal" allowBlank="1" showErrorMessage="1" errorTitle="Ошибка" error="Допускается ввод только действительных чисел!"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formula1>-9.99999999999999E+23</formula1>
      <formula2>9.99999999999999E+23</formula2>
    </dataValidation>
  </dataValidations>
  <pageMargins left="0.7" right="0.7" top="0.625" bottom="0.625" header="0.3" footer="0.3"/>
  <pageSetup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zoomScaleNormal="100" workbookViewId="0"/>
  </sheetViews>
  <sheetFormatPr defaultColWidth="8.85546875" defaultRowHeight="11.25"/>
  <sheetData/>
  <pageMargins left="0.7" right="0.7" top="0.625" bottom="0.625" header="0.3" footer="0.3"/>
  <pageSetup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zoomScaleNormal="100" workbookViewId="0"/>
  </sheetViews>
  <sheetFormatPr defaultColWidth="8.85546875" defaultRowHeight="11.25"/>
  <sheetData/>
  <pageMargins left="0.7" right="0.7" top="0.625" bottom="0.625" header="0.3" footer="0.3"/>
  <pageSetup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zoomScaleNormal="100" workbookViewId="0"/>
  </sheetViews>
  <sheetFormatPr defaultColWidth="8.85546875" defaultRowHeight="11.25"/>
  <sheetData/>
  <pageMargins left="0.7" right="0.7" top="0.625" bottom="0.625" header="0.3" footer="0.3"/>
  <pageSetup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zoomScaleNormal="100" workbookViewId="0"/>
  </sheetViews>
  <sheetFormatPr defaultColWidth="8.85546875" defaultRowHeight="11.25"/>
  <sheetData/>
  <pageMargins left="0.7" right="0.7" top="0.625" bottom="0.625" header="0.3" footer="0.3"/>
  <pageSetup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zoomScaleNormal="100" workbookViewId="0"/>
  </sheetViews>
  <sheetFormatPr defaultColWidth="8.85546875" defaultRowHeight="11.25"/>
  <sheetData/>
  <pageMargins left="0.7" right="0.7" top="0.625" bottom="0.625" header="0.3" footer="0.3"/>
  <pageSetup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zoomScaleNormal="100" workbookViewId="0"/>
  </sheetViews>
  <sheetFormatPr defaultColWidth="8.85546875" defaultRowHeight="11.25"/>
  <sheetData/>
  <pageMargins left="0.7" right="0.7" top="0.625" bottom="0.625" header="0.3" footer="0.3"/>
  <pageSetup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zoomScaleNormal="100" workbookViewId="0"/>
  </sheetViews>
  <sheetFormatPr defaultColWidth="8.85546875" defaultRowHeight="11.25"/>
  <sheetData/>
  <pageMargins left="0.7" right="0.7" top="0.625" bottom="0.625" header="0.3" footer="0.3"/>
  <pageSetup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zoomScaleNormal="100" workbookViewId="0"/>
  </sheetViews>
  <sheetFormatPr defaultColWidth="8.85546875" defaultRowHeight="11.25"/>
  <sheetData>
    <row r="1" spans="1:1" ht="11.25" customHeight="1">
      <c r="A1" s="59"/>
    </row>
  </sheetData>
  <pageMargins left="0.7" right="0.7" top="0.625" bottom="0.625" header="0.3" footer="0.3"/>
  <pageSetup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zoomScaleNormal="100" workbookViewId="0"/>
  </sheetViews>
  <sheetFormatPr defaultColWidth="8.85546875" defaultRowHeight="11.25"/>
  <cols>
    <col min="1" max="1" width="10.5703125" customWidth="1"/>
    <col min="2" max="2" width="8.7109375" customWidth="1"/>
    <col min="3" max="3" width="18.140625" customWidth="1"/>
    <col min="4" max="4" width="12.5703125" customWidth="1"/>
  </cols>
  <sheetData>
    <row r="1" spans="1:5" ht="11.25" customHeight="1">
      <c r="A1" s="817" t="s">
        <v>2148</v>
      </c>
      <c r="B1" s="954" t="s">
        <v>2149</v>
      </c>
      <c r="C1" s="1316" t="s">
        <v>2150</v>
      </c>
      <c r="D1" s="1316"/>
      <c r="E1" s="817" t="s">
        <v>2151</v>
      </c>
    </row>
    <row r="2" spans="1:5" ht="11.25" customHeight="1">
      <c r="A2" s="1066"/>
      <c r="B2" s="1065" t="s">
        <v>22</v>
      </c>
      <c r="C2" s="817"/>
      <c r="D2" s="954"/>
      <c r="E2" s="817"/>
    </row>
    <row r="3" spans="1:5" ht="11.25" customHeight="1">
      <c r="A3" s="1067"/>
      <c r="B3" s="1068" t="s">
        <v>28</v>
      </c>
      <c r="C3" s="817"/>
      <c r="D3" s="954"/>
      <c r="E3" s="817"/>
    </row>
    <row r="4" spans="1:5" ht="11.25" customHeight="1">
      <c r="A4" s="1069"/>
      <c r="B4" s="1068" t="s">
        <v>1645</v>
      </c>
      <c r="C4" s="817"/>
      <c r="D4" s="954"/>
      <c r="E4" s="817"/>
    </row>
    <row r="5" spans="1:5" ht="11.25" customHeight="1">
      <c r="A5" s="1070"/>
      <c r="B5" s="1068" t="s">
        <v>1639</v>
      </c>
      <c r="C5" s="1071" t="s">
        <v>1887</v>
      </c>
      <c r="D5" s="1072" t="s">
        <v>2152</v>
      </c>
      <c r="E5" s="817"/>
    </row>
    <row r="6" spans="1:5" s="59" customFormat="1" ht="11.25" customHeight="1">
      <c r="A6" s="1073"/>
      <c r="B6" s="1068" t="s">
        <v>1649</v>
      </c>
      <c r="C6" s="817"/>
      <c r="D6" s="954"/>
      <c r="E6" s="817"/>
    </row>
    <row r="7" spans="1:5" ht="11.25" customHeight="1">
      <c r="A7" s="1074"/>
      <c r="B7" s="1068" t="s">
        <v>1657</v>
      </c>
      <c r="C7" s="817"/>
      <c r="D7" s="954"/>
      <c r="E7" s="817"/>
    </row>
    <row r="8" spans="1:5" ht="11.25" customHeight="1">
      <c r="A8" s="1071"/>
      <c r="B8" s="1068" t="s">
        <v>1652</v>
      </c>
      <c r="C8" s="817"/>
      <c r="D8" s="954"/>
      <c r="E8" s="817"/>
    </row>
  </sheetData>
  <mergeCells count="1">
    <mergeCell ref="C1:D1"/>
  </mergeCells>
  <pageMargins left="0.7" right="0.7" top="0.625" bottom="0.625" header="0.3" footer="0.3"/>
  <pageSetup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zoomScaleNormal="100" workbookViewId="0"/>
  </sheetViews>
  <sheetFormatPr defaultColWidth="8.85546875" defaultRowHeight="11.25"/>
  <sheetData/>
  <pageMargins left="0.7" right="0.7" top="0.625" bottom="0.625" header="0.3" footer="0.3"/>
  <pageSetup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zoomScaleNormal="100" workbookViewId="0"/>
  </sheetViews>
  <sheetFormatPr defaultColWidth="8.85546875" defaultRowHeight="11.25"/>
  <sheetData/>
  <pageMargins left="0.7" right="0.7" top="0.625" bottom="0.625" header="0.3" footer="0.3"/>
  <pageSetup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78"/>
  <sheetViews>
    <sheetView showGridLines="0" zoomScaleNormal="100" workbookViewId="0"/>
  </sheetViews>
  <sheetFormatPr defaultColWidth="9.140625" defaultRowHeight="11.25"/>
  <cols>
    <col min="1" max="2" width="9.140625" style="59"/>
    <col min="3" max="3" width="20.7109375" style="59" customWidth="1"/>
    <col min="4" max="4" width="25.140625" style="59" customWidth="1"/>
    <col min="5" max="9" width="9.140625" style="59"/>
  </cols>
  <sheetData>
    <row r="1" spans="1:9" ht="11.25" customHeight="1">
      <c r="A1" s="59" t="s">
        <v>2153</v>
      </c>
      <c r="B1" s="59" t="s">
        <v>2154</v>
      </c>
      <c r="C1" s="59" t="s">
        <v>2155</v>
      </c>
      <c r="D1" s="59" t="s">
        <v>2156</v>
      </c>
      <c r="E1" s="59" t="s">
        <v>2157</v>
      </c>
      <c r="F1" s="59" t="s">
        <v>2158</v>
      </c>
      <c r="G1" s="59" t="s">
        <v>2159</v>
      </c>
      <c r="H1" s="59" t="s">
        <v>2160</v>
      </c>
      <c r="I1" s="59" t="s">
        <v>2161</v>
      </c>
    </row>
    <row r="2" spans="1:9" ht="11.25" customHeight="1">
      <c r="A2" s="59" t="s">
        <v>2162</v>
      </c>
      <c r="B2" s="59" t="s">
        <v>14</v>
      </c>
      <c r="C2" s="59" t="s">
        <v>2163</v>
      </c>
      <c r="D2" s="59" t="s">
        <v>2164</v>
      </c>
      <c r="E2" s="59" t="s">
        <v>2165</v>
      </c>
      <c r="F2" s="59" t="s">
        <v>2166</v>
      </c>
      <c r="G2" s="59" t="s">
        <v>2167</v>
      </c>
      <c r="I2" s="59" t="s">
        <v>702</v>
      </c>
    </row>
    <row r="3" spans="1:9" ht="11.25" customHeight="1">
      <c r="A3" s="59" t="s">
        <v>2162</v>
      </c>
      <c r="B3" s="59" t="s">
        <v>14</v>
      </c>
      <c r="C3" s="59" t="s">
        <v>2168</v>
      </c>
      <c r="D3" s="59" t="s">
        <v>2169</v>
      </c>
      <c r="E3" s="59" t="s">
        <v>2170</v>
      </c>
      <c r="F3" s="59" t="s">
        <v>2171</v>
      </c>
      <c r="I3" s="59" t="s">
        <v>702</v>
      </c>
    </row>
    <row r="4" spans="1:9" ht="11.25" customHeight="1">
      <c r="A4" s="59" t="s">
        <v>2162</v>
      </c>
      <c r="B4" s="59" t="s">
        <v>14</v>
      </c>
      <c r="C4" s="59" t="s">
        <v>2172</v>
      </c>
      <c r="D4" s="59" t="s">
        <v>2173</v>
      </c>
      <c r="E4" s="59" t="s">
        <v>2174</v>
      </c>
      <c r="F4" s="59" t="s">
        <v>2175</v>
      </c>
      <c r="G4" s="59" t="s">
        <v>2176</v>
      </c>
      <c r="I4" s="59" t="s">
        <v>702</v>
      </c>
    </row>
    <row r="5" spans="1:9" ht="11.25" customHeight="1">
      <c r="A5" s="59" t="s">
        <v>2162</v>
      </c>
      <c r="B5" s="59" t="s">
        <v>14</v>
      </c>
      <c r="C5" s="59" t="s">
        <v>2177</v>
      </c>
      <c r="D5" s="59" t="s">
        <v>2178</v>
      </c>
      <c r="E5" s="59" t="s">
        <v>2179</v>
      </c>
      <c r="F5" s="59" t="s">
        <v>2180</v>
      </c>
      <c r="I5" s="59" t="s">
        <v>702</v>
      </c>
    </row>
    <row r="6" spans="1:9" ht="11.25" customHeight="1">
      <c r="A6" s="59" t="s">
        <v>2162</v>
      </c>
      <c r="B6" s="59" t="s">
        <v>14</v>
      </c>
      <c r="C6" s="59" t="s">
        <v>2181</v>
      </c>
      <c r="D6" s="59" t="s">
        <v>2182</v>
      </c>
      <c r="E6" s="59" t="s">
        <v>2183</v>
      </c>
      <c r="F6" s="59" t="s">
        <v>2184</v>
      </c>
      <c r="I6" s="59" t="s">
        <v>702</v>
      </c>
    </row>
    <row r="7" spans="1:9" ht="11.25" customHeight="1">
      <c r="A7" s="59" t="s">
        <v>2162</v>
      </c>
      <c r="B7" s="59" t="s">
        <v>14</v>
      </c>
      <c r="C7" s="59" t="s">
        <v>2185</v>
      </c>
      <c r="D7" s="59" t="s">
        <v>2186</v>
      </c>
      <c r="E7" s="59" t="s">
        <v>2187</v>
      </c>
      <c r="F7" s="59" t="s">
        <v>2188</v>
      </c>
      <c r="G7" s="59" t="s">
        <v>2189</v>
      </c>
      <c r="I7" s="59" t="s">
        <v>702</v>
      </c>
    </row>
    <row r="8" spans="1:9" ht="11.25" customHeight="1">
      <c r="A8" s="59" t="s">
        <v>2162</v>
      </c>
      <c r="B8" s="59" t="s">
        <v>14</v>
      </c>
      <c r="C8" s="59" t="s">
        <v>2190</v>
      </c>
      <c r="D8" s="59" t="s">
        <v>2191</v>
      </c>
      <c r="E8" s="59" t="s">
        <v>2192</v>
      </c>
      <c r="F8" s="59" t="s">
        <v>2193</v>
      </c>
      <c r="I8" s="59" t="s">
        <v>702</v>
      </c>
    </row>
    <row r="9" spans="1:9" ht="11.25" customHeight="1">
      <c r="A9" s="59" t="s">
        <v>2162</v>
      </c>
      <c r="B9" s="59" t="s">
        <v>14</v>
      </c>
      <c r="C9" s="59" t="s">
        <v>2194</v>
      </c>
      <c r="D9" s="59" t="s">
        <v>2195</v>
      </c>
      <c r="E9" s="59" t="s">
        <v>2196</v>
      </c>
      <c r="F9" s="59" t="s">
        <v>2197</v>
      </c>
      <c r="G9" s="59" t="s">
        <v>2198</v>
      </c>
      <c r="I9" s="59" t="s">
        <v>702</v>
      </c>
    </row>
    <row r="10" spans="1:9" ht="11.25" customHeight="1">
      <c r="A10" s="59" t="s">
        <v>2162</v>
      </c>
      <c r="B10" s="59" t="s">
        <v>14</v>
      </c>
      <c r="C10" s="59" t="s">
        <v>2199</v>
      </c>
      <c r="D10" s="59" t="s">
        <v>2200</v>
      </c>
      <c r="E10" s="59" t="s">
        <v>2201</v>
      </c>
      <c r="F10" s="59" t="s">
        <v>2202</v>
      </c>
      <c r="I10" s="59" t="s">
        <v>702</v>
      </c>
    </row>
    <row r="11" spans="1:9" ht="11.25" customHeight="1">
      <c r="A11" s="59" t="s">
        <v>2162</v>
      </c>
      <c r="B11" s="59" t="s">
        <v>14</v>
      </c>
      <c r="C11" s="59" t="s">
        <v>2203</v>
      </c>
      <c r="D11" s="59" t="s">
        <v>2204</v>
      </c>
      <c r="E11" s="59" t="s">
        <v>2205</v>
      </c>
      <c r="F11" s="59" t="s">
        <v>2206</v>
      </c>
      <c r="I11" s="59" t="s">
        <v>702</v>
      </c>
    </row>
    <row r="12" spans="1:9" ht="11.25" customHeight="1">
      <c r="A12" s="59" t="s">
        <v>2162</v>
      </c>
      <c r="B12" s="59" t="s">
        <v>14</v>
      </c>
      <c r="C12" s="59" t="s">
        <v>2207</v>
      </c>
      <c r="D12" s="59" t="s">
        <v>2208</v>
      </c>
      <c r="E12" s="59" t="s">
        <v>2209</v>
      </c>
      <c r="F12" s="59" t="s">
        <v>2210</v>
      </c>
      <c r="I12" s="59" t="s">
        <v>702</v>
      </c>
    </row>
    <row r="13" spans="1:9" ht="11.25" customHeight="1">
      <c r="A13" s="59" t="s">
        <v>2162</v>
      </c>
      <c r="B13" s="59" t="s">
        <v>14</v>
      </c>
      <c r="C13" s="59" t="s">
        <v>2211</v>
      </c>
      <c r="D13" s="59" t="s">
        <v>2212</v>
      </c>
      <c r="E13" s="59" t="s">
        <v>2213</v>
      </c>
      <c r="F13" s="59" t="s">
        <v>2166</v>
      </c>
      <c r="I13" s="59" t="s">
        <v>702</v>
      </c>
    </row>
    <row r="14" spans="1:9" ht="11.25" customHeight="1">
      <c r="A14" s="59" t="s">
        <v>2162</v>
      </c>
      <c r="B14" s="59" t="s">
        <v>14</v>
      </c>
      <c r="C14" s="59" t="s">
        <v>2214</v>
      </c>
      <c r="D14" s="59" t="s">
        <v>2215</v>
      </c>
      <c r="E14" s="59" t="s">
        <v>2216</v>
      </c>
      <c r="F14" s="59" t="s">
        <v>2217</v>
      </c>
      <c r="I14" s="59" t="s">
        <v>702</v>
      </c>
    </row>
    <row r="15" spans="1:9" ht="11.25" customHeight="1">
      <c r="A15" s="59" t="s">
        <v>2162</v>
      </c>
      <c r="B15" s="59" t="s">
        <v>14</v>
      </c>
      <c r="C15" s="59" t="s">
        <v>2218</v>
      </c>
      <c r="D15" s="59" t="s">
        <v>2219</v>
      </c>
      <c r="E15" s="59" t="s">
        <v>2216</v>
      </c>
      <c r="F15" s="59" t="s">
        <v>2220</v>
      </c>
      <c r="G15" s="59" t="s">
        <v>2221</v>
      </c>
      <c r="I15" s="59" t="s">
        <v>702</v>
      </c>
    </row>
    <row r="16" spans="1:9" ht="11.25" customHeight="1">
      <c r="A16" s="59" t="s">
        <v>2162</v>
      </c>
      <c r="B16" s="59" t="s">
        <v>14</v>
      </c>
      <c r="C16" s="59" t="s">
        <v>2222</v>
      </c>
      <c r="D16" s="59" t="s">
        <v>2223</v>
      </c>
      <c r="E16" s="59" t="s">
        <v>2224</v>
      </c>
      <c r="F16" s="59" t="s">
        <v>2180</v>
      </c>
      <c r="I16" s="59" t="s">
        <v>702</v>
      </c>
    </row>
    <row r="17" spans="1:9" ht="11.25" customHeight="1">
      <c r="A17" s="59" t="s">
        <v>2162</v>
      </c>
      <c r="B17" s="59" t="s">
        <v>14</v>
      </c>
      <c r="C17" s="59" t="s">
        <v>2225</v>
      </c>
      <c r="D17" s="59" t="s">
        <v>2226</v>
      </c>
      <c r="E17" s="59" t="s">
        <v>2227</v>
      </c>
      <c r="F17" s="59" t="s">
        <v>2228</v>
      </c>
      <c r="G17" s="59" t="s">
        <v>2229</v>
      </c>
      <c r="I17" s="59" t="s">
        <v>702</v>
      </c>
    </row>
    <row r="18" spans="1:9" ht="11.25" customHeight="1">
      <c r="A18" s="59" t="s">
        <v>2162</v>
      </c>
      <c r="B18" s="59" t="s">
        <v>14</v>
      </c>
      <c r="C18" s="59" t="s">
        <v>2230</v>
      </c>
      <c r="D18" s="59" t="s">
        <v>2231</v>
      </c>
      <c r="E18" s="59" t="s">
        <v>2232</v>
      </c>
      <c r="F18" s="59" t="s">
        <v>2233</v>
      </c>
      <c r="I18" s="59" t="s">
        <v>702</v>
      </c>
    </row>
    <row r="19" spans="1:9" ht="11.25" customHeight="1">
      <c r="A19" s="59" t="s">
        <v>2162</v>
      </c>
      <c r="B19" s="59" t="s">
        <v>14</v>
      </c>
      <c r="C19" s="59" t="s">
        <v>2234</v>
      </c>
      <c r="D19" s="59" t="s">
        <v>2235</v>
      </c>
      <c r="E19" s="59" t="s">
        <v>2236</v>
      </c>
      <c r="F19" s="59" t="s">
        <v>2166</v>
      </c>
      <c r="I19" s="59" t="s">
        <v>702</v>
      </c>
    </row>
    <row r="20" spans="1:9" ht="11.25" customHeight="1">
      <c r="A20" s="59" t="s">
        <v>2162</v>
      </c>
      <c r="B20" s="59" t="s">
        <v>14</v>
      </c>
      <c r="C20" s="59" t="s">
        <v>2237</v>
      </c>
      <c r="D20" s="59" t="s">
        <v>2238</v>
      </c>
      <c r="E20" s="59" t="s">
        <v>2239</v>
      </c>
      <c r="F20" s="59" t="s">
        <v>2210</v>
      </c>
      <c r="I20" s="59" t="s">
        <v>702</v>
      </c>
    </row>
    <row r="21" spans="1:9" ht="11.25" customHeight="1">
      <c r="A21" s="59" t="s">
        <v>2162</v>
      </c>
      <c r="B21" s="59" t="s">
        <v>14</v>
      </c>
      <c r="C21" s="59" t="s">
        <v>2240</v>
      </c>
      <c r="D21" s="59" t="s">
        <v>2241</v>
      </c>
      <c r="E21" s="59" t="s">
        <v>2242</v>
      </c>
      <c r="F21" s="59" t="s">
        <v>2243</v>
      </c>
      <c r="H21" s="59" t="s">
        <v>2244</v>
      </c>
      <c r="I21" s="59" t="s">
        <v>702</v>
      </c>
    </row>
    <row r="22" spans="1:9" ht="11.25" customHeight="1">
      <c r="A22" s="59" t="s">
        <v>2162</v>
      </c>
      <c r="B22" s="59" t="s">
        <v>14</v>
      </c>
      <c r="C22" s="59" t="s">
        <v>2245</v>
      </c>
      <c r="D22" s="59" t="s">
        <v>2246</v>
      </c>
      <c r="E22" s="59" t="s">
        <v>2247</v>
      </c>
      <c r="F22" s="59" t="s">
        <v>2248</v>
      </c>
      <c r="I22" s="59" t="s">
        <v>702</v>
      </c>
    </row>
    <row r="23" spans="1:9" ht="11.25" customHeight="1">
      <c r="A23" s="59" t="s">
        <v>2162</v>
      </c>
      <c r="B23" s="59" t="s">
        <v>14</v>
      </c>
      <c r="C23" s="59" t="s">
        <v>2249</v>
      </c>
      <c r="D23" s="59" t="s">
        <v>2250</v>
      </c>
      <c r="E23" s="59" t="s">
        <v>2251</v>
      </c>
      <c r="F23" s="59" t="s">
        <v>2252</v>
      </c>
      <c r="G23" s="59" t="s">
        <v>2253</v>
      </c>
      <c r="I23" s="59" t="s">
        <v>702</v>
      </c>
    </row>
    <row r="24" spans="1:9" ht="11.25" customHeight="1">
      <c r="A24" s="59" t="s">
        <v>2162</v>
      </c>
      <c r="B24" s="59" t="s">
        <v>14</v>
      </c>
      <c r="C24" s="59" t="s">
        <v>2254</v>
      </c>
      <c r="D24" s="59" t="s">
        <v>2255</v>
      </c>
      <c r="E24" s="59" t="s">
        <v>2256</v>
      </c>
      <c r="F24" s="59" t="s">
        <v>2257</v>
      </c>
      <c r="I24" s="59" t="s">
        <v>702</v>
      </c>
    </row>
    <row r="25" spans="1:9" ht="11.25" customHeight="1">
      <c r="A25" s="59" t="s">
        <v>2162</v>
      </c>
      <c r="B25" s="59" t="s">
        <v>14</v>
      </c>
      <c r="C25" s="59" t="s">
        <v>2258</v>
      </c>
      <c r="D25" s="59" t="s">
        <v>2259</v>
      </c>
      <c r="E25" s="59" t="s">
        <v>2260</v>
      </c>
      <c r="F25" s="59" t="s">
        <v>2261</v>
      </c>
      <c r="G25" s="59" t="s">
        <v>2262</v>
      </c>
      <c r="I25" s="59" t="s">
        <v>702</v>
      </c>
    </row>
    <row r="26" spans="1:9" ht="11.25" customHeight="1">
      <c r="A26" s="59" t="s">
        <v>2162</v>
      </c>
      <c r="B26" s="59" t="s">
        <v>14</v>
      </c>
      <c r="C26" s="59" t="s">
        <v>2263</v>
      </c>
      <c r="D26" s="59" t="s">
        <v>2264</v>
      </c>
      <c r="E26" s="59" t="s">
        <v>2265</v>
      </c>
      <c r="F26" s="59" t="s">
        <v>2266</v>
      </c>
      <c r="I26" s="59" t="s">
        <v>702</v>
      </c>
    </row>
    <row r="27" spans="1:9" ht="11.25" customHeight="1">
      <c r="A27" s="59" t="s">
        <v>2162</v>
      </c>
      <c r="B27" s="59" t="s">
        <v>14</v>
      </c>
      <c r="C27" s="59" t="s">
        <v>2267</v>
      </c>
      <c r="D27" s="59" t="s">
        <v>2268</v>
      </c>
      <c r="E27" s="59" t="s">
        <v>2269</v>
      </c>
      <c r="F27" s="59" t="s">
        <v>2233</v>
      </c>
      <c r="I27" s="59" t="s">
        <v>702</v>
      </c>
    </row>
    <row r="28" spans="1:9" ht="11.25" customHeight="1">
      <c r="A28" s="59" t="s">
        <v>2162</v>
      </c>
      <c r="B28" s="59" t="s">
        <v>14</v>
      </c>
      <c r="C28" s="59" t="s">
        <v>2270</v>
      </c>
      <c r="D28" s="59" t="s">
        <v>2271</v>
      </c>
      <c r="E28" s="59" t="s">
        <v>2272</v>
      </c>
      <c r="F28" s="59" t="s">
        <v>2273</v>
      </c>
      <c r="I28" s="59" t="s">
        <v>702</v>
      </c>
    </row>
    <row r="29" spans="1:9" ht="11.25" customHeight="1">
      <c r="A29" s="59" t="s">
        <v>2162</v>
      </c>
      <c r="B29" s="59" t="s">
        <v>14</v>
      </c>
      <c r="C29" s="59" t="s">
        <v>2274</v>
      </c>
      <c r="D29" s="59" t="s">
        <v>2275</v>
      </c>
      <c r="E29" s="59" t="s">
        <v>2276</v>
      </c>
      <c r="F29" s="59" t="s">
        <v>2277</v>
      </c>
      <c r="I29" s="59" t="s">
        <v>702</v>
      </c>
    </row>
    <row r="30" spans="1:9" ht="11.25" customHeight="1">
      <c r="A30" s="59" t="s">
        <v>2162</v>
      </c>
      <c r="B30" s="59" t="s">
        <v>14</v>
      </c>
      <c r="C30" s="59" t="s">
        <v>2278</v>
      </c>
      <c r="D30" s="59" t="s">
        <v>2279</v>
      </c>
      <c r="E30" s="59" t="s">
        <v>2280</v>
      </c>
      <c r="F30" s="59" t="s">
        <v>2220</v>
      </c>
      <c r="G30" s="59" t="s">
        <v>2281</v>
      </c>
      <c r="I30" s="59" t="s">
        <v>702</v>
      </c>
    </row>
    <row r="31" spans="1:9" ht="11.25" customHeight="1">
      <c r="A31" s="59" t="s">
        <v>2162</v>
      </c>
      <c r="B31" s="59" t="s">
        <v>14</v>
      </c>
      <c r="C31" s="59" t="s">
        <v>2282</v>
      </c>
      <c r="D31" s="59" t="s">
        <v>2283</v>
      </c>
      <c r="E31" s="59" t="s">
        <v>2284</v>
      </c>
      <c r="F31" s="59" t="s">
        <v>2202</v>
      </c>
      <c r="I31" s="59" t="s">
        <v>702</v>
      </c>
    </row>
    <row r="32" spans="1:9" ht="11.25" customHeight="1">
      <c r="A32" s="59" t="s">
        <v>2162</v>
      </c>
      <c r="B32" s="59" t="s">
        <v>14</v>
      </c>
      <c r="C32" s="59" t="s">
        <v>2285</v>
      </c>
      <c r="D32" s="59" t="s">
        <v>2286</v>
      </c>
      <c r="E32" s="59" t="s">
        <v>2287</v>
      </c>
      <c r="F32" s="59" t="s">
        <v>2277</v>
      </c>
      <c r="I32" s="59" t="s">
        <v>702</v>
      </c>
    </row>
    <row r="33" spans="1:9" ht="11.25" customHeight="1">
      <c r="A33" s="59" t="s">
        <v>2162</v>
      </c>
      <c r="B33" s="59" t="s">
        <v>14</v>
      </c>
      <c r="C33" s="59" t="s">
        <v>2288</v>
      </c>
      <c r="D33" s="59" t="s">
        <v>2289</v>
      </c>
      <c r="E33" s="59" t="s">
        <v>2290</v>
      </c>
      <c r="F33" s="59" t="s">
        <v>2291</v>
      </c>
      <c r="I33" s="59" t="s">
        <v>702</v>
      </c>
    </row>
    <row r="34" spans="1:9" ht="11.25" customHeight="1">
      <c r="A34" s="59" t="s">
        <v>2162</v>
      </c>
      <c r="B34" s="59" t="s">
        <v>14</v>
      </c>
      <c r="C34" s="59" t="s">
        <v>2292</v>
      </c>
      <c r="D34" s="59" t="s">
        <v>2293</v>
      </c>
      <c r="E34" s="59" t="s">
        <v>2294</v>
      </c>
      <c r="F34" s="59" t="s">
        <v>2248</v>
      </c>
      <c r="G34" s="59" t="s">
        <v>2295</v>
      </c>
      <c r="I34" s="59" t="s">
        <v>702</v>
      </c>
    </row>
    <row r="35" spans="1:9" ht="11.25" customHeight="1">
      <c r="A35" s="59" t="s">
        <v>2162</v>
      </c>
      <c r="B35" s="59" t="s">
        <v>14</v>
      </c>
      <c r="C35" s="59" t="s">
        <v>2296</v>
      </c>
      <c r="D35" s="59" t="s">
        <v>2297</v>
      </c>
      <c r="E35" s="59" t="s">
        <v>2298</v>
      </c>
      <c r="F35" s="59" t="s">
        <v>2299</v>
      </c>
      <c r="G35" s="59" t="s">
        <v>2300</v>
      </c>
      <c r="I35" s="59" t="s">
        <v>702</v>
      </c>
    </row>
    <row r="36" spans="1:9" ht="11.25" customHeight="1">
      <c r="A36" s="59" t="s">
        <v>2162</v>
      </c>
      <c r="B36" s="59" t="s">
        <v>14</v>
      </c>
      <c r="C36" s="59" t="s">
        <v>2301</v>
      </c>
      <c r="D36" s="59" t="s">
        <v>2302</v>
      </c>
      <c r="E36" s="59" t="s">
        <v>2179</v>
      </c>
      <c r="F36" s="59" t="s">
        <v>2303</v>
      </c>
      <c r="G36" s="59" t="s">
        <v>2304</v>
      </c>
      <c r="I36" s="59" t="s">
        <v>702</v>
      </c>
    </row>
    <row r="37" spans="1:9" ht="11.25" customHeight="1">
      <c r="A37" s="59" t="s">
        <v>2162</v>
      </c>
      <c r="B37" s="59" t="s">
        <v>14</v>
      </c>
      <c r="C37" s="59" t="s">
        <v>2305</v>
      </c>
      <c r="D37" s="59" t="s">
        <v>2306</v>
      </c>
      <c r="E37" s="59" t="s">
        <v>2307</v>
      </c>
      <c r="F37" s="59" t="s">
        <v>2308</v>
      </c>
      <c r="G37" s="59" t="s">
        <v>2309</v>
      </c>
      <c r="I37" s="59" t="s">
        <v>702</v>
      </c>
    </row>
    <row r="38" spans="1:9" ht="11.25" customHeight="1">
      <c r="A38" s="59" t="s">
        <v>2162</v>
      </c>
      <c r="B38" s="59" t="s">
        <v>14</v>
      </c>
      <c r="C38" s="59" t="s">
        <v>2310</v>
      </c>
      <c r="D38" s="59" t="s">
        <v>2311</v>
      </c>
      <c r="E38" s="59" t="s">
        <v>2312</v>
      </c>
      <c r="F38" s="59" t="s">
        <v>2308</v>
      </c>
      <c r="G38" s="59" t="s">
        <v>2313</v>
      </c>
      <c r="I38" s="59" t="s">
        <v>702</v>
      </c>
    </row>
    <row r="39" spans="1:9" ht="11.25" customHeight="1">
      <c r="A39" s="59" t="s">
        <v>2162</v>
      </c>
      <c r="B39" s="59" t="s">
        <v>14</v>
      </c>
      <c r="C39" s="59" t="s">
        <v>2314</v>
      </c>
      <c r="D39" s="59" t="s">
        <v>2315</v>
      </c>
      <c r="E39" s="59" t="s">
        <v>2316</v>
      </c>
      <c r="F39" s="59" t="s">
        <v>2317</v>
      </c>
      <c r="I39" s="59" t="s">
        <v>702</v>
      </c>
    </row>
    <row r="40" spans="1:9" ht="11.25" customHeight="1">
      <c r="A40" s="59" t="s">
        <v>2162</v>
      </c>
      <c r="B40" s="59" t="s">
        <v>14</v>
      </c>
      <c r="C40" s="59" t="s">
        <v>2318</v>
      </c>
      <c r="D40" s="59" t="s">
        <v>2319</v>
      </c>
      <c r="E40" s="59" t="s">
        <v>2320</v>
      </c>
      <c r="F40" s="59" t="s">
        <v>2166</v>
      </c>
      <c r="I40" s="59" t="s">
        <v>702</v>
      </c>
    </row>
    <row r="41" spans="1:9" ht="11.25" customHeight="1">
      <c r="A41" s="59" t="s">
        <v>2162</v>
      </c>
      <c r="B41" s="59" t="s">
        <v>14</v>
      </c>
      <c r="C41" s="59" t="s">
        <v>2321</v>
      </c>
      <c r="D41" s="59" t="s">
        <v>2322</v>
      </c>
      <c r="E41" s="59" t="s">
        <v>2323</v>
      </c>
      <c r="F41" s="59" t="s">
        <v>2166</v>
      </c>
      <c r="I41" s="59" t="s">
        <v>702</v>
      </c>
    </row>
    <row r="42" spans="1:9" ht="11.25" customHeight="1">
      <c r="A42" s="59" t="s">
        <v>2162</v>
      </c>
      <c r="B42" s="59" t="s">
        <v>14</v>
      </c>
      <c r="C42" s="59" t="s">
        <v>2324</v>
      </c>
      <c r="D42" s="59" t="s">
        <v>2325</v>
      </c>
      <c r="E42" s="59" t="s">
        <v>2326</v>
      </c>
      <c r="F42" s="59" t="s">
        <v>2308</v>
      </c>
      <c r="I42" s="59" t="s">
        <v>702</v>
      </c>
    </row>
    <row r="43" spans="1:9" ht="11.25" customHeight="1">
      <c r="A43" s="59" t="s">
        <v>2162</v>
      </c>
      <c r="B43" s="59" t="s">
        <v>14</v>
      </c>
      <c r="C43" s="59" t="s">
        <v>2327</v>
      </c>
      <c r="D43" s="59" t="s">
        <v>2328</v>
      </c>
      <c r="E43" s="59" t="s">
        <v>2329</v>
      </c>
      <c r="F43" s="59" t="s">
        <v>2330</v>
      </c>
      <c r="I43" s="59" t="s">
        <v>702</v>
      </c>
    </row>
    <row r="44" spans="1:9" ht="11.25" customHeight="1">
      <c r="A44" s="59" t="s">
        <v>2162</v>
      </c>
      <c r="B44" s="59" t="s">
        <v>14</v>
      </c>
      <c r="C44" s="59" t="s">
        <v>2331</v>
      </c>
      <c r="D44" s="59" t="s">
        <v>2332</v>
      </c>
      <c r="E44" s="59" t="s">
        <v>2333</v>
      </c>
      <c r="F44" s="59" t="s">
        <v>2291</v>
      </c>
      <c r="G44" s="59" t="s">
        <v>2334</v>
      </c>
      <c r="I44" s="59" t="s">
        <v>702</v>
      </c>
    </row>
    <row r="45" spans="1:9" ht="11.25" customHeight="1">
      <c r="A45" s="59" t="s">
        <v>2162</v>
      </c>
      <c r="B45" s="59" t="s">
        <v>14</v>
      </c>
      <c r="C45" s="59" t="s">
        <v>2335</v>
      </c>
      <c r="D45" s="59" t="s">
        <v>2336</v>
      </c>
      <c r="E45" s="59" t="s">
        <v>2333</v>
      </c>
      <c r="F45" s="59" t="s">
        <v>2337</v>
      </c>
      <c r="I45" s="59" t="s">
        <v>702</v>
      </c>
    </row>
    <row r="46" spans="1:9" ht="11.25" customHeight="1">
      <c r="A46" s="59" t="s">
        <v>2162</v>
      </c>
      <c r="B46" s="59" t="s">
        <v>14</v>
      </c>
      <c r="C46" s="59" t="s">
        <v>2338</v>
      </c>
      <c r="D46" s="59" t="s">
        <v>2339</v>
      </c>
      <c r="E46" s="59" t="s">
        <v>2333</v>
      </c>
      <c r="F46" s="59" t="s">
        <v>2340</v>
      </c>
      <c r="I46" s="59" t="s">
        <v>702</v>
      </c>
    </row>
    <row r="47" spans="1:9" ht="11.25" customHeight="1">
      <c r="A47" s="59" t="s">
        <v>2162</v>
      </c>
      <c r="B47" s="59" t="s">
        <v>14</v>
      </c>
      <c r="C47" s="59" t="s">
        <v>2341</v>
      </c>
      <c r="D47" s="59" t="s">
        <v>2342</v>
      </c>
      <c r="E47" s="59" t="s">
        <v>2333</v>
      </c>
      <c r="F47" s="59" t="s">
        <v>2343</v>
      </c>
      <c r="I47" s="59" t="s">
        <v>702</v>
      </c>
    </row>
    <row r="48" spans="1:9" ht="11.25" customHeight="1">
      <c r="A48" s="59" t="s">
        <v>2162</v>
      </c>
      <c r="B48" s="59" t="s">
        <v>14</v>
      </c>
      <c r="C48" s="59" t="s">
        <v>2344</v>
      </c>
      <c r="D48" s="59" t="s">
        <v>2345</v>
      </c>
      <c r="E48" s="59" t="s">
        <v>2333</v>
      </c>
      <c r="F48" s="59" t="s">
        <v>2346</v>
      </c>
      <c r="I48" s="59" t="s">
        <v>702</v>
      </c>
    </row>
    <row r="49" spans="1:9" ht="11.25" customHeight="1">
      <c r="A49" s="59" t="s">
        <v>2162</v>
      </c>
      <c r="B49" s="59" t="s">
        <v>14</v>
      </c>
      <c r="C49" s="59" t="s">
        <v>2347</v>
      </c>
      <c r="D49" s="59" t="s">
        <v>2348</v>
      </c>
      <c r="E49" s="59" t="s">
        <v>2333</v>
      </c>
      <c r="F49" s="59" t="s">
        <v>2349</v>
      </c>
      <c r="I49" s="59" t="s">
        <v>702</v>
      </c>
    </row>
    <row r="50" spans="1:9" ht="11.25" customHeight="1">
      <c r="A50" s="59" t="s">
        <v>2162</v>
      </c>
      <c r="B50" s="59" t="s">
        <v>14</v>
      </c>
      <c r="C50" s="59" t="s">
        <v>2350</v>
      </c>
      <c r="D50" s="59" t="s">
        <v>2351</v>
      </c>
      <c r="E50" s="59" t="s">
        <v>2333</v>
      </c>
      <c r="F50" s="59" t="s">
        <v>2352</v>
      </c>
      <c r="I50" s="59" t="s">
        <v>702</v>
      </c>
    </row>
    <row r="51" spans="1:9" ht="11.25" customHeight="1">
      <c r="A51" s="59" t="s">
        <v>2162</v>
      </c>
      <c r="B51" s="59" t="s">
        <v>14</v>
      </c>
      <c r="C51" s="59" t="s">
        <v>2353</v>
      </c>
      <c r="D51" s="59" t="s">
        <v>2354</v>
      </c>
      <c r="E51" s="59" t="s">
        <v>2333</v>
      </c>
      <c r="F51" s="59" t="s">
        <v>2355</v>
      </c>
      <c r="I51" s="59" t="s">
        <v>702</v>
      </c>
    </row>
    <row r="52" spans="1:9" ht="11.25" customHeight="1">
      <c r="A52" s="59" t="s">
        <v>2162</v>
      </c>
      <c r="B52" s="59" t="s">
        <v>14</v>
      </c>
      <c r="C52" s="59" t="s">
        <v>2356</v>
      </c>
      <c r="D52" s="59" t="s">
        <v>2357</v>
      </c>
      <c r="E52" s="59" t="s">
        <v>2333</v>
      </c>
      <c r="F52" s="59" t="s">
        <v>2358</v>
      </c>
      <c r="I52" s="59" t="s">
        <v>702</v>
      </c>
    </row>
    <row r="53" spans="1:9" ht="11.25" customHeight="1">
      <c r="A53" s="59" t="s">
        <v>2162</v>
      </c>
      <c r="B53" s="59" t="s">
        <v>14</v>
      </c>
      <c r="C53" s="59" t="s">
        <v>2359</v>
      </c>
      <c r="D53" s="59" t="s">
        <v>2360</v>
      </c>
      <c r="E53" s="59" t="s">
        <v>2333</v>
      </c>
      <c r="F53" s="59" t="s">
        <v>2361</v>
      </c>
      <c r="I53" s="59" t="s">
        <v>702</v>
      </c>
    </row>
    <row r="54" spans="1:9" ht="11.25" customHeight="1">
      <c r="A54" s="59" t="s">
        <v>2162</v>
      </c>
      <c r="B54" s="59" t="s">
        <v>14</v>
      </c>
      <c r="C54" s="59" t="s">
        <v>2362</v>
      </c>
      <c r="D54" s="59" t="s">
        <v>2363</v>
      </c>
      <c r="E54" s="59" t="s">
        <v>2333</v>
      </c>
      <c r="F54" s="59" t="s">
        <v>2364</v>
      </c>
      <c r="I54" s="59" t="s">
        <v>702</v>
      </c>
    </row>
    <row r="55" spans="1:9" ht="11.25" customHeight="1">
      <c r="A55" s="59" t="s">
        <v>2162</v>
      </c>
      <c r="B55" s="59" t="s">
        <v>14</v>
      </c>
      <c r="C55" s="59" t="s">
        <v>2365</v>
      </c>
      <c r="D55" s="59" t="s">
        <v>2366</v>
      </c>
      <c r="E55" s="59" t="s">
        <v>2333</v>
      </c>
      <c r="F55" s="59" t="s">
        <v>2367</v>
      </c>
      <c r="I55" s="59" t="s">
        <v>702</v>
      </c>
    </row>
    <row r="56" spans="1:9" ht="11.25" customHeight="1">
      <c r="A56" s="59" t="s">
        <v>2162</v>
      </c>
      <c r="B56" s="59" t="s">
        <v>14</v>
      </c>
      <c r="C56" s="59" t="s">
        <v>2368</v>
      </c>
      <c r="D56" s="59" t="s">
        <v>2369</v>
      </c>
      <c r="E56" s="59" t="s">
        <v>2333</v>
      </c>
      <c r="F56" s="59" t="s">
        <v>2370</v>
      </c>
      <c r="I56" s="59" t="s">
        <v>702</v>
      </c>
    </row>
    <row r="57" spans="1:9" ht="11.25" customHeight="1">
      <c r="A57" s="59" t="s">
        <v>2162</v>
      </c>
      <c r="B57" s="59" t="s">
        <v>14</v>
      </c>
      <c r="C57" s="59" t="s">
        <v>2371</v>
      </c>
      <c r="D57" s="59" t="s">
        <v>2372</v>
      </c>
      <c r="E57" s="59" t="s">
        <v>2333</v>
      </c>
      <c r="F57" s="59" t="s">
        <v>2373</v>
      </c>
      <c r="I57" s="59" t="s">
        <v>702</v>
      </c>
    </row>
    <row r="58" spans="1:9" ht="11.25" customHeight="1">
      <c r="A58" s="59" t="s">
        <v>2162</v>
      </c>
      <c r="B58" s="59" t="s">
        <v>14</v>
      </c>
      <c r="C58" s="59" t="s">
        <v>2374</v>
      </c>
      <c r="D58" s="59" t="s">
        <v>2375</v>
      </c>
      <c r="E58" s="59" t="s">
        <v>2376</v>
      </c>
      <c r="F58" s="59" t="s">
        <v>2228</v>
      </c>
      <c r="G58" s="59" t="s">
        <v>2377</v>
      </c>
      <c r="I58" s="59" t="s">
        <v>702</v>
      </c>
    </row>
    <row r="59" spans="1:9" ht="11.25" customHeight="1">
      <c r="A59" s="59" t="s">
        <v>2162</v>
      </c>
      <c r="B59" s="59" t="s">
        <v>14</v>
      </c>
      <c r="C59" s="59" t="s">
        <v>2378</v>
      </c>
      <c r="D59" s="59" t="s">
        <v>2379</v>
      </c>
      <c r="E59" s="59" t="s">
        <v>2380</v>
      </c>
      <c r="F59" s="59" t="s">
        <v>2166</v>
      </c>
      <c r="G59" s="59" t="s">
        <v>2253</v>
      </c>
      <c r="I59" s="59" t="s">
        <v>702</v>
      </c>
    </row>
    <row r="60" spans="1:9" ht="11.25" customHeight="1">
      <c r="A60" s="59" t="s">
        <v>2162</v>
      </c>
      <c r="B60" s="59" t="s">
        <v>14</v>
      </c>
      <c r="C60" s="59" t="s">
        <v>2381</v>
      </c>
      <c r="D60" s="59" t="s">
        <v>2382</v>
      </c>
      <c r="E60" s="59" t="s">
        <v>2383</v>
      </c>
      <c r="F60" s="59" t="s">
        <v>2166</v>
      </c>
      <c r="I60" s="59" t="s">
        <v>702</v>
      </c>
    </row>
    <row r="61" spans="1:9" ht="11.25" customHeight="1">
      <c r="A61" s="59" t="s">
        <v>2162</v>
      </c>
      <c r="B61" s="59" t="s">
        <v>14</v>
      </c>
      <c r="C61" s="59" t="s">
        <v>2384</v>
      </c>
      <c r="D61" s="59" t="s">
        <v>2385</v>
      </c>
      <c r="E61" s="59" t="s">
        <v>2386</v>
      </c>
      <c r="F61" s="59" t="s">
        <v>2228</v>
      </c>
      <c r="G61" s="59" t="s">
        <v>2387</v>
      </c>
      <c r="I61" s="59" t="s">
        <v>702</v>
      </c>
    </row>
    <row r="62" spans="1:9" ht="11.25" customHeight="1">
      <c r="A62" s="59" t="s">
        <v>2162</v>
      </c>
      <c r="B62" s="59" t="s">
        <v>14</v>
      </c>
      <c r="C62" s="59" t="s">
        <v>2388</v>
      </c>
      <c r="D62" s="59" t="s">
        <v>2389</v>
      </c>
      <c r="E62" s="59" t="s">
        <v>2390</v>
      </c>
      <c r="F62" s="59" t="s">
        <v>2391</v>
      </c>
      <c r="I62" s="59" t="s">
        <v>702</v>
      </c>
    </row>
    <row r="63" spans="1:9" ht="11.25" customHeight="1">
      <c r="A63" s="59" t="s">
        <v>2162</v>
      </c>
      <c r="B63" s="59" t="s">
        <v>14</v>
      </c>
      <c r="C63" s="59" t="s">
        <v>2392</v>
      </c>
      <c r="D63" s="59" t="s">
        <v>2393</v>
      </c>
      <c r="E63" s="59" t="s">
        <v>2390</v>
      </c>
      <c r="F63" s="59" t="s">
        <v>2370</v>
      </c>
      <c r="I63" s="59" t="s">
        <v>702</v>
      </c>
    </row>
    <row r="64" spans="1:9" ht="11.25" customHeight="1">
      <c r="A64" s="59" t="s">
        <v>2162</v>
      </c>
      <c r="B64" s="59" t="s">
        <v>14</v>
      </c>
      <c r="C64" s="59" t="s">
        <v>2394</v>
      </c>
      <c r="D64" s="59" t="s">
        <v>2395</v>
      </c>
      <c r="E64" s="59" t="s">
        <v>2390</v>
      </c>
      <c r="F64" s="59" t="s">
        <v>2396</v>
      </c>
      <c r="I64" s="59" t="s">
        <v>702</v>
      </c>
    </row>
    <row r="65" spans="1:9" ht="11.25" customHeight="1">
      <c r="A65" s="59" t="s">
        <v>2162</v>
      </c>
      <c r="B65" s="59" t="s">
        <v>14</v>
      </c>
      <c r="C65" s="59" t="s">
        <v>2397</v>
      </c>
      <c r="D65" s="59" t="s">
        <v>2398</v>
      </c>
      <c r="E65" s="59" t="s">
        <v>2390</v>
      </c>
      <c r="F65" s="59" t="s">
        <v>2399</v>
      </c>
      <c r="I65" s="59" t="s">
        <v>702</v>
      </c>
    </row>
    <row r="66" spans="1:9" ht="11.25" customHeight="1">
      <c r="A66" s="59" t="s">
        <v>2162</v>
      </c>
      <c r="B66" s="59" t="s">
        <v>14</v>
      </c>
      <c r="C66" s="59" t="s">
        <v>2400</v>
      </c>
      <c r="D66" s="59" t="s">
        <v>2401</v>
      </c>
      <c r="E66" s="59" t="s">
        <v>2390</v>
      </c>
      <c r="F66" s="59" t="s">
        <v>2402</v>
      </c>
      <c r="I66" s="59" t="s">
        <v>702</v>
      </c>
    </row>
    <row r="67" spans="1:9" ht="11.25" customHeight="1">
      <c r="A67" s="59" t="s">
        <v>2162</v>
      </c>
      <c r="B67" s="59" t="s">
        <v>14</v>
      </c>
      <c r="C67" s="59" t="s">
        <v>2403</v>
      </c>
      <c r="D67" s="59" t="s">
        <v>2404</v>
      </c>
      <c r="E67" s="59" t="s">
        <v>2390</v>
      </c>
      <c r="F67" s="59" t="s">
        <v>2405</v>
      </c>
      <c r="I67" s="59" t="s">
        <v>702</v>
      </c>
    </row>
    <row r="68" spans="1:9" ht="11.25" customHeight="1">
      <c r="A68" s="59" t="s">
        <v>2162</v>
      </c>
      <c r="B68" s="59" t="s">
        <v>14</v>
      </c>
      <c r="C68" s="59" t="s">
        <v>2406</v>
      </c>
      <c r="D68" s="59" t="s">
        <v>2407</v>
      </c>
      <c r="E68" s="59" t="s">
        <v>2390</v>
      </c>
      <c r="F68" s="59" t="s">
        <v>2408</v>
      </c>
      <c r="I68" s="59" t="s">
        <v>702</v>
      </c>
    </row>
    <row r="69" spans="1:9" ht="11.25" customHeight="1">
      <c r="A69" s="59" t="s">
        <v>2162</v>
      </c>
      <c r="B69" s="59" t="s">
        <v>14</v>
      </c>
      <c r="C69" s="59" t="s">
        <v>2409</v>
      </c>
      <c r="D69" s="59" t="s">
        <v>2410</v>
      </c>
      <c r="E69" s="59" t="s">
        <v>2390</v>
      </c>
      <c r="F69" s="59" t="s">
        <v>2411</v>
      </c>
      <c r="I69" s="59" t="s">
        <v>702</v>
      </c>
    </row>
    <row r="70" spans="1:9" ht="11.25" customHeight="1">
      <c r="A70" s="59" t="s">
        <v>2162</v>
      </c>
      <c r="B70" s="59" t="s">
        <v>14</v>
      </c>
      <c r="C70" s="59" t="s">
        <v>2412</v>
      </c>
      <c r="D70" s="59" t="s">
        <v>2413</v>
      </c>
      <c r="E70" s="59" t="s">
        <v>2390</v>
      </c>
      <c r="F70" s="59" t="s">
        <v>2414</v>
      </c>
      <c r="I70" s="59" t="s">
        <v>702</v>
      </c>
    </row>
    <row r="71" spans="1:9" ht="11.25" customHeight="1">
      <c r="A71" s="59" t="s">
        <v>2162</v>
      </c>
      <c r="B71" s="59" t="s">
        <v>14</v>
      </c>
      <c r="C71" s="59" t="s">
        <v>2415</v>
      </c>
      <c r="D71" s="59" t="s">
        <v>2416</v>
      </c>
      <c r="E71" s="59" t="s">
        <v>2390</v>
      </c>
      <c r="F71" s="59" t="s">
        <v>2417</v>
      </c>
      <c r="I71" s="59" t="s">
        <v>702</v>
      </c>
    </row>
    <row r="72" spans="1:9" ht="11.25" customHeight="1">
      <c r="A72" s="59" t="s">
        <v>2162</v>
      </c>
      <c r="B72" s="59" t="s">
        <v>14</v>
      </c>
      <c r="C72" s="59" t="s">
        <v>2418</v>
      </c>
      <c r="D72" s="59" t="s">
        <v>2419</v>
      </c>
      <c r="E72" s="59" t="s">
        <v>2390</v>
      </c>
      <c r="F72" s="59" t="s">
        <v>2420</v>
      </c>
      <c r="I72" s="59" t="s">
        <v>702</v>
      </c>
    </row>
    <row r="73" spans="1:9" ht="11.25" customHeight="1">
      <c r="A73" s="59" t="s">
        <v>2162</v>
      </c>
      <c r="B73" s="59" t="s">
        <v>14</v>
      </c>
      <c r="C73" s="59" t="s">
        <v>2421</v>
      </c>
      <c r="D73" s="59" t="s">
        <v>2422</v>
      </c>
      <c r="E73" s="59" t="s">
        <v>2390</v>
      </c>
      <c r="F73" s="59" t="s">
        <v>2423</v>
      </c>
      <c r="I73" s="59" t="s">
        <v>702</v>
      </c>
    </row>
    <row r="74" spans="1:9" ht="11.25" customHeight="1">
      <c r="A74" s="59" t="s">
        <v>2162</v>
      </c>
      <c r="B74" s="59" t="s">
        <v>14</v>
      </c>
      <c r="C74" s="59" t="s">
        <v>2424</v>
      </c>
      <c r="D74" s="59" t="s">
        <v>2425</v>
      </c>
      <c r="E74" s="59" t="s">
        <v>2390</v>
      </c>
      <c r="F74" s="59" t="s">
        <v>2426</v>
      </c>
      <c r="I74" s="59" t="s">
        <v>702</v>
      </c>
    </row>
    <row r="75" spans="1:9" ht="11.25" customHeight="1">
      <c r="A75" s="59" t="s">
        <v>2162</v>
      </c>
      <c r="B75" s="59" t="s">
        <v>14</v>
      </c>
      <c r="C75" s="59" t="s">
        <v>2427</v>
      </c>
      <c r="D75" s="59" t="s">
        <v>2428</v>
      </c>
      <c r="E75" s="59" t="s">
        <v>2390</v>
      </c>
      <c r="F75" s="59" t="s">
        <v>2429</v>
      </c>
      <c r="I75" s="59" t="s">
        <v>702</v>
      </c>
    </row>
    <row r="76" spans="1:9" ht="11.25" customHeight="1">
      <c r="A76" s="59" t="s">
        <v>2162</v>
      </c>
      <c r="B76" s="59" t="s">
        <v>14</v>
      </c>
      <c r="C76" s="59" t="s">
        <v>2430</v>
      </c>
      <c r="D76" s="59" t="s">
        <v>2431</v>
      </c>
      <c r="E76" s="59" t="s">
        <v>2390</v>
      </c>
      <c r="F76" s="59" t="s">
        <v>2432</v>
      </c>
      <c r="I76" s="59" t="s">
        <v>702</v>
      </c>
    </row>
    <row r="77" spans="1:9" ht="11.25" customHeight="1">
      <c r="A77" s="59" t="s">
        <v>2162</v>
      </c>
      <c r="B77" s="59" t="s">
        <v>14</v>
      </c>
      <c r="C77" s="59" t="s">
        <v>2433</v>
      </c>
      <c r="D77" s="59" t="s">
        <v>2434</v>
      </c>
      <c r="E77" s="59" t="s">
        <v>2390</v>
      </c>
      <c r="F77" s="59" t="s">
        <v>2435</v>
      </c>
      <c r="I77" s="59" t="s">
        <v>702</v>
      </c>
    </row>
    <row r="78" spans="1:9" ht="11.25" customHeight="1">
      <c r="A78" s="59" t="s">
        <v>2162</v>
      </c>
      <c r="B78" s="59" t="s">
        <v>14</v>
      </c>
      <c r="C78" s="59" t="s">
        <v>2436</v>
      </c>
      <c r="D78" s="59" t="s">
        <v>2437</v>
      </c>
      <c r="E78" s="59" t="s">
        <v>2390</v>
      </c>
      <c r="F78" s="59" t="s">
        <v>2438</v>
      </c>
      <c r="I78" s="59" t="s">
        <v>702</v>
      </c>
    </row>
    <row r="79" spans="1:9" ht="11.25" customHeight="1">
      <c r="A79" s="59" t="s">
        <v>2162</v>
      </c>
      <c r="B79" s="59" t="s">
        <v>14</v>
      </c>
      <c r="C79" s="59" t="s">
        <v>2439</v>
      </c>
      <c r="D79" s="59" t="s">
        <v>2440</v>
      </c>
      <c r="E79" s="59" t="s">
        <v>2224</v>
      </c>
      <c r="F79" s="59" t="s">
        <v>2441</v>
      </c>
      <c r="I79" s="59" t="s">
        <v>702</v>
      </c>
    </row>
    <row r="80" spans="1:9" ht="11.25" customHeight="1">
      <c r="A80" s="59" t="s">
        <v>2162</v>
      </c>
      <c r="B80" s="59" t="s">
        <v>14</v>
      </c>
      <c r="C80" s="59" t="s">
        <v>2442</v>
      </c>
      <c r="D80" s="59" t="s">
        <v>2443</v>
      </c>
      <c r="E80" s="59" t="s">
        <v>2444</v>
      </c>
      <c r="F80" s="59" t="s">
        <v>2445</v>
      </c>
      <c r="I80" s="59" t="s">
        <v>702</v>
      </c>
    </row>
    <row r="81" spans="1:9" ht="11.25" customHeight="1">
      <c r="A81" s="59" t="s">
        <v>2162</v>
      </c>
      <c r="B81" s="59" t="s">
        <v>14</v>
      </c>
      <c r="C81" s="59" t="s">
        <v>2446</v>
      </c>
      <c r="D81" s="59" t="s">
        <v>2447</v>
      </c>
      <c r="E81" s="59" t="s">
        <v>2448</v>
      </c>
      <c r="F81" s="59" t="s">
        <v>2449</v>
      </c>
      <c r="I81" s="59" t="s">
        <v>702</v>
      </c>
    </row>
    <row r="82" spans="1:9" ht="11.25" customHeight="1">
      <c r="A82" s="59" t="s">
        <v>2162</v>
      </c>
      <c r="B82" s="59" t="s">
        <v>14</v>
      </c>
      <c r="C82" s="59" t="s">
        <v>2450</v>
      </c>
      <c r="D82" s="59" t="s">
        <v>2451</v>
      </c>
      <c r="E82" s="59" t="s">
        <v>2452</v>
      </c>
      <c r="F82" s="59" t="s">
        <v>2210</v>
      </c>
      <c r="I82" s="59" t="s">
        <v>702</v>
      </c>
    </row>
    <row r="83" spans="1:9" ht="11.25" customHeight="1">
      <c r="A83" s="59" t="s">
        <v>2162</v>
      </c>
      <c r="B83" s="59" t="s">
        <v>14</v>
      </c>
      <c r="C83" s="59" t="s">
        <v>2453</v>
      </c>
      <c r="D83" s="59" t="s">
        <v>2454</v>
      </c>
      <c r="E83" s="59" t="s">
        <v>2455</v>
      </c>
      <c r="F83" s="59" t="s">
        <v>2391</v>
      </c>
      <c r="I83" s="59" t="s">
        <v>702</v>
      </c>
    </row>
    <row r="84" spans="1:9" ht="11.25" customHeight="1">
      <c r="A84" s="59" t="s">
        <v>2162</v>
      </c>
      <c r="B84" s="59" t="s">
        <v>14</v>
      </c>
      <c r="C84" s="59" t="s">
        <v>2456</v>
      </c>
      <c r="D84" s="59" t="s">
        <v>2457</v>
      </c>
      <c r="E84" s="59" t="s">
        <v>2458</v>
      </c>
      <c r="F84" s="59" t="s">
        <v>2291</v>
      </c>
      <c r="I84" s="59" t="s">
        <v>702</v>
      </c>
    </row>
    <row r="85" spans="1:9" ht="11.25" customHeight="1">
      <c r="A85" s="59" t="s">
        <v>2162</v>
      </c>
      <c r="B85" s="59" t="s">
        <v>14</v>
      </c>
      <c r="C85" s="59" t="s">
        <v>2459</v>
      </c>
      <c r="D85" s="59" t="s">
        <v>2460</v>
      </c>
      <c r="E85" s="59" t="s">
        <v>2461</v>
      </c>
      <c r="F85" s="59" t="s">
        <v>2299</v>
      </c>
      <c r="I85" s="59" t="s">
        <v>702</v>
      </c>
    </row>
    <row r="86" spans="1:9" ht="11.25" customHeight="1">
      <c r="A86" s="59" t="s">
        <v>2162</v>
      </c>
      <c r="B86" s="59" t="s">
        <v>14</v>
      </c>
      <c r="C86" s="59" t="s">
        <v>2462</v>
      </c>
      <c r="D86" s="59" t="s">
        <v>2463</v>
      </c>
      <c r="E86" s="59" t="s">
        <v>2464</v>
      </c>
      <c r="F86" s="59" t="s">
        <v>2243</v>
      </c>
      <c r="I86" s="59" t="s">
        <v>702</v>
      </c>
    </row>
    <row r="87" spans="1:9" ht="11.25" customHeight="1">
      <c r="A87" s="59" t="s">
        <v>2162</v>
      </c>
      <c r="B87" s="59" t="s">
        <v>14</v>
      </c>
      <c r="C87" s="59" t="s">
        <v>2465</v>
      </c>
      <c r="D87" s="59" t="s">
        <v>2466</v>
      </c>
      <c r="E87" s="59" t="s">
        <v>2467</v>
      </c>
      <c r="F87" s="59" t="s">
        <v>2299</v>
      </c>
      <c r="G87" s="59" t="s">
        <v>2468</v>
      </c>
      <c r="I87" s="59" t="s">
        <v>702</v>
      </c>
    </row>
    <row r="88" spans="1:9" ht="11.25" customHeight="1">
      <c r="A88" s="59" t="s">
        <v>2162</v>
      </c>
      <c r="B88" s="59" t="s">
        <v>14</v>
      </c>
      <c r="C88" s="59" t="s">
        <v>2469</v>
      </c>
      <c r="D88" s="59" t="s">
        <v>2470</v>
      </c>
      <c r="E88" s="59" t="s">
        <v>2471</v>
      </c>
      <c r="F88" s="59" t="s">
        <v>2220</v>
      </c>
      <c r="I88" s="59" t="s">
        <v>702</v>
      </c>
    </row>
    <row r="89" spans="1:9" ht="11.25" customHeight="1">
      <c r="A89" s="59" t="s">
        <v>2162</v>
      </c>
      <c r="B89" s="59" t="s">
        <v>14</v>
      </c>
      <c r="C89" s="59" t="s">
        <v>2472</v>
      </c>
      <c r="D89" s="59" t="s">
        <v>2473</v>
      </c>
      <c r="E89" s="59" t="s">
        <v>2474</v>
      </c>
      <c r="F89" s="59" t="s">
        <v>2166</v>
      </c>
      <c r="I89" s="59" t="s">
        <v>702</v>
      </c>
    </row>
    <row r="90" spans="1:9" ht="11.25" customHeight="1">
      <c r="A90" s="59" t="s">
        <v>2162</v>
      </c>
      <c r="B90" s="59" t="s">
        <v>14</v>
      </c>
      <c r="C90" s="59" t="s">
        <v>2475</v>
      </c>
      <c r="D90" s="59" t="s">
        <v>2476</v>
      </c>
      <c r="E90" s="59" t="s">
        <v>2477</v>
      </c>
      <c r="F90" s="59" t="s">
        <v>2478</v>
      </c>
      <c r="I90" s="59" t="s">
        <v>702</v>
      </c>
    </row>
    <row r="91" spans="1:9" ht="11.25" customHeight="1">
      <c r="A91" s="59" t="s">
        <v>2162</v>
      </c>
      <c r="B91" s="59" t="s">
        <v>14</v>
      </c>
      <c r="C91" s="59" t="s">
        <v>2479</v>
      </c>
      <c r="D91" s="59" t="s">
        <v>2480</v>
      </c>
      <c r="E91" s="59" t="s">
        <v>2481</v>
      </c>
      <c r="F91" s="59" t="s">
        <v>2478</v>
      </c>
      <c r="G91" s="59" t="s">
        <v>2482</v>
      </c>
      <c r="I91" s="59" t="s">
        <v>702</v>
      </c>
    </row>
    <row r="92" spans="1:9" ht="11.25" customHeight="1">
      <c r="A92" s="59" t="s">
        <v>2162</v>
      </c>
      <c r="B92" s="59" t="s">
        <v>14</v>
      </c>
      <c r="C92" s="59" t="s">
        <v>2483</v>
      </c>
      <c r="D92" s="59" t="s">
        <v>2484</v>
      </c>
      <c r="E92" s="59" t="s">
        <v>2485</v>
      </c>
      <c r="F92" s="59" t="s">
        <v>2486</v>
      </c>
      <c r="G92" s="59" t="s">
        <v>2487</v>
      </c>
      <c r="I92" s="59" t="s">
        <v>702</v>
      </c>
    </row>
    <row r="93" spans="1:9" ht="11.25" customHeight="1">
      <c r="A93" s="59" t="s">
        <v>2162</v>
      </c>
      <c r="B93" s="59" t="s">
        <v>14</v>
      </c>
      <c r="C93" s="59" t="s">
        <v>2488</v>
      </c>
      <c r="D93" s="59" t="s">
        <v>2489</v>
      </c>
      <c r="E93" s="59" t="s">
        <v>2490</v>
      </c>
      <c r="F93" s="59" t="s">
        <v>2299</v>
      </c>
      <c r="G93" s="59" t="s">
        <v>2491</v>
      </c>
      <c r="I93" s="59" t="s">
        <v>702</v>
      </c>
    </row>
    <row r="94" spans="1:9" ht="11.25" customHeight="1">
      <c r="A94" s="59" t="s">
        <v>2162</v>
      </c>
      <c r="B94" s="59" t="s">
        <v>14</v>
      </c>
      <c r="C94" s="59" t="s">
        <v>2492</v>
      </c>
      <c r="D94" s="59" t="s">
        <v>2493</v>
      </c>
      <c r="E94" s="59" t="s">
        <v>2494</v>
      </c>
      <c r="F94" s="59" t="s">
        <v>2248</v>
      </c>
      <c r="G94" s="59" t="s">
        <v>2495</v>
      </c>
      <c r="I94" s="59" t="s">
        <v>702</v>
      </c>
    </row>
    <row r="95" spans="1:9" ht="11.25" customHeight="1">
      <c r="A95" s="59" t="s">
        <v>2162</v>
      </c>
      <c r="B95" s="59" t="s">
        <v>14</v>
      </c>
      <c r="C95" s="59" t="s">
        <v>2496</v>
      </c>
      <c r="D95" s="59" t="s">
        <v>2497</v>
      </c>
      <c r="E95" s="59" t="s">
        <v>2498</v>
      </c>
      <c r="F95" s="59" t="s">
        <v>2291</v>
      </c>
      <c r="I95" s="59" t="s">
        <v>702</v>
      </c>
    </row>
    <row r="96" spans="1:9" ht="11.25" customHeight="1">
      <c r="A96" s="59" t="s">
        <v>2162</v>
      </c>
      <c r="B96" s="59" t="s">
        <v>14</v>
      </c>
      <c r="C96" s="59" t="s">
        <v>2499</v>
      </c>
      <c r="D96" s="59" t="s">
        <v>2500</v>
      </c>
      <c r="E96" s="59" t="s">
        <v>2501</v>
      </c>
      <c r="F96" s="59" t="s">
        <v>2248</v>
      </c>
      <c r="I96" s="59" t="s">
        <v>702</v>
      </c>
    </row>
    <row r="97" spans="1:9" ht="11.25" customHeight="1">
      <c r="A97" s="59" t="s">
        <v>2162</v>
      </c>
      <c r="B97" s="59" t="s">
        <v>14</v>
      </c>
      <c r="C97" s="59" t="s">
        <v>2502</v>
      </c>
      <c r="D97" s="59" t="s">
        <v>2503</v>
      </c>
      <c r="E97" s="59" t="s">
        <v>2504</v>
      </c>
      <c r="F97" s="59" t="s">
        <v>2210</v>
      </c>
      <c r="I97" s="59" t="s">
        <v>702</v>
      </c>
    </row>
    <row r="98" spans="1:9" ht="11.25" customHeight="1">
      <c r="A98" s="59" t="s">
        <v>2162</v>
      </c>
      <c r="B98" s="59" t="s">
        <v>14</v>
      </c>
      <c r="C98" s="59" t="s">
        <v>2505</v>
      </c>
      <c r="D98" s="59" t="s">
        <v>2506</v>
      </c>
      <c r="E98" s="59" t="s">
        <v>2507</v>
      </c>
      <c r="F98" s="59" t="s">
        <v>2277</v>
      </c>
      <c r="G98" s="59" t="s">
        <v>2508</v>
      </c>
      <c r="I98" s="59" t="s">
        <v>702</v>
      </c>
    </row>
    <row r="99" spans="1:9" ht="11.25" customHeight="1">
      <c r="A99" s="59" t="s">
        <v>2162</v>
      </c>
      <c r="B99" s="59" t="s">
        <v>14</v>
      </c>
      <c r="C99" s="59" t="s">
        <v>2509</v>
      </c>
      <c r="D99" s="59" t="s">
        <v>2510</v>
      </c>
      <c r="E99" s="59" t="s">
        <v>2511</v>
      </c>
      <c r="F99" s="59" t="s">
        <v>2166</v>
      </c>
      <c r="I99" s="59" t="s">
        <v>702</v>
      </c>
    </row>
    <row r="100" spans="1:9" ht="11.25" customHeight="1">
      <c r="A100" s="59" t="s">
        <v>2162</v>
      </c>
      <c r="B100" s="59" t="s">
        <v>14</v>
      </c>
      <c r="C100" s="59" t="s">
        <v>2512</v>
      </c>
      <c r="D100" s="59" t="s">
        <v>2513</v>
      </c>
      <c r="E100" s="59" t="s">
        <v>2514</v>
      </c>
      <c r="F100" s="59" t="s">
        <v>2233</v>
      </c>
      <c r="I100" s="59" t="s">
        <v>702</v>
      </c>
    </row>
    <row r="101" spans="1:9" ht="11.25" customHeight="1">
      <c r="A101" s="59" t="s">
        <v>2162</v>
      </c>
      <c r="B101" s="59" t="s">
        <v>14</v>
      </c>
      <c r="C101" s="59" t="s">
        <v>2515</v>
      </c>
      <c r="D101" s="59" t="s">
        <v>2516</v>
      </c>
      <c r="E101" s="59" t="s">
        <v>2517</v>
      </c>
      <c r="F101" s="59" t="s">
        <v>2243</v>
      </c>
      <c r="I101" s="59" t="s">
        <v>702</v>
      </c>
    </row>
    <row r="102" spans="1:9" ht="11.25" customHeight="1">
      <c r="A102" s="59" t="s">
        <v>2162</v>
      </c>
      <c r="B102" s="59" t="s">
        <v>14</v>
      </c>
      <c r="C102" s="59" t="s">
        <v>2518</v>
      </c>
      <c r="D102" s="59" t="s">
        <v>2519</v>
      </c>
      <c r="E102" s="59" t="s">
        <v>2520</v>
      </c>
      <c r="F102" s="59" t="s">
        <v>2233</v>
      </c>
      <c r="I102" s="59" t="s">
        <v>702</v>
      </c>
    </row>
    <row r="103" spans="1:9" ht="11.25" customHeight="1">
      <c r="A103" s="59" t="s">
        <v>2162</v>
      </c>
      <c r="B103" s="59" t="s">
        <v>14</v>
      </c>
      <c r="C103" s="59" t="s">
        <v>2521</v>
      </c>
      <c r="D103" s="59" t="s">
        <v>2522</v>
      </c>
      <c r="E103" s="59" t="s">
        <v>2523</v>
      </c>
      <c r="F103" s="59" t="s">
        <v>2248</v>
      </c>
      <c r="I103" s="59" t="s">
        <v>702</v>
      </c>
    </row>
    <row r="104" spans="1:9" ht="11.25" customHeight="1">
      <c r="A104" s="59" t="s">
        <v>2162</v>
      </c>
      <c r="B104" s="59" t="s">
        <v>14</v>
      </c>
      <c r="C104" s="59" t="s">
        <v>2524</v>
      </c>
      <c r="D104" s="59" t="s">
        <v>2525</v>
      </c>
      <c r="E104" s="59" t="s">
        <v>2526</v>
      </c>
      <c r="F104" s="59" t="s">
        <v>2233</v>
      </c>
      <c r="I104" s="59" t="s">
        <v>702</v>
      </c>
    </row>
    <row r="105" spans="1:9" ht="11.25" customHeight="1">
      <c r="A105" s="59" t="s">
        <v>2162</v>
      </c>
      <c r="B105" s="59" t="s">
        <v>14</v>
      </c>
      <c r="C105" s="59" t="s">
        <v>2527</v>
      </c>
      <c r="D105" s="59" t="s">
        <v>2528</v>
      </c>
      <c r="E105" s="59" t="s">
        <v>2529</v>
      </c>
      <c r="F105" s="59" t="s">
        <v>2530</v>
      </c>
      <c r="G105" s="59" t="s">
        <v>2531</v>
      </c>
      <c r="I105" s="59" t="s">
        <v>702</v>
      </c>
    </row>
    <row r="106" spans="1:9" ht="11.25" customHeight="1">
      <c r="A106" s="59" t="s">
        <v>2162</v>
      </c>
      <c r="B106" s="59" t="s">
        <v>14</v>
      </c>
      <c r="C106" s="59" t="s">
        <v>2532</v>
      </c>
      <c r="D106" s="59" t="s">
        <v>2533</v>
      </c>
      <c r="E106" s="59" t="s">
        <v>2534</v>
      </c>
      <c r="F106" s="59" t="s">
        <v>2233</v>
      </c>
      <c r="I106" s="59" t="s">
        <v>702</v>
      </c>
    </row>
    <row r="107" spans="1:9" ht="11.25" customHeight="1">
      <c r="A107" s="59" t="s">
        <v>2162</v>
      </c>
      <c r="B107" s="59" t="s">
        <v>14</v>
      </c>
      <c r="C107" s="59" t="s">
        <v>2535</v>
      </c>
      <c r="D107" s="59" t="s">
        <v>2536</v>
      </c>
      <c r="E107" s="59" t="s">
        <v>2537</v>
      </c>
      <c r="F107" s="59" t="s">
        <v>2538</v>
      </c>
      <c r="I107" s="59" t="s">
        <v>702</v>
      </c>
    </row>
    <row r="108" spans="1:9" ht="11.25" customHeight="1">
      <c r="A108" s="59" t="s">
        <v>2162</v>
      </c>
      <c r="B108" s="59" t="s">
        <v>14</v>
      </c>
      <c r="C108" s="59" t="s">
        <v>2539</v>
      </c>
      <c r="D108" s="59" t="s">
        <v>2540</v>
      </c>
      <c r="E108" s="59" t="s">
        <v>2537</v>
      </c>
      <c r="F108" s="59" t="s">
        <v>2248</v>
      </c>
      <c r="G108" s="59" t="s">
        <v>2387</v>
      </c>
      <c r="I108" s="59" t="s">
        <v>702</v>
      </c>
    </row>
    <row r="109" spans="1:9" ht="11.25" customHeight="1">
      <c r="A109" s="59" t="s">
        <v>2162</v>
      </c>
      <c r="B109" s="59" t="s">
        <v>14</v>
      </c>
      <c r="C109" s="59" t="s">
        <v>2541</v>
      </c>
      <c r="D109" s="59" t="s">
        <v>2542</v>
      </c>
      <c r="E109" s="59" t="s">
        <v>2543</v>
      </c>
      <c r="F109" s="59" t="s">
        <v>2544</v>
      </c>
      <c r="I109" s="59" t="s">
        <v>702</v>
      </c>
    </row>
    <row r="110" spans="1:9" ht="11.25" customHeight="1">
      <c r="A110" s="59" t="s">
        <v>2162</v>
      </c>
      <c r="B110" s="59" t="s">
        <v>14</v>
      </c>
      <c r="C110" s="59" t="s">
        <v>2545</v>
      </c>
      <c r="D110" s="59" t="s">
        <v>2546</v>
      </c>
      <c r="E110" s="59" t="s">
        <v>2547</v>
      </c>
      <c r="F110" s="59" t="s">
        <v>2202</v>
      </c>
      <c r="G110" s="59" t="s">
        <v>2548</v>
      </c>
      <c r="I110" s="59" t="s">
        <v>702</v>
      </c>
    </row>
    <row r="111" spans="1:9" ht="11.25" customHeight="1">
      <c r="A111" s="59" t="s">
        <v>2162</v>
      </c>
      <c r="B111" s="59" t="s">
        <v>14</v>
      </c>
      <c r="C111" s="59" t="s">
        <v>2549</v>
      </c>
      <c r="D111" s="59" t="s">
        <v>2550</v>
      </c>
      <c r="E111" s="59" t="s">
        <v>2551</v>
      </c>
      <c r="F111" s="59" t="s">
        <v>2210</v>
      </c>
      <c r="I111" s="59" t="s">
        <v>702</v>
      </c>
    </row>
    <row r="112" spans="1:9" ht="11.25" customHeight="1">
      <c r="A112" s="59" t="s">
        <v>2162</v>
      </c>
      <c r="B112" s="59" t="s">
        <v>14</v>
      </c>
      <c r="C112" s="59" t="s">
        <v>2552</v>
      </c>
      <c r="D112" s="59" t="s">
        <v>2553</v>
      </c>
      <c r="E112" s="59" t="s">
        <v>2554</v>
      </c>
      <c r="F112" s="59" t="s">
        <v>2166</v>
      </c>
      <c r="I112" s="59" t="s">
        <v>702</v>
      </c>
    </row>
    <row r="113" spans="1:9" ht="11.25" customHeight="1">
      <c r="A113" s="59" t="s">
        <v>2162</v>
      </c>
      <c r="B113" s="59" t="s">
        <v>14</v>
      </c>
      <c r="C113" s="59" t="s">
        <v>2555</v>
      </c>
      <c r="D113" s="59" t="s">
        <v>2556</v>
      </c>
      <c r="E113" s="59" t="s">
        <v>2557</v>
      </c>
      <c r="F113" s="59" t="s">
        <v>2391</v>
      </c>
      <c r="G113" s="59" t="s">
        <v>2558</v>
      </c>
      <c r="I113" s="59" t="s">
        <v>702</v>
      </c>
    </row>
    <row r="114" spans="1:9" ht="11.25" customHeight="1">
      <c r="A114" s="59" t="s">
        <v>2162</v>
      </c>
      <c r="B114" s="59" t="s">
        <v>14</v>
      </c>
      <c r="C114" s="59" t="s">
        <v>2559</v>
      </c>
      <c r="D114" s="59" t="s">
        <v>2560</v>
      </c>
      <c r="E114" s="59" t="s">
        <v>2561</v>
      </c>
      <c r="F114" s="59" t="s">
        <v>2562</v>
      </c>
      <c r="G114" s="59" t="s">
        <v>2563</v>
      </c>
      <c r="I114" s="59" t="s">
        <v>702</v>
      </c>
    </row>
    <row r="115" spans="1:9" ht="11.25" customHeight="1">
      <c r="A115" s="59" t="s">
        <v>2162</v>
      </c>
      <c r="B115" s="59" t="s">
        <v>14</v>
      </c>
      <c r="C115" s="59" t="s">
        <v>2564</v>
      </c>
      <c r="D115" s="59" t="s">
        <v>2565</v>
      </c>
      <c r="E115" s="59" t="s">
        <v>2566</v>
      </c>
      <c r="F115" s="59" t="s">
        <v>2277</v>
      </c>
      <c r="G115" s="59" t="s">
        <v>2567</v>
      </c>
      <c r="I115" s="59" t="s">
        <v>702</v>
      </c>
    </row>
    <row r="116" spans="1:9" ht="11.25" customHeight="1">
      <c r="A116" s="59" t="s">
        <v>2162</v>
      </c>
      <c r="B116" s="59" t="s">
        <v>14</v>
      </c>
      <c r="C116" s="59" t="s">
        <v>2568</v>
      </c>
      <c r="D116" s="59" t="s">
        <v>2569</v>
      </c>
      <c r="E116" s="59" t="s">
        <v>2570</v>
      </c>
      <c r="F116" s="59" t="s">
        <v>2193</v>
      </c>
      <c r="I116" s="59" t="s">
        <v>702</v>
      </c>
    </row>
    <row r="117" spans="1:9" ht="11.25" customHeight="1">
      <c r="A117" s="59" t="s">
        <v>2162</v>
      </c>
      <c r="B117" s="59" t="s">
        <v>14</v>
      </c>
      <c r="C117" s="59" t="s">
        <v>2571</v>
      </c>
      <c r="D117" s="59" t="s">
        <v>2572</v>
      </c>
      <c r="E117" s="59" t="s">
        <v>2316</v>
      </c>
      <c r="F117" s="59" t="s">
        <v>2573</v>
      </c>
      <c r="I117" s="59" t="s">
        <v>702</v>
      </c>
    </row>
    <row r="118" spans="1:9" ht="11.25" customHeight="1">
      <c r="A118" s="59" t="s">
        <v>2162</v>
      </c>
      <c r="B118" s="59" t="s">
        <v>14</v>
      </c>
      <c r="C118" s="59" t="s">
        <v>2574</v>
      </c>
      <c r="D118" s="59" t="s">
        <v>2575</v>
      </c>
      <c r="E118" s="59" t="s">
        <v>2576</v>
      </c>
      <c r="F118" s="59" t="s">
        <v>2202</v>
      </c>
      <c r="I118" s="59" t="s">
        <v>702</v>
      </c>
    </row>
    <row r="119" spans="1:9" ht="11.25" customHeight="1">
      <c r="A119" s="59" t="s">
        <v>2162</v>
      </c>
      <c r="B119" s="59" t="s">
        <v>14</v>
      </c>
      <c r="C119" s="59" t="s">
        <v>2577</v>
      </c>
      <c r="D119" s="59" t="s">
        <v>2578</v>
      </c>
      <c r="E119" s="59" t="s">
        <v>2579</v>
      </c>
      <c r="F119" s="59" t="s">
        <v>2391</v>
      </c>
      <c r="I119" s="59" t="s">
        <v>702</v>
      </c>
    </row>
    <row r="120" spans="1:9" ht="11.25" customHeight="1">
      <c r="A120" s="59" t="s">
        <v>2162</v>
      </c>
      <c r="B120" s="59" t="s">
        <v>14</v>
      </c>
      <c r="C120" s="59" t="s">
        <v>2580</v>
      </c>
      <c r="D120" s="59" t="s">
        <v>2581</v>
      </c>
      <c r="E120" s="59" t="s">
        <v>2582</v>
      </c>
      <c r="F120" s="59" t="s">
        <v>2210</v>
      </c>
      <c r="I120" s="59" t="s">
        <v>702</v>
      </c>
    </row>
    <row r="121" spans="1:9" ht="11.25" customHeight="1">
      <c r="A121" s="59" t="s">
        <v>2162</v>
      </c>
      <c r="B121" s="59" t="s">
        <v>14</v>
      </c>
      <c r="C121" s="59" t="s">
        <v>2583</v>
      </c>
      <c r="D121" s="59" t="s">
        <v>2584</v>
      </c>
      <c r="E121" s="59" t="s">
        <v>2444</v>
      </c>
      <c r="F121" s="59" t="s">
        <v>2585</v>
      </c>
      <c r="I121" s="59" t="s">
        <v>702</v>
      </c>
    </row>
    <row r="122" spans="1:9" ht="11.25" customHeight="1">
      <c r="A122" s="59" t="s">
        <v>2162</v>
      </c>
      <c r="B122" s="59" t="s">
        <v>14</v>
      </c>
      <c r="C122" s="59" t="s">
        <v>2586</v>
      </c>
      <c r="D122" s="59" t="s">
        <v>2587</v>
      </c>
      <c r="E122" s="59" t="s">
        <v>2588</v>
      </c>
      <c r="F122" s="59" t="s">
        <v>2248</v>
      </c>
      <c r="I122" s="59" t="s">
        <v>702</v>
      </c>
    </row>
    <row r="123" spans="1:9" ht="11.25" customHeight="1">
      <c r="A123" s="59" t="s">
        <v>2162</v>
      </c>
      <c r="B123" s="59" t="s">
        <v>14</v>
      </c>
      <c r="C123" s="59" t="s">
        <v>2589</v>
      </c>
      <c r="D123" s="59" t="s">
        <v>2590</v>
      </c>
      <c r="E123" s="59" t="s">
        <v>2591</v>
      </c>
      <c r="F123" s="59" t="s">
        <v>2592</v>
      </c>
      <c r="I123" s="59" t="s">
        <v>702</v>
      </c>
    </row>
    <row r="124" spans="1:9" ht="11.25" customHeight="1">
      <c r="A124" s="59" t="s">
        <v>2162</v>
      </c>
      <c r="B124" s="59" t="s">
        <v>14</v>
      </c>
      <c r="C124" s="59" t="s">
        <v>2593</v>
      </c>
      <c r="D124" s="59" t="s">
        <v>2594</v>
      </c>
      <c r="E124" s="59" t="s">
        <v>2595</v>
      </c>
      <c r="F124" s="59" t="s">
        <v>2291</v>
      </c>
      <c r="I124" s="59" t="s">
        <v>702</v>
      </c>
    </row>
    <row r="125" spans="1:9" ht="11.25" customHeight="1">
      <c r="A125" s="59" t="s">
        <v>2162</v>
      </c>
      <c r="B125" s="59" t="s">
        <v>14</v>
      </c>
      <c r="C125" s="59" t="s">
        <v>2596</v>
      </c>
      <c r="D125" s="59" t="s">
        <v>2597</v>
      </c>
      <c r="E125" s="59" t="s">
        <v>2598</v>
      </c>
      <c r="F125" s="59" t="s">
        <v>2592</v>
      </c>
      <c r="I125" s="59" t="s">
        <v>702</v>
      </c>
    </row>
    <row r="126" spans="1:9" ht="11.25" customHeight="1">
      <c r="A126" s="59" t="s">
        <v>2162</v>
      </c>
      <c r="B126" s="59" t="s">
        <v>14</v>
      </c>
      <c r="C126" s="59" t="s">
        <v>2599</v>
      </c>
      <c r="D126" s="59" t="s">
        <v>2600</v>
      </c>
      <c r="E126" s="59" t="s">
        <v>2601</v>
      </c>
      <c r="F126" s="59" t="s">
        <v>2486</v>
      </c>
      <c r="I126" s="59" t="s">
        <v>702</v>
      </c>
    </row>
    <row r="127" spans="1:9" ht="11.25" customHeight="1">
      <c r="A127" s="59" t="s">
        <v>2162</v>
      </c>
      <c r="B127" s="59" t="s">
        <v>14</v>
      </c>
      <c r="C127" s="59" t="s">
        <v>2602</v>
      </c>
      <c r="D127" s="59" t="s">
        <v>2603</v>
      </c>
      <c r="E127" s="59" t="s">
        <v>2604</v>
      </c>
      <c r="F127" s="59" t="s">
        <v>2299</v>
      </c>
      <c r="I127" s="59" t="s">
        <v>702</v>
      </c>
    </row>
    <row r="128" spans="1:9" ht="11.25" customHeight="1">
      <c r="A128" s="59" t="s">
        <v>2162</v>
      </c>
      <c r="B128" s="59" t="s">
        <v>14</v>
      </c>
      <c r="C128" s="59" t="s">
        <v>2605</v>
      </c>
      <c r="D128" s="59" t="s">
        <v>2606</v>
      </c>
      <c r="E128" s="59" t="s">
        <v>2607</v>
      </c>
      <c r="F128" s="59" t="s">
        <v>2166</v>
      </c>
      <c r="G128" s="59" t="s">
        <v>2608</v>
      </c>
      <c r="I128" s="59" t="s">
        <v>702</v>
      </c>
    </row>
    <row r="129" spans="1:9" ht="11.25" customHeight="1">
      <c r="A129" s="59" t="s">
        <v>2162</v>
      </c>
      <c r="B129" s="59" t="s">
        <v>14</v>
      </c>
      <c r="C129" s="59" t="s">
        <v>2609</v>
      </c>
      <c r="D129" s="59" t="s">
        <v>2610</v>
      </c>
      <c r="E129" s="59" t="s">
        <v>2611</v>
      </c>
      <c r="F129" s="59" t="s">
        <v>2193</v>
      </c>
      <c r="I129" s="59" t="s">
        <v>702</v>
      </c>
    </row>
    <row r="130" spans="1:9" ht="11.25" customHeight="1">
      <c r="A130" s="59" t="s">
        <v>2162</v>
      </c>
      <c r="B130" s="59" t="s">
        <v>14</v>
      </c>
      <c r="C130" s="59" t="s">
        <v>2612</v>
      </c>
      <c r="D130" s="59" t="s">
        <v>2613</v>
      </c>
      <c r="E130" s="59" t="s">
        <v>2614</v>
      </c>
      <c r="F130" s="59" t="s">
        <v>2615</v>
      </c>
      <c r="I130" s="59" t="s">
        <v>702</v>
      </c>
    </row>
    <row r="131" spans="1:9" ht="11.25" customHeight="1">
      <c r="A131" s="59" t="s">
        <v>2162</v>
      </c>
      <c r="B131" s="59" t="s">
        <v>14</v>
      </c>
      <c r="C131" s="59" t="s">
        <v>2616</v>
      </c>
      <c r="D131" s="59" t="s">
        <v>2617</v>
      </c>
      <c r="E131" s="59" t="s">
        <v>2618</v>
      </c>
      <c r="F131" s="59" t="s">
        <v>2193</v>
      </c>
      <c r="I131" s="59" t="s">
        <v>702</v>
      </c>
    </row>
    <row r="132" spans="1:9" ht="11.25" customHeight="1">
      <c r="A132" s="59" t="s">
        <v>2162</v>
      </c>
      <c r="B132" s="59" t="s">
        <v>14</v>
      </c>
      <c r="C132" s="59" t="s">
        <v>2619</v>
      </c>
      <c r="D132" s="59" t="s">
        <v>2620</v>
      </c>
      <c r="E132" s="59" t="s">
        <v>2621</v>
      </c>
      <c r="F132" s="59" t="s">
        <v>2257</v>
      </c>
      <c r="I132" s="59" t="s">
        <v>702</v>
      </c>
    </row>
    <row r="133" spans="1:9" ht="11.25" customHeight="1">
      <c r="A133" s="59" t="s">
        <v>2162</v>
      </c>
      <c r="B133" s="59" t="s">
        <v>14</v>
      </c>
      <c r="C133" s="59" t="s">
        <v>2622</v>
      </c>
      <c r="D133" s="59" t="s">
        <v>2623</v>
      </c>
      <c r="E133" s="59" t="s">
        <v>2624</v>
      </c>
      <c r="F133" s="59" t="s">
        <v>2625</v>
      </c>
      <c r="I133" s="59" t="s">
        <v>702</v>
      </c>
    </row>
    <row r="134" spans="1:9" ht="11.25" customHeight="1">
      <c r="A134" s="59" t="s">
        <v>2162</v>
      </c>
      <c r="B134" s="59" t="s">
        <v>14</v>
      </c>
      <c r="C134" s="59" t="s">
        <v>2626</v>
      </c>
      <c r="D134" s="59" t="s">
        <v>2627</v>
      </c>
      <c r="E134" s="59" t="s">
        <v>2628</v>
      </c>
      <c r="F134" s="59" t="s">
        <v>2252</v>
      </c>
      <c r="I134" s="59" t="s">
        <v>702</v>
      </c>
    </row>
    <row r="135" spans="1:9" ht="11.25" customHeight="1">
      <c r="A135" s="59" t="s">
        <v>2162</v>
      </c>
      <c r="B135" s="59" t="s">
        <v>14</v>
      </c>
      <c r="C135" s="59" t="s">
        <v>2629</v>
      </c>
      <c r="D135" s="59" t="s">
        <v>2630</v>
      </c>
      <c r="E135" s="59" t="s">
        <v>2631</v>
      </c>
      <c r="F135" s="59" t="s">
        <v>2632</v>
      </c>
      <c r="I135" s="59" t="s">
        <v>702</v>
      </c>
    </row>
    <row r="136" spans="1:9" ht="11.25" customHeight="1">
      <c r="A136" s="59" t="s">
        <v>2162</v>
      </c>
      <c r="B136" s="59" t="s">
        <v>14</v>
      </c>
      <c r="C136" s="59" t="s">
        <v>2633</v>
      </c>
      <c r="D136" s="59" t="s">
        <v>2634</v>
      </c>
      <c r="E136" s="59" t="s">
        <v>2635</v>
      </c>
      <c r="F136" s="59" t="s">
        <v>2636</v>
      </c>
      <c r="G136" s="59" t="s">
        <v>2637</v>
      </c>
      <c r="I136" s="59" t="s">
        <v>702</v>
      </c>
    </row>
    <row r="137" spans="1:9" ht="11.25" customHeight="1">
      <c r="A137" s="59" t="s">
        <v>2162</v>
      </c>
      <c r="B137" s="59" t="s">
        <v>14</v>
      </c>
      <c r="C137" s="59" t="s">
        <v>2638</v>
      </c>
      <c r="D137" s="59" t="s">
        <v>2639</v>
      </c>
      <c r="E137" s="59" t="s">
        <v>2640</v>
      </c>
      <c r="F137" s="59" t="s">
        <v>2210</v>
      </c>
      <c r="I137" s="59" t="s">
        <v>702</v>
      </c>
    </row>
    <row r="138" spans="1:9" ht="11.25" customHeight="1">
      <c r="A138" s="59" t="s">
        <v>2162</v>
      </c>
      <c r="B138" s="59" t="s">
        <v>14</v>
      </c>
      <c r="C138" s="59" t="s">
        <v>2641</v>
      </c>
      <c r="D138" s="59" t="s">
        <v>2642</v>
      </c>
      <c r="E138" s="59" t="s">
        <v>2643</v>
      </c>
      <c r="F138" s="59" t="s">
        <v>2615</v>
      </c>
      <c r="I138" s="59" t="s">
        <v>702</v>
      </c>
    </row>
    <row r="139" spans="1:9" ht="11.25" customHeight="1">
      <c r="A139" s="59" t="s">
        <v>2162</v>
      </c>
      <c r="B139" s="59" t="s">
        <v>14</v>
      </c>
      <c r="C139" s="59" t="s">
        <v>2644</v>
      </c>
      <c r="D139" s="59" t="s">
        <v>2645</v>
      </c>
      <c r="E139" s="59" t="s">
        <v>2646</v>
      </c>
      <c r="F139" s="59" t="s">
        <v>2248</v>
      </c>
      <c r="I139" s="59" t="s">
        <v>702</v>
      </c>
    </row>
    <row r="140" spans="1:9" ht="11.25" customHeight="1">
      <c r="A140" s="59" t="s">
        <v>2162</v>
      </c>
      <c r="B140" s="59" t="s">
        <v>14</v>
      </c>
      <c r="C140" s="59" t="s">
        <v>2647</v>
      </c>
      <c r="D140" s="59" t="s">
        <v>2648</v>
      </c>
      <c r="E140" s="59" t="s">
        <v>2649</v>
      </c>
      <c r="F140" s="59" t="s">
        <v>2291</v>
      </c>
      <c r="I140" s="59" t="s">
        <v>702</v>
      </c>
    </row>
    <row r="141" spans="1:9" ht="11.25" customHeight="1">
      <c r="A141" s="59" t="s">
        <v>2162</v>
      </c>
      <c r="B141" s="59" t="s">
        <v>14</v>
      </c>
      <c r="C141" s="59" t="s">
        <v>2650</v>
      </c>
      <c r="D141" s="59" t="s">
        <v>2651</v>
      </c>
      <c r="E141" s="59" t="s">
        <v>2652</v>
      </c>
      <c r="F141" s="59" t="s">
        <v>2653</v>
      </c>
      <c r="I141" s="59" t="s">
        <v>702</v>
      </c>
    </row>
    <row r="142" spans="1:9" ht="11.25" customHeight="1">
      <c r="A142" s="59" t="s">
        <v>2162</v>
      </c>
      <c r="B142" s="59" t="s">
        <v>14</v>
      </c>
      <c r="C142" s="59" t="s">
        <v>2654</v>
      </c>
      <c r="D142" s="59" t="s">
        <v>2655</v>
      </c>
      <c r="E142" s="59" t="s">
        <v>2656</v>
      </c>
      <c r="F142" s="59" t="s">
        <v>2210</v>
      </c>
      <c r="I142" s="59" t="s">
        <v>702</v>
      </c>
    </row>
    <row r="143" spans="1:9" ht="11.25" customHeight="1">
      <c r="A143" s="59" t="s">
        <v>2162</v>
      </c>
      <c r="B143" s="59" t="s">
        <v>14</v>
      </c>
      <c r="C143" s="59" t="s">
        <v>2657</v>
      </c>
      <c r="D143" s="59" t="s">
        <v>2658</v>
      </c>
      <c r="E143" s="59" t="s">
        <v>2659</v>
      </c>
      <c r="F143" s="59" t="s">
        <v>2233</v>
      </c>
      <c r="G143" s="59" t="s">
        <v>2660</v>
      </c>
      <c r="I143" s="59" t="s">
        <v>702</v>
      </c>
    </row>
    <row r="144" spans="1:9" ht="11.25" customHeight="1">
      <c r="A144" s="59" t="s">
        <v>2162</v>
      </c>
      <c r="B144" s="59" t="s">
        <v>14</v>
      </c>
      <c r="C144" s="59" t="s">
        <v>2661</v>
      </c>
      <c r="D144" s="59" t="s">
        <v>2662</v>
      </c>
      <c r="E144" s="59" t="s">
        <v>2663</v>
      </c>
      <c r="F144" s="59" t="s">
        <v>2664</v>
      </c>
      <c r="G144" s="59" t="s">
        <v>2665</v>
      </c>
      <c r="I144" s="59" t="s">
        <v>702</v>
      </c>
    </row>
    <row r="145" spans="1:9" ht="11.25" customHeight="1">
      <c r="A145" s="59" t="s">
        <v>2162</v>
      </c>
      <c r="B145" s="59" t="s">
        <v>14</v>
      </c>
      <c r="C145" s="59" t="s">
        <v>2666</v>
      </c>
      <c r="D145" s="59" t="s">
        <v>2667</v>
      </c>
      <c r="E145" s="59" t="s">
        <v>2668</v>
      </c>
      <c r="F145" s="59" t="s">
        <v>2669</v>
      </c>
      <c r="I145" s="59" t="s">
        <v>702</v>
      </c>
    </row>
    <row r="146" spans="1:9" ht="11.25" customHeight="1">
      <c r="A146" s="59" t="s">
        <v>2162</v>
      </c>
      <c r="B146" s="59" t="s">
        <v>14</v>
      </c>
      <c r="C146" s="59" t="s">
        <v>2670</v>
      </c>
      <c r="D146" s="59" t="s">
        <v>2671</v>
      </c>
      <c r="E146" s="59" t="s">
        <v>2672</v>
      </c>
      <c r="F146" s="59" t="s">
        <v>2210</v>
      </c>
      <c r="G146" s="59" t="s">
        <v>2673</v>
      </c>
      <c r="I146" s="59" t="s">
        <v>702</v>
      </c>
    </row>
    <row r="147" spans="1:9" ht="11.25" customHeight="1">
      <c r="A147" s="59" t="s">
        <v>2162</v>
      </c>
      <c r="B147" s="59" t="s">
        <v>14</v>
      </c>
      <c r="C147" s="59" t="s">
        <v>2674</v>
      </c>
      <c r="D147" s="59" t="s">
        <v>2675</v>
      </c>
      <c r="E147" s="59" t="s">
        <v>2676</v>
      </c>
      <c r="F147" s="59" t="s">
        <v>2677</v>
      </c>
      <c r="I147" s="59" t="s">
        <v>702</v>
      </c>
    </row>
    <row r="148" spans="1:9" ht="11.25" customHeight="1">
      <c r="A148" s="59" t="s">
        <v>2162</v>
      </c>
      <c r="B148" s="59" t="s">
        <v>14</v>
      </c>
      <c r="C148" s="59" t="s">
        <v>2678</v>
      </c>
      <c r="D148" s="59" t="s">
        <v>2679</v>
      </c>
      <c r="E148" s="59" t="s">
        <v>2680</v>
      </c>
      <c r="F148" s="59" t="s">
        <v>2391</v>
      </c>
      <c r="I148" s="59" t="s">
        <v>702</v>
      </c>
    </row>
    <row r="149" spans="1:9" ht="11.25" customHeight="1">
      <c r="A149" s="59" t="s">
        <v>2162</v>
      </c>
      <c r="B149" s="59" t="s">
        <v>14</v>
      </c>
      <c r="C149" s="59" t="s">
        <v>2681</v>
      </c>
      <c r="D149" s="59" t="s">
        <v>2682</v>
      </c>
      <c r="E149" s="59" t="s">
        <v>2683</v>
      </c>
      <c r="F149" s="59" t="s">
        <v>2291</v>
      </c>
      <c r="G149" s="59" t="s">
        <v>2684</v>
      </c>
      <c r="I149" s="59" t="s">
        <v>702</v>
      </c>
    </row>
    <row r="150" spans="1:9" ht="11.25" customHeight="1">
      <c r="A150" s="59" t="s">
        <v>2162</v>
      </c>
      <c r="B150" s="59" t="s">
        <v>14</v>
      </c>
      <c r="C150" s="59" t="s">
        <v>2685</v>
      </c>
      <c r="D150" s="59" t="s">
        <v>2686</v>
      </c>
      <c r="E150" s="59" t="s">
        <v>2687</v>
      </c>
      <c r="F150" s="59" t="s">
        <v>555</v>
      </c>
      <c r="I150" s="59" t="s">
        <v>702</v>
      </c>
    </row>
    <row r="151" spans="1:9" ht="11.25" customHeight="1">
      <c r="A151" s="59" t="s">
        <v>2162</v>
      </c>
      <c r="B151" s="59" t="s">
        <v>14</v>
      </c>
      <c r="C151" s="59" t="s">
        <v>2688</v>
      </c>
      <c r="D151" s="59" t="s">
        <v>2689</v>
      </c>
      <c r="E151" s="59" t="s">
        <v>2690</v>
      </c>
      <c r="F151" s="59" t="s">
        <v>555</v>
      </c>
      <c r="I151" s="59" t="s">
        <v>702</v>
      </c>
    </row>
    <row r="152" spans="1:9" ht="11.25" customHeight="1">
      <c r="A152" s="59" t="s">
        <v>2162</v>
      </c>
      <c r="B152" s="59" t="s">
        <v>14</v>
      </c>
      <c r="C152" s="59" t="s">
        <v>2691</v>
      </c>
      <c r="D152" s="59" t="s">
        <v>2692</v>
      </c>
      <c r="E152" s="59" t="s">
        <v>2693</v>
      </c>
      <c r="F152" s="59" t="s">
        <v>555</v>
      </c>
      <c r="I152" s="59" t="s">
        <v>702</v>
      </c>
    </row>
    <row r="153" spans="1:9" ht="11.25" customHeight="1">
      <c r="A153" s="59" t="s">
        <v>2162</v>
      </c>
      <c r="B153" s="59" t="s">
        <v>14</v>
      </c>
      <c r="C153" s="59" t="s">
        <v>2694</v>
      </c>
      <c r="D153" s="59" t="s">
        <v>2695</v>
      </c>
      <c r="E153" s="59" t="s">
        <v>2696</v>
      </c>
      <c r="F153" s="59" t="s">
        <v>555</v>
      </c>
      <c r="I153" s="59" t="s">
        <v>702</v>
      </c>
    </row>
    <row r="154" spans="1:9" ht="11.25" customHeight="1">
      <c r="A154" s="59" t="s">
        <v>2162</v>
      </c>
      <c r="B154" s="59" t="s">
        <v>14</v>
      </c>
      <c r="C154" s="59" t="s">
        <v>2697</v>
      </c>
      <c r="D154" s="59" t="s">
        <v>2698</v>
      </c>
      <c r="E154" s="59" t="s">
        <v>2699</v>
      </c>
      <c r="F154" s="59" t="s">
        <v>555</v>
      </c>
      <c r="I154" s="59" t="s">
        <v>702</v>
      </c>
    </row>
    <row r="155" spans="1:9" ht="11.25" customHeight="1">
      <c r="A155" s="59" t="s">
        <v>2162</v>
      </c>
      <c r="B155" s="59" t="s">
        <v>14</v>
      </c>
      <c r="C155" s="59" t="s">
        <v>2700</v>
      </c>
      <c r="D155" s="59" t="s">
        <v>2701</v>
      </c>
      <c r="E155" s="59" t="s">
        <v>2702</v>
      </c>
      <c r="F155" s="59" t="s">
        <v>555</v>
      </c>
      <c r="I155" s="59" t="s">
        <v>702</v>
      </c>
    </row>
    <row r="156" spans="1:9" ht="11.25" customHeight="1">
      <c r="A156" s="59" t="s">
        <v>2162</v>
      </c>
      <c r="B156" s="59" t="s">
        <v>14</v>
      </c>
      <c r="C156" s="59" t="s">
        <v>2703</v>
      </c>
      <c r="D156" s="59" t="s">
        <v>2704</v>
      </c>
      <c r="E156" s="59" t="s">
        <v>2705</v>
      </c>
      <c r="F156" s="59" t="s">
        <v>555</v>
      </c>
      <c r="I156" s="59" t="s">
        <v>702</v>
      </c>
    </row>
    <row r="157" spans="1:9" ht="11.25" customHeight="1">
      <c r="A157" s="59" t="s">
        <v>2162</v>
      </c>
      <c r="B157" s="59" t="s">
        <v>14</v>
      </c>
      <c r="C157" s="59" t="s">
        <v>2706</v>
      </c>
      <c r="D157" s="59" t="s">
        <v>2707</v>
      </c>
      <c r="E157" s="59" t="s">
        <v>2708</v>
      </c>
      <c r="F157" s="59" t="s">
        <v>555</v>
      </c>
      <c r="I157" s="59" t="s">
        <v>702</v>
      </c>
    </row>
    <row r="158" spans="1:9" ht="11.25" customHeight="1">
      <c r="A158" s="59" t="s">
        <v>2162</v>
      </c>
      <c r="B158" s="59" t="s">
        <v>14</v>
      </c>
      <c r="C158" s="59" t="s">
        <v>2709</v>
      </c>
      <c r="D158" s="59" t="s">
        <v>2710</v>
      </c>
      <c r="E158" s="59" t="s">
        <v>2711</v>
      </c>
      <c r="F158" s="59" t="s">
        <v>555</v>
      </c>
      <c r="I158" s="59" t="s">
        <v>702</v>
      </c>
    </row>
    <row r="159" spans="1:9" ht="11.25" customHeight="1">
      <c r="A159" s="59" t="s">
        <v>2162</v>
      </c>
      <c r="B159" s="59" t="s">
        <v>14</v>
      </c>
      <c r="C159" s="59" t="s">
        <v>2712</v>
      </c>
      <c r="D159" s="59" t="s">
        <v>2713</v>
      </c>
      <c r="E159" s="59" t="s">
        <v>2714</v>
      </c>
      <c r="F159" s="59" t="s">
        <v>555</v>
      </c>
      <c r="I159" s="59" t="s">
        <v>702</v>
      </c>
    </row>
    <row r="160" spans="1:9" ht="11.25" customHeight="1">
      <c r="A160" s="59" t="s">
        <v>2162</v>
      </c>
      <c r="B160" s="59" t="s">
        <v>14</v>
      </c>
      <c r="C160" s="59" t="s">
        <v>2715</v>
      </c>
      <c r="D160" s="59" t="s">
        <v>2716</v>
      </c>
      <c r="E160" s="59" t="s">
        <v>2717</v>
      </c>
      <c r="F160" s="59" t="s">
        <v>555</v>
      </c>
      <c r="G160" s="59" t="s">
        <v>2718</v>
      </c>
      <c r="I160" s="59" t="s">
        <v>702</v>
      </c>
    </row>
    <row r="161" spans="1:9" ht="11.25" customHeight="1">
      <c r="A161" s="59" t="s">
        <v>2162</v>
      </c>
      <c r="B161" s="59" t="s">
        <v>14</v>
      </c>
      <c r="C161" s="59" t="s">
        <v>2719</v>
      </c>
      <c r="D161" s="59" t="s">
        <v>2720</v>
      </c>
      <c r="E161" s="59" t="s">
        <v>2721</v>
      </c>
      <c r="F161" s="59" t="s">
        <v>555</v>
      </c>
      <c r="G161" s="59" t="s">
        <v>2722</v>
      </c>
      <c r="I161" s="59" t="s">
        <v>702</v>
      </c>
    </row>
    <row r="162" spans="1:9" ht="11.25" customHeight="1">
      <c r="A162" s="59" t="s">
        <v>2162</v>
      </c>
      <c r="B162" s="59" t="s">
        <v>14</v>
      </c>
      <c r="C162" s="59" t="s">
        <v>2723</v>
      </c>
      <c r="D162" s="59" t="s">
        <v>2724</v>
      </c>
      <c r="E162" s="59" t="s">
        <v>2725</v>
      </c>
      <c r="F162" s="59" t="s">
        <v>555</v>
      </c>
      <c r="I162" s="59" t="s">
        <v>702</v>
      </c>
    </row>
    <row r="163" spans="1:9" ht="11.25" customHeight="1">
      <c r="A163" s="59" t="s">
        <v>2162</v>
      </c>
      <c r="B163" s="59" t="s">
        <v>14</v>
      </c>
      <c r="C163" s="59" t="s">
        <v>2726</v>
      </c>
      <c r="D163" s="59" t="s">
        <v>2727</v>
      </c>
      <c r="E163" s="59" t="s">
        <v>2728</v>
      </c>
      <c r="F163" s="59" t="s">
        <v>555</v>
      </c>
      <c r="I163" s="59" t="s">
        <v>702</v>
      </c>
    </row>
    <row r="164" spans="1:9" ht="11.25" customHeight="1">
      <c r="A164" s="59" t="s">
        <v>2162</v>
      </c>
      <c r="B164" s="59" t="s">
        <v>14</v>
      </c>
      <c r="C164" s="59" t="s">
        <v>2729</v>
      </c>
      <c r="D164" s="59" t="s">
        <v>2730</v>
      </c>
      <c r="E164" s="59" t="s">
        <v>2731</v>
      </c>
      <c r="F164" s="59" t="s">
        <v>555</v>
      </c>
      <c r="I164" s="59" t="s">
        <v>702</v>
      </c>
    </row>
    <row r="165" spans="1:9" ht="11.25" customHeight="1">
      <c r="A165" s="59" t="s">
        <v>2162</v>
      </c>
      <c r="B165" s="59" t="s">
        <v>14</v>
      </c>
      <c r="C165" s="59" t="s">
        <v>2732</v>
      </c>
      <c r="D165" s="59" t="s">
        <v>2733</v>
      </c>
      <c r="E165" s="59" t="s">
        <v>2734</v>
      </c>
      <c r="F165" s="59" t="s">
        <v>555</v>
      </c>
      <c r="G165" s="59" t="s">
        <v>2735</v>
      </c>
      <c r="H165" s="59" t="s">
        <v>2736</v>
      </c>
      <c r="I165" s="59" t="s">
        <v>702</v>
      </c>
    </row>
    <row r="166" spans="1:9" ht="11.25" customHeight="1">
      <c r="A166" s="59" t="s">
        <v>2162</v>
      </c>
      <c r="B166" s="59" t="s">
        <v>14</v>
      </c>
      <c r="C166" s="59" t="s">
        <v>2737</v>
      </c>
      <c r="D166" s="59" t="s">
        <v>2738</v>
      </c>
      <c r="E166" s="59" t="s">
        <v>2739</v>
      </c>
      <c r="F166" s="59" t="s">
        <v>555</v>
      </c>
      <c r="I166" s="59" t="s">
        <v>702</v>
      </c>
    </row>
    <row r="167" spans="1:9" ht="11.25" customHeight="1">
      <c r="A167" s="59" t="s">
        <v>2162</v>
      </c>
      <c r="B167" s="59" t="s">
        <v>14</v>
      </c>
      <c r="C167" s="59" t="s">
        <v>2740</v>
      </c>
      <c r="D167" s="59" t="s">
        <v>2741</v>
      </c>
      <c r="E167" s="59" t="s">
        <v>2742</v>
      </c>
      <c r="F167" s="59" t="s">
        <v>2743</v>
      </c>
      <c r="I167" s="59" t="s">
        <v>702</v>
      </c>
    </row>
    <row r="168" spans="1:9" ht="11.25" customHeight="1">
      <c r="A168" s="59" t="s">
        <v>2162</v>
      </c>
      <c r="B168" s="59" t="s">
        <v>14</v>
      </c>
      <c r="C168" s="59" t="s">
        <v>2744</v>
      </c>
      <c r="D168" s="59" t="s">
        <v>2745</v>
      </c>
      <c r="E168" s="59" t="s">
        <v>2746</v>
      </c>
      <c r="F168" s="59" t="s">
        <v>2308</v>
      </c>
      <c r="I168" s="59" t="s">
        <v>702</v>
      </c>
    </row>
    <row r="169" spans="1:9" ht="11.25" customHeight="1">
      <c r="A169" s="59" t="s">
        <v>2162</v>
      </c>
      <c r="B169" s="59" t="s">
        <v>14</v>
      </c>
      <c r="C169" s="59" t="s">
        <v>2747</v>
      </c>
      <c r="D169" s="59" t="s">
        <v>2748</v>
      </c>
      <c r="E169" s="59" t="s">
        <v>2749</v>
      </c>
      <c r="F169" s="59" t="s">
        <v>2750</v>
      </c>
      <c r="I169" s="59" t="s">
        <v>702</v>
      </c>
    </row>
    <row r="170" spans="1:9" ht="11.25" customHeight="1">
      <c r="A170" s="59" t="s">
        <v>2162</v>
      </c>
      <c r="B170" s="59" t="s">
        <v>14</v>
      </c>
      <c r="C170" s="59" t="s">
        <v>2751</v>
      </c>
      <c r="D170" s="59" t="s">
        <v>2752</v>
      </c>
      <c r="E170" s="59" t="s">
        <v>2753</v>
      </c>
      <c r="F170" s="59" t="s">
        <v>2592</v>
      </c>
      <c r="I170" s="59" t="s">
        <v>702</v>
      </c>
    </row>
    <row r="171" spans="1:9" ht="11.25" customHeight="1">
      <c r="A171" s="59" t="s">
        <v>2162</v>
      </c>
      <c r="B171" s="59" t="s">
        <v>14</v>
      </c>
      <c r="C171" s="59" t="s">
        <v>2754</v>
      </c>
      <c r="D171" s="59" t="s">
        <v>2755</v>
      </c>
      <c r="E171" s="59" t="s">
        <v>2756</v>
      </c>
      <c r="F171" s="59" t="s">
        <v>2486</v>
      </c>
      <c r="I171" s="59" t="s">
        <v>702</v>
      </c>
    </row>
    <row r="172" spans="1:9" ht="11.25" customHeight="1">
      <c r="A172" s="59" t="s">
        <v>2162</v>
      </c>
      <c r="B172" s="59" t="s">
        <v>14</v>
      </c>
      <c r="C172" s="59" t="s">
        <v>2757</v>
      </c>
      <c r="D172" s="59" t="s">
        <v>2758</v>
      </c>
      <c r="E172" s="59" t="s">
        <v>2759</v>
      </c>
      <c r="F172" s="59" t="s">
        <v>2202</v>
      </c>
      <c r="I172" s="59" t="s">
        <v>702</v>
      </c>
    </row>
    <row r="173" spans="1:9" ht="11.25" customHeight="1">
      <c r="A173" s="59" t="s">
        <v>2162</v>
      </c>
      <c r="B173" s="59" t="s">
        <v>14</v>
      </c>
      <c r="C173" s="59" t="s">
        <v>2760</v>
      </c>
      <c r="D173" s="59" t="s">
        <v>2761</v>
      </c>
      <c r="E173" s="59" t="s">
        <v>2762</v>
      </c>
      <c r="F173" s="59" t="s">
        <v>2266</v>
      </c>
      <c r="I173" s="59" t="s">
        <v>702</v>
      </c>
    </row>
    <row r="174" spans="1:9" ht="11.25" customHeight="1">
      <c r="A174" s="59" t="s">
        <v>2162</v>
      </c>
      <c r="B174" s="59" t="s">
        <v>14</v>
      </c>
      <c r="C174" s="59" t="s">
        <v>2763</v>
      </c>
      <c r="D174" s="59" t="s">
        <v>2764</v>
      </c>
      <c r="E174" s="59" t="s">
        <v>2765</v>
      </c>
      <c r="F174" s="59" t="s">
        <v>2486</v>
      </c>
      <c r="I174" s="59" t="s">
        <v>702</v>
      </c>
    </row>
    <row r="175" spans="1:9" ht="11.25" customHeight="1">
      <c r="A175" s="59" t="s">
        <v>2162</v>
      </c>
      <c r="B175" s="59" t="s">
        <v>14</v>
      </c>
      <c r="C175" s="59" t="s">
        <v>2766</v>
      </c>
      <c r="D175" s="59" t="s">
        <v>2767</v>
      </c>
      <c r="E175" s="59" t="s">
        <v>2768</v>
      </c>
      <c r="F175" s="59" t="s">
        <v>2202</v>
      </c>
      <c r="I175" s="59" t="s">
        <v>702</v>
      </c>
    </row>
    <row r="176" spans="1:9" ht="11.25" customHeight="1">
      <c r="A176" s="59" t="s">
        <v>2162</v>
      </c>
      <c r="B176" s="59" t="s">
        <v>14</v>
      </c>
      <c r="C176" s="59" t="s">
        <v>2769</v>
      </c>
      <c r="D176" s="59" t="s">
        <v>2770</v>
      </c>
      <c r="E176" s="59" t="s">
        <v>2771</v>
      </c>
      <c r="F176" s="59" t="s">
        <v>2202</v>
      </c>
      <c r="I176" s="59" t="s">
        <v>702</v>
      </c>
    </row>
    <row r="177" spans="1:9" ht="11.25" customHeight="1">
      <c r="A177" s="59" t="s">
        <v>2162</v>
      </c>
      <c r="B177" s="59" t="s">
        <v>14</v>
      </c>
      <c r="C177" s="59" t="s">
        <v>2772</v>
      </c>
      <c r="D177" s="59" t="s">
        <v>2773</v>
      </c>
      <c r="E177" s="59" t="s">
        <v>2774</v>
      </c>
      <c r="F177" s="59" t="s">
        <v>2775</v>
      </c>
      <c r="I177" s="59" t="s">
        <v>702</v>
      </c>
    </row>
    <row r="178" spans="1:9" ht="11.25" customHeight="1">
      <c r="A178" s="59" t="s">
        <v>2162</v>
      </c>
      <c r="B178" s="59" t="s">
        <v>14</v>
      </c>
      <c r="C178" s="59" t="s">
        <v>2776</v>
      </c>
      <c r="D178" s="59" t="s">
        <v>2777</v>
      </c>
      <c r="E178" s="59" t="s">
        <v>2778</v>
      </c>
      <c r="F178" s="59" t="s">
        <v>2261</v>
      </c>
      <c r="I178" s="59" t="s">
        <v>702</v>
      </c>
    </row>
    <row r="179" spans="1:9" ht="11.25" customHeight="1">
      <c r="A179" s="59" t="s">
        <v>2162</v>
      </c>
      <c r="B179" s="59" t="s">
        <v>14</v>
      </c>
      <c r="C179" s="59" t="s">
        <v>2779</v>
      </c>
      <c r="D179" s="59" t="s">
        <v>2780</v>
      </c>
      <c r="E179" s="59" t="s">
        <v>2781</v>
      </c>
      <c r="F179" s="59" t="s">
        <v>2486</v>
      </c>
      <c r="I179" s="59" t="s">
        <v>702</v>
      </c>
    </row>
    <row r="180" spans="1:9" ht="11.25" customHeight="1">
      <c r="A180" s="59" t="s">
        <v>2162</v>
      </c>
      <c r="B180" s="59" t="s">
        <v>14</v>
      </c>
      <c r="C180" s="59" t="s">
        <v>2782</v>
      </c>
      <c r="D180" s="59" t="s">
        <v>2783</v>
      </c>
      <c r="E180" s="59" t="s">
        <v>2784</v>
      </c>
      <c r="F180" s="59" t="s">
        <v>2775</v>
      </c>
      <c r="I180" s="59" t="s">
        <v>702</v>
      </c>
    </row>
    <row r="181" spans="1:9" ht="11.25" customHeight="1">
      <c r="A181" s="59" t="s">
        <v>2162</v>
      </c>
      <c r="B181" s="59" t="s">
        <v>14</v>
      </c>
      <c r="C181" s="59" t="s">
        <v>2785</v>
      </c>
      <c r="D181" s="59" t="s">
        <v>2786</v>
      </c>
      <c r="E181" s="59" t="s">
        <v>2787</v>
      </c>
      <c r="F181" s="59" t="s">
        <v>2266</v>
      </c>
      <c r="I181" s="59" t="s">
        <v>702</v>
      </c>
    </row>
    <row r="182" spans="1:9" ht="11.25" customHeight="1">
      <c r="A182" s="59" t="s">
        <v>2162</v>
      </c>
      <c r="B182" s="59" t="s">
        <v>14</v>
      </c>
      <c r="C182" s="59" t="s">
        <v>2788</v>
      </c>
      <c r="D182" s="59" t="s">
        <v>2789</v>
      </c>
      <c r="E182" s="59" t="s">
        <v>2790</v>
      </c>
      <c r="F182" s="59" t="s">
        <v>2636</v>
      </c>
      <c r="G182" s="59" t="s">
        <v>2791</v>
      </c>
      <c r="I182" s="59" t="s">
        <v>702</v>
      </c>
    </row>
    <row r="183" spans="1:9" ht="11.25" customHeight="1">
      <c r="A183" s="59" t="s">
        <v>2162</v>
      </c>
      <c r="B183" s="59" t="s">
        <v>14</v>
      </c>
      <c r="C183" s="59" t="s">
        <v>2792</v>
      </c>
      <c r="D183" s="59" t="s">
        <v>2793</v>
      </c>
      <c r="E183" s="59" t="s">
        <v>2794</v>
      </c>
      <c r="F183" s="59" t="s">
        <v>2257</v>
      </c>
      <c r="I183" s="59" t="s">
        <v>702</v>
      </c>
    </row>
    <row r="184" spans="1:9" ht="11.25" customHeight="1">
      <c r="A184" s="59" t="s">
        <v>2162</v>
      </c>
      <c r="B184" s="59" t="s">
        <v>14</v>
      </c>
      <c r="C184" s="59" t="s">
        <v>2795</v>
      </c>
      <c r="D184" s="59" t="s">
        <v>2796</v>
      </c>
      <c r="E184" s="59" t="s">
        <v>2797</v>
      </c>
      <c r="F184" s="59" t="s">
        <v>2478</v>
      </c>
      <c r="I184" s="59" t="s">
        <v>702</v>
      </c>
    </row>
    <row r="185" spans="1:9" ht="11.25" customHeight="1">
      <c r="A185" s="59" t="s">
        <v>2162</v>
      </c>
      <c r="B185" s="59" t="s">
        <v>14</v>
      </c>
      <c r="C185" s="59" t="s">
        <v>2798</v>
      </c>
      <c r="D185" s="59" t="s">
        <v>2799</v>
      </c>
      <c r="E185" s="59" t="s">
        <v>2800</v>
      </c>
      <c r="F185" s="59" t="s">
        <v>2193</v>
      </c>
      <c r="I185" s="59" t="s">
        <v>702</v>
      </c>
    </row>
    <row r="186" spans="1:9" ht="11.25" customHeight="1">
      <c r="A186" s="59" t="s">
        <v>2162</v>
      </c>
      <c r="B186" s="59" t="s">
        <v>14</v>
      </c>
      <c r="C186" s="59" t="s">
        <v>2801</v>
      </c>
      <c r="D186" s="59" t="s">
        <v>2802</v>
      </c>
      <c r="E186" s="59" t="s">
        <v>2803</v>
      </c>
      <c r="F186" s="59" t="s">
        <v>2804</v>
      </c>
      <c r="I186" s="59" t="s">
        <v>702</v>
      </c>
    </row>
    <row r="187" spans="1:9" ht="11.25" customHeight="1">
      <c r="A187" s="59" t="s">
        <v>2162</v>
      </c>
      <c r="B187" s="59" t="s">
        <v>14</v>
      </c>
      <c r="C187" s="59" t="s">
        <v>2805</v>
      </c>
      <c r="D187" s="59" t="s">
        <v>2806</v>
      </c>
      <c r="E187" s="59" t="s">
        <v>2807</v>
      </c>
      <c r="F187" s="59" t="s">
        <v>2808</v>
      </c>
      <c r="I187" s="59" t="s">
        <v>702</v>
      </c>
    </row>
    <row r="188" spans="1:9" ht="11.25" customHeight="1">
      <c r="A188" s="59" t="s">
        <v>2162</v>
      </c>
      <c r="B188" s="59" t="s">
        <v>14</v>
      </c>
      <c r="C188" s="59" t="s">
        <v>2809</v>
      </c>
      <c r="D188" s="59" t="s">
        <v>2810</v>
      </c>
      <c r="E188" s="59" t="s">
        <v>2811</v>
      </c>
      <c r="F188" s="59" t="s">
        <v>2812</v>
      </c>
      <c r="I188" s="59" t="s">
        <v>702</v>
      </c>
    </row>
    <row r="189" spans="1:9" ht="11.25" customHeight="1">
      <c r="A189" s="59" t="s">
        <v>2162</v>
      </c>
      <c r="B189" s="59" t="s">
        <v>14</v>
      </c>
      <c r="C189" s="59" t="s">
        <v>2813</v>
      </c>
      <c r="D189" s="59" t="s">
        <v>2814</v>
      </c>
      <c r="E189" s="59" t="s">
        <v>2815</v>
      </c>
      <c r="F189" s="59" t="s">
        <v>2816</v>
      </c>
      <c r="I189" s="59" t="s">
        <v>702</v>
      </c>
    </row>
    <row r="190" spans="1:9" ht="11.25" customHeight="1">
      <c r="A190" s="59" t="s">
        <v>2162</v>
      </c>
      <c r="B190" s="59" t="s">
        <v>14</v>
      </c>
      <c r="C190" s="59" t="s">
        <v>2817</v>
      </c>
      <c r="D190" s="59" t="s">
        <v>2818</v>
      </c>
      <c r="E190" s="59" t="s">
        <v>2819</v>
      </c>
      <c r="F190" s="59" t="s">
        <v>2592</v>
      </c>
      <c r="G190" s="59" t="s">
        <v>2820</v>
      </c>
      <c r="I190" s="59" t="s">
        <v>702</v>
      </c>
    </row>
    <row r="191" spans="1:9" ht="11.25" customHeight="1">
      <c r="A191" s="59" t="s">
        <v>2162</v>
      </c>
      <c r="B191" s="59" t="s">
        <v>14</v>
      </c>
      <c r="C191" s="59" t="s">
        <v>2821</v>
      </c>
      <c r="D191" s="59" t="s">
        <v>2822</v>
      </c>
      <c r="E191" s="59" t="s">
        <v>2823</v>
      </c>
      <c r="F191" s="59" t="s">
        <v>2592</v>
      </c>
      <c r="G191" s="59" t="s">
        <v>2824</v>
      </c>
      <c r="I191" s="59" t="s">
        <v>702</v>
      </c>
    </row>
    <row r="192" spans="1:9" ht="11.25" customHeight="1">
      <c r="A192" s="59" t="s">
        <v>2162</v>
      </c>
      <c r="B192" s="59" t="s">
        <v>14</v>
      </c>
      <c r="C192" s="59" t="s">
        <v>2825</v>
      </c>
      <c r="D192" s="59" t="s">
        <v>2826</v>
      </c>
      <c r="E192" s="59" t="s">
        <v>2827</v>
      </c>
      <c r="F192" s="59" t="s">
        <v>2592</v>
      </c>
      <c r="G192" s="59" t="s">
        <v>2828</v>
      </c>
      <c r="I192" s="59" t="s">
        <v>702</v>
      </c>
    </row>
    <row r="193" spans="1:9" ht="11.25" customHeight="1">
      <c r="A193" s="59" t="s">
        <v>2162</v>
      </c>
      <c r="B193" s="59" t="s">
        <v>14</v>
      </c>
      <c r="C193" s="59" t="s">
        <v>2829</v>
      </c>
      <c r="D193" s="59" t="s">
        <v>2830</v>
      </c>
      <c r="E193" s="59" t="s">
        <v>2831</v>
      </c>
      <c r="F193" s="59" t="s">
        <v>2592</v>
      </c>
      <c r="G193" s="59" t="s">
        <v>2832</v>
      </c>
      <c r="I193" s="59" t="s">
        <v>702</v>
      </c>
    </row>
    <row r="194" spans="1:9" ht="11.25" customHeight="1">
      <c r="A194" s="59" t="s">
        <v>2162</v>
      </c>
      <c r="B194" s="59" t="s">
        <v>14</v>
      </c>
      <c r="C194" s="59" t="s">
        <v>2833</v>
      </c>
      <c r="D194" s="59" t="s">
        <v>2834</v>
      </c>
      <c r="E194" s="59" t="s">
        <v>2835</v>
      </c>
      <c r="F194" s="59" t="s">
        <v>2592</v>
      </c>
      <c r="I194" s="59" t="s">
        <v>702</v>
      </c>
    </row>
    <row r="195" spans="1:9" ht="11.25" customHeight="1">
      <c r="A195" s="59" t="s">
        <v>2162</v>
      </c>
      <c r="B195" s="59" t="s">
        <v>14</v>
      </c>
      <c r="C195" s="59" t="s">
        <v>2836</v>
      </c>
      <c r="D195" s="59" t="s">
        <v>2837</v>
      </c>
      <c r="E195" s="59" t="s">
        <v>2838</v>
      </c>
      <c r="F195" s="59" t="s">
        <v>2816</v>
      </c>
      <c r="I195" s="59" t="s">
        <v>702</v>
      </c>
    </row>
    <row r="196" spans="1:9" ht="11.25" customHeight="1">
      <c r="A196" s="59" t="s">
        <v>2162</v>
      </c>
      <c r="B196" s="59" t="s">
        <v>14</v>
      </c>
      <c r="C196" s="59" t="s">
        <v>2839</v>
      </c>
      <c r="D196" s="59" t="s">
        <v>2840</v>
      </c>
      <c r="E196" s="59" t="s">
        <v>2841</v>
      </c>
      <c r="F196" s="59" t="s">
        <v>2816</v>
      </c>
      <c r="I196" s="59" t="s">
        <v>702</v>
      </c>
    </row>
    <row r="197" spans="1:9" ht="11.25" customHeight="1">
      <c r="A197" s="59" t="s">
        <v>2162</v>
      </c>
      <c r="B197" s="59" t="s">
        <v>14</v>
      </c>
      <c r="C197" s="59" t="s">
        <v>2842</v>
      </c>
      <c r="D197" s="59" t="s">
        <v>2843</v>
      </c>
      <c r="E197" s="59" t="s">
        <v>2844</v>
      </c>
      <c r="F197" s="59" t="s">
        <v>2816</v>
      </c>
      <c r="I197" s="59" t="s">
        <v>702</v>
      </c>
    </row>
    <row r="198" spans="1:9" ht="11.25" customHeight="1">
      <c r="A198" s="59" t="s">
        <v>2162</v>
      </c>
      <c r="B198" s="59" t="s">
        <v>14</v>
      </c>
      <c r="C198" s="59" t="s">
        <v>2845</v>
      </c>
      <c r="D198" s="59" t="s">
        <v>2846</v>
      </c>
      <c r="E198" s="59" t="s">
        <v>2847</v>
      </c>
      <c r="F198" s="59" t="s">
        <v>2775</v>
      </c>
      <c r="G198" s="59" t="s">
        <v>2848</v>
      </c>
      <c r="I198" s="59" t="s">
        <v>702</v>
      </c>
    </row>
    <row r="199" spans="1:9" ht="11.25" customHeight="1">
      <c r="A199" s="59" t="s">
        <v>2162</v>
      </c>
      <c r="B199" s="59" t="s">
        <v>14</v>
      </c>
      <c r="C199" s="59" t="s">
        <v>2849</v>
      </c>
      <c r="D199" s="59" t="s">
        <v>2850</v>
      </c>
      <c r="E199" s="59" t="s">
        <v>2851</v>
      </c>
      <c r="F199" s="59" t="s">
        <v>2775</v>
      </c>
      <c r="I199" s="59" t="s">
        <v>702</v>
      </c>
    </row>
    <row r="200" spans="1:9" ht="11.25" customHeight="1">
      <c r="A200" s="59" t="s">
        <v>2162</v>
      </c>
      <c r="B200" s="59" t="s">
        <v>14</v>
      </c>
      <c r="C200" s="59" t="s">
        <v>2852</v>
      </c>
      <c r="D200" s="59" t="s">
        <v>2853</v>
      </c>
      <c r="E200" s="59" t="s">
        <v>2854</v>
      </c>
      <c r="F200" s="59" t="s">
        <v>2166</v>
      </c>
      <c r="G200" s="59" t="s">
        <v>2855</v>
      </c>
      <c r="I200" s="59" t="s">
        <v>702</v>
      </c>
    </row>
    <row r="201" spans="1:9" ht="11.25" customHeight="1">
      <c r="A201" s="59" t="s">
        <v>2162</v>
      </c>
      <c r="B201" s="59" t="s">
        <v>14</v>
      </c>
      <c r="C201" s="59" t="s">
        <v>2856</v>
      </c>
      <c r="D201" s="59" t="s">
        <v>2857</v>
      </c>
      <c r="E201" s="59" t="s">
        <v>2858</v>
      </c>
      <c r="F201" s="59" t="s">
        <v>2486</v>
      </c>
      <c r="I201" s="59" t="s">
        <v>702</v>
      </c>
    </row>
    <row r="202" spans="1:9" ht="11.25" customHeight="1">
      <c r="A202" s="59" t="s">
        <v>2162</v>
      </c>
      <c r="B202" s="59" t="s">
        <v>14</v>
      </c>
      <c r="C202" s="59" t="s">
        <v>2859</v>
      </c>
      <c r="D202" s="59" t="s">
        <v>2860</v>
      </c>
      <c r="E202" s="59" t="s">
        <v>2861</v>
      </c>
      <c r="F202" s="59" t="s">
        <v>2261</v>
      </c>
      <c r="G202" s="59" t="s">
        <v>2862</v>
      </c>
      <c r="I202" s="59" t="s">
        <v>702</v>
      </c>
    </row>
    <row r="203" spans="1:9" ht="11.25" customHeight="1">
      <c r="A203" s="59" t="s">
        <v>2162</v>
      </c>
      <c r="B203" s="59" t="s">
        <v>14</v>
      </c>
      <c r="C203" s="59" t="s">
        <v>2863</v>
      </c>
      <c r="D203" s="59" t="s">
        <v>2864</v>
      </c>
      <c r="E203" s="59" t="s">
        <v>2865</v>
      </c>
      <c r="F203" s="59" t="s">
        <v>2486</v>
      </c>
      <c r="I203" s="59" t="s">
        <v>702</v>
      </c>
    </row>
    <row r="204" spans="1:9" ht="11.25" customHeight="1">
      <c r="A204" s="59" t="s">
        <v>2162</v>
      </c>
      <c r="B204" s="59" t="s">
        <v>14</v>
      </c>
      <c r="C204" s="59" t="s">
        <v>2866</v>
      </c>
      <c r="D204" s="59" t="s">
        <v>2867</v>
      </c>
      <c r="E204" s="59" t="s">
        <v>2868</v>
      </c>
      <c r="F204" s="59" t="s">
        <v>2202</v>
      </c>
      <c r="G204" s="59" t="s">
        <v>2869</v>
      </c>
      <c r="I204" s="59" t="s">
        <v>702</v>
      </c>
    </row>
    <row r="205" spans="1:9" ht="11.25" customHeight="1">
      <c r="A205" s="59" t="s">
        <v>2162</v>
      </c>
      <c r="B205" s="59" t="s">
        <v>14</v>
      </c>
      <c r="C205" s="59" t="s">
        <v>2870</v>
      </c>
      <c r="D205" s="59" t="s">
        <v>2871</v>
      </c>
      <c r="E205" s="59" t="s">
        <v>2872</v>
      </c>
      <c r="F205" s="59" t="s">
        <v>2775</v>
      </c>
      <c r="G205" s="59" t="s">
        <v>2873</v>
      </c>
      <c r="I205" s="59" t="s">
        <v>702</v>
      </c>
    </row>
    <row r="206" spans="1:9" ht="11.25" customHeight="1">
      <c r="A206" s="59" t="s">
        <v>2162</v>
      </c>
      <c r="B206" s="59" t="s">
        <v>14</v>
      </c>
      <c r="C206" s="59" t="s">
        <v>2874</v>
      </c>
      <c r="D206" s="59" t="s">
        <v>2875</v>
      </c>
      <c r="E206" s="59" t="s">
        <v>2876</v>
      </c>
      <c r="F206" s="59" t="s">
        <v>2877</v>
      </c>
      <c r="I206" s="59" t="s">
        <v>702</v>
      </c>
    </row>
    <row r="207" spans="1:9" ht="11.25" customHeight="1">
      <c r="A207" s="59" t="s">
        <v>2162</v>
      </c>
      <c r="B207" s="59" t="s">
        <v>14</v>
      </c>
      <c r="C207" s="59" t="s">
        <v>2878</v>
      </c>
      <c r="D207" s="59" t="s">
        <v>2879</v>
      </c>
      <c r="E207" s="59" t="s">
        <v>2880</v>
      </c>
      <c r="F207" s="59" t="s">
        <v>2391</v>
      </c>
      <c r="G207" s="59" t="s">
        <v>2881</v>
      </c>
      <c r="I207" s="59" t="s">
        <v>702</v>
      </c>
    </row>
    <row r="208" spans="1:9" ht="11.25" customHeight="1">
      <c r="A208" s="59" t="s">
        <v>2162</v>
      </c>
      <c r="B208" s="59" t="s">
        <v>14</v>
      </c>
      <c r="C208" s="59" t="s">
        <v>2882</v>
      </c>
      <c r="D208" s="59" t="s">
        <v>2883</v>
      </c>
      <c r="E208" s="59" t="s">
        <v>2884</v>
      </c>
      <c r="F208" s="59" t="s">
        <v>2228</v>
      </c>
      <c r="I208" s="59" t="s">
        <v>702</v>
      </c>
    </row>
    <row r="209" spans="1:9" ht="11.25" customHeight="1">
      <c r="A209" s="59" t="s">
        <v>2162</v>
      </c>
      <c r="B209" s="59" t="s">
        <v>14</v>
      </c>
      <c r="C209" s="59" t="s">
        <v>2885</v>
      </c>
      <c r="D209" s="59" t="s">
        <v>2886</v>
      </c>
      <c r="E209" s="59" t="s">
        <v>2887</v>
      </c>
      <c r="F209" s="59" t="s">
        <v>2193</v>
      </c>
      <c r="I209" s="59" t="s">
        <v>702</v>
      </c>
    </row>
    <row r="210" spans="1:9" ht="11.25" customHeight="1">
      <c r="A210" s="59" t="s">
        <v>2162</v>
      </c>
      <c r="B210" s="59" t="s">
        <v>14</v>
      </c>
      <c r="C210" s="59" t="s">
        <v>2888</v>
      </c>
      <c r="D210" s="59" t="s">
        <v>2889</v>
      </c>
      <c r="E210" s="59" t="s">
        <v>2890</v>
      </c>
      <c r="F210" s="59" t="s">
        <v>2257</v>
      </c>
      <c r="I210" s="59" t="s">
        <v>702</v>
      </c>
    </row>
    <row r="211" spans="1:9" ht="11.25" customHeight="1">
      <c r="A211" s="59" t="s">
        <v>2162</v>
      </c>
      <c r="B211" s="59" t="s">
        <v>14</v>
      </c>
      <c r="C211" s="59" t="s">
        <v>2891</v>
      </c>
      <c r="D211" s="59" t="s">
        <v>2892</v>
      </c>
      <c r="E211" s="59" t="s">
        <v>2893</v>
      </c>
      <c r="F211" s="59" t="s">
        <v>2257</v>
      </c>
      <c r="G211" s="59" t="s">
        <v>2894</v>
      </c>
      <c r="I211" s="59" t="s">
        <v>702</v>
      </c>
    </row>
    <row r="212" spans="1:9" ht="11.25" customHeight="1">
      <c r="A212" s="59" t="s">
        <v>2162</v>
      </c>
      <c r="B212" s="59" t="s">
        <v>14</v>
      </c>
      <c r="C212" s="59" t="s">
        <v>2895</v>
      </c>
      <c r="D212" s="59" t="s">
        <v>2896</v>
      </c>
      <c r="E212" s="59" t="s">
        <v>2897</v>
      </c>
      <c r="F212" s="59" t="s">
        <v>2252</v>
      </c>
      <c r="G212" s="59" t="s">
        <v>2898</v>
      </c>
      <c r="I212" s="59" t="s">
        <v>702</v>
      </c>
    </row>
    <row r="213" spans="1:9" ht="11.25" customHeight="1">
      <c r="A213" s="59" t="s">
        <v>2162</v>
      </c>
      <c r="B213" s="59" t="s">
        <v>14</v>
      </c>
      <c r="C213" s="59" t="s">
        <v>2899</v>
      </c>
      <c r="D213" s="59" t="s">
        <v>2900</v>
      </c>
      <c r="E213" s="59" t="s">
        <v>2901</v>
      </c>
      <c r="F213" s="59" t="s">
        <v>2592</v>
      </c>
      <c r="I213" s="59" t="s">
        <v>702</v>
      </c>
    </row>
    <row r="214" spans="1:9" ht="11.25" customHeight="1">
      <c r="A214" s="59" t="s">
        <v>2162</v>
      </c>
      <c r="B214" s="59" t="s">
        <v>14</v>
      </c>
      <c r="C214" s="59" t="s">
        <v>2902</v>
      </c>
      <c r="D214" s="59" t="s">
        <v>2903</v>
      </c>
      <c r="E214" s="59" t="s">
        <v>2904</v>
      </c>
      <c r="F214" s="59" t="s">
        <v>2257</v>
      </c>
      <c r="I214" s="59" t="s">
        <v>702</v>
      </c>
    </row>
    <row r="215" spans="1:9" ht="11.25" customHeight="1">
      <c r="A215" s="59" t="s">
        <v>2162</v>
      </c>
      <c r="B215" s="59" t="s">
        <v>14</v>
      </c>
      <c r="C215" s="59" t="s">
        <v>2905</v>
      </c>
      <c r="D215" s="59" t="s">
        <v>2906</v>
      </c>
      <c r="E215" s="59" t="s">
        <v>2907</v>
      </c>
      <c r="F215" s="59" t="s">
        <v>2908</v>
      </c>
      <c r="G215" s="59" t="s">
        <v>2909</v>
      </c>
      <c r="I215" s="59" t="s">
        <v>702</v>
      </c>
    </row>
    <row r="216" spans="1:9" ht="11.25" customHeight="1">
      <c r="A216" s="59" t="s">
        <v>2162</v>
      </c>
      <c r="B216" s="59" t="s">
        <v>14</v>
      </c>
      <c r="C216" s="59" t="s">
        <v>2910</v>
      </c>
      <c r="D216" s="59" t="s">
        <v>2911</v>
      </c>
      <c r="E216" s="59" t="s">
        <v>2912</v>
      </c>
      <c r="F216" s="59" t="s">
        <v>2486</v>
      </c>
      <c r="G216" s="59" t="s">
        <v>2913</v>
      </c>
      <c r="I216" s="59" t="s">
        <v>702</v>
      </c>
    </row>
    <row r="217" spans="1:9" ht="11.25" customHeight="1">
      <c r="A217" s="59" t="s">
        <v>2162</v>
      </c>
      <c r="B217" s="59" t="s">
        <v>14</v>
      </c>
      <c r="C217" s="59" t="s">
        <v>2914</v>
      </c>
      <c r="D217" s="59" t="s">
        <v>2915</v>
      </c>
      <c r="E217" s="59" t="s">
        <v>2916</v>
      </c>
      <c r="F217" s="59" t="s">
        <v>2486</v>
      </c>
      <c r="G217" s="59" t="s">
        <v>2917</v>
      </c>
      <c r="I217" s="59" t="s">
        <v>702</v>
      </c>
    </row>
    <row r="218" spans="1:9" ht="11.25" customHeight="1">
      <c r="A218" s="59" t="s">
        <v>2162</v>
      </c>
      <c r="B218" s="59" t="s">
        <v>14</v>
      </c>
      <c r="C218" s="59" t="s">
        <v>2918</v>
      </c>
      <c r="D218" s="59" t="s">
        <v>2919</v>
      </c>
      <c r="E218" s="59" t="s">
        <v>2920</v>
      </c>
      <c r="F218" s="59" t="s">
        <v>2478</v>
      </c>
      <c r="I218" s="59" t="s">
        <v>702</v>
      </c>
    </row>
    <row r="219" spans="1:9" ht="11.25" customHeight="1">
      <c r="A219" s="59" t="s">
        <v>2162</v>
      </c>
      <c r="B219" s="59" t="s">
        <v>14</v>
      </c>
      <c r="C219" s="59" t="s">
        <v>2921</v>
      </c>
      <c r="D219" s="59" t="s">
        <v>2922</v>
      </c>
      <c r="E219" s="59" t="s">
        <v>2923</v>
      </c>
      <c r="F219" s="59" t="s">
        <v>2592</v>
      </c>
      <c r="G219" s="59" t="s">
        <v>2924</v>
      </c>
      <c r="I219" s="59" t="s">
        <v>702</v>
      </c>
    </row>
    <row r="220" spans="1:9" ht="11.25" customHeight="1">
      <c r="A220" s="59" t="s">
        <v>2162</v>
      </c>
      <c r="B220" s="59" t="s">
        <v>14</v>
      </c>
      <c r="C220" s="59" t="s">
        <v>2925</v>
      </c>
      <c r="D220" s="59" t="s">
        <v>2926</v>
      </c>
      <c r="E220" s="59" t="s">
        <v>2927</v>
      </c>
      <c r="F220" s="59" t="s">
        <v>2261</v>
      </c>
      <c r="G220" s="59" t="s">
        <v>2928</v>
      </c>
      <c r="I220" s="59" t="s">
        <v>702</v>
      </c>
    </row>
    <row r="221" spans="1:9" ht="11.25" customHeight="1">
      <c r="A221" s="59" t="s">
        <v>2162</v>
      </c>
      <c r="B221" s="59" t="s">
        <v>14</v>
      </c>
      <c r="C221" s="59" t="s">
        <v>2929</v>
      </c>
      <c r="D221" s="59" t="s">
        <v>2930</v>
      </c>
      <c r="E221" s="59" t="s">
        <v>2931</v>
      </c>
      <c r="F221" s="59" t="s">
        <v>2193</v>
      </c>
      <c r="I221" s="59" t="s">
        <v>702</v>
      </c>
    </row>
    <row r="222" spans="1:9" ht="11.25" customHeight="1">
      <c r="A222" s="59" t="s">
        <v>2162</v>
      </c>
      <c r="B222" s="59" t="s">
        <v>14</v>
      </c>
      <c r="C222" s="59" t="s">
        <v>2932</v>
      </c>
      <c r="D222" s="59" t="s">
        <v>2933</v>
      </c>
      <c r="E222" s="59" t="s">
        <v>2934</v>
      </c>
      <c r="F222" s="59" t="s">
        <v>2775</v>
      </c>
      <c r="I222" s="59" t="s">
        <v>702</v>
      </c>
    </row>
    <row r="223" spans="1:9" ht="11.25" customHeight="1">
      <c r="A223" s="59" t="s">
        <v>2162</v>
      </c>
      <c r="B223" s="59" t="s">
        <v>14</v>
      </c>
      <c r="C223" s="59" t="s">
        <v>2935</v>
      </c>
      <c r="D223" s="59" t="s">
        <v>2936</v>
      </c>
      <c r="E223" s="59" t="s">
        <v>2937</v>
      </c>
      <c r="F223" s="59" t="s">
        <v>2938</v>
      </c>
      <c r="I223" s="59" t="s">
        <v>702</v>
      </c>
    </row>
    <row r="224" spans="1:9" ht="11.25" customHeight="1">
      <c r="A224" s="59" t="s">
        <v>2162</v>
      </c>
      <c r="B224" s="59" t="s">
        <v>14</v>
      </c>
      <c r="C224" s="59" t="s">
        <v>2939</v>
      </c>
      <c r="D224" s="59" t="s">
        <v>2940</v>
      </c>
      <c r="E224" s="59" t="s">
        <v>2941</v>
      </c>
      <c r="F224" s="59" t="s">
        <v>2202</v>
      </c>
      <c r="G224" s="59" t="s">
        <v>2942</v>
      </c>
      <c r="I224" s="59" t="s">
        <v>702</v>
      </c>
    </row>
    <row r="225" spans="1:9" ht="11.25" customHeight="1">
      <c r="A225" s="59" t="s">
        <v>2162</v>
      </c>
      <c r="B225" s="59" t="s">
        <v>14</v>
      </c>
      <c r="C225" s="59" t="s">
        <v>2943</v>
      </c>
      <c r="D225" s="59" t="s">
        <v>2944</v>
      </c>
      <c r="E225" s="59" t="s">
        <v>2945</v>
      </c>
      <c r="F225" s="59" t="s">
        <v>2261</v>
      </c>
      <c r="G225" s="59" t="s">
        <v>2946</v>
      </c>
      <c r="I225" s="59" t="s">
        <v>702</v>
      </c>
    </row>
    <row r="226" spans="1:9" ht="11.25" customHeight="1">
      <c r="A226" s="59" t="s">
        <v>2162</v>
      </c>
      <c r="B226" s="59" t="s">
        <v>14</v>
      </c>
      <c r="C226" s="59" t="s">
        <v>2947</v>
      </c>
      <c r="D226" s="59" t="s">
        <v>2948</v>
      </c>
      <c r="E226" s="59" t="s">
        <v>2949</v>
      </c>
      <c r="F226" s="59" t="s">
        <v>2486</v>
      </c>
      <c r="G226" s="59" t="s">
        <v>2950</v>
      </c>
      <c r="I226" s="59" t="s">
        <v>702</v>
      </c>
    </row>
    <row r="227" spans="1:9" ht="11.25" customHeight="1">
      <c r="A227" s="59" t="s">
        <v>2162</v>
      </c>
      <c r="B227" s="59" t="s">
        <v>14</v>
      </c>
      <c r="C227" s="59" t="s">
        <v>2951</v>
      </c>
      <c r="D227" s="59" t="s">
        <v>2952</v>
      </c>
      <c r="E227" s="59" t="s">
        <v>2953</v>
      </c>
      <c r="F227" s="59" t="s">
        <v>2202</v>
      </c>
      <c r="G227" s="59" t="s">
        <v>2954</v>
      </c>
      <c r="I227" s="59" t="s">
        <v>702</v>
      </c>
    </row>
    <row r="228" spans="1:9" ht="11.25" customHeight="1">
      <c r="A228" s="59" t="s">
        <v>2162</v>
      </c>
      <c r="B228" s="59" t="s">
        <v>14</v>
      </c>
      <c r="C228" s="59" t="s">
        <v>2955</v>
      </c>
      <c r="D228" s="59" t="s">
        <v>2956</v>
      </c>
      <c r="E228" s="59" t="s">
        <v>2957</v>
      </c>
      <c r="F228" s="59" t="s">
        <v>2193</v>
      </c>
      <c r="G228" s="59" t="s">
        <v>2958</v>
      </c>
      <c r="I228" s="59" t="s">
        <v>702</v>
      </c>
    </row>
    <row r="229" spans="1:9" ht="11.25" customHeight="1">
      <c r="A229" s="59" t="s">
        <v>2162</v>
      </c>
      <c r="B229" s="59" t="s">
        <v>14</v>
      </c>
      <c r="C229" s="59" t="s">
        <v>2959</v>
      </c>
      <c r="D229" s="59" t="s">
        <v>2960</v>
      </c>
      <c r="E229" s="59" t="s">
        <v>2961</v>
      </c>
      <c r="F229" s="59" t="s">
        <v>2193</v>
      </c>
      <c r="G229" s="59" t="s">
        <v>2913</v>
      </c>
      <c r="I229" s="59" t="s">
        <v>702</v>
      </c>
    </row>
    <row r="230" spans="1:9" ht="11.25" customHeight="1">
      <c r="A230" s="59" t="s">
        <v>2162</v>
      </c>
      <c r="B230" s="59" t="s">
        <v>14</v>
      </c>
      <c r="C230" s="59" t="s">
        <v>2962</v>
      </c>
      <c r="D230" s="59" t="s">
        <v>2963</v>
      </c>
      <c r="E230" s="59" t="s">
        <v>2964</v>
      </c>
      <c r="F230" s="59" t="s">
        <v>2193</v>
      </c>
      <c r="G230" s="59" t="s">
        <v>2965</v>
      </c>
      <c r="I230" s="59" t="s">
        <v>702</v>
      </c>
    </row>
    <row r="231" spans="1:9" ht="11.25" customHeight="1">
      <c r="A231" s="59" t="s">
        <v>2162</v>
      </c>
      <c r="B231" s="59" t="s">
        <v>14</v>
      </c>
      <c r="C231" s="59" t="s">
        <v>2966</v>
      </c>
      <c r="D231" s="59" t="s">
        <v>2967</v>
      </c>
      <c r="E231" s="59" t="s">
        <v>2968</v>
      </c>
      <c r="F231" s="59" t="s">
        <v>2202</v>
      </c>
      <c r="I231" s="59" t="s">
        <v>702</v>
      </c>
    </row>
    <row r="232" spans="1:9" ht="11.25" customHeight="1">
      <c r="A232" s="59" t="s">
        <v>2162</v>
      </c>
      <c r="B232" s="59" t="s">
        <v>14</v>
      </c>
      <c r="C232" s="59" t="s">
        <v>2969</v>
      </c>
      <c r="D232" s="59" t="s">
        <v>2970</v>
      </c>
      <c r="E232" s="59" t="s">
        <v>2971</v>
      </c>
      <c r="F232" s="59" t="s">
        <v>2261</v>
      </c>
      <c r="G232" s="59" t="s">
        <v>2972</v>
      </c>
      <c r="I232" s="59" t="s">
        <v>702</v>
      </c>
    </row>
    <row r="233" spans="1:9" ht="11.25" customHeight="1">
      <c r="A233" s="59" t="s">
        <v>2162</v>
      </c>
      <c r="B233" s="59" t="s">
        <v>14</v>
      </c>
      <c r="C233" s="59" t="s">
        <v>2973</v>
      </c>
      <c r="D233" s="59" t="s">
        <v>2974</v>
      </c>
      <c r="E233" s="59" t="s">
        <v>2975</v>
      </c>
      <c r="F233" s="59" t="s">
        <v>2257</v>
      </c>
      <c r="G233" s="59" t="s">
        <v>2976</v>
      </c>
      <c r="I233" s="59" t="s">
        <v>702</v>
      </c>
    </row>
    <row r="234" spans="1:9" ht="11.25" customHeight="1">
      <c r="A234" s="59" t="s">
        <v>2162</v>
      </c>
      <c r="B234" s="59" t="s">
        <v>14</v>
      </c>
      <c r="C234" s="59" t="s">
        <v>2977</v>
      </c>
      <c r="D234" s="59" t="s">
        <v>2978</v>
      </c>
      <c r="E234" s="59" t="s">
        <v>2979</v>
      </c>
      <c r="F234" s="59" t="s">
        <v>2257</v>
      </c>
      <c r="G234" s="59" t="s">
        <v>2980</v>
      </c>
      <c r="I234" s="59" t="s">
        <v>702</v>
      </c>
    </row>
    <row r="235" spans="1:9" ht="11.25" customHeight="1">
      <c r="A235" s="59" t="s">
        <v>2162</v>
      </c>
      <c r="B235" s="59" t="s">
        <v>14</v>
      </c>
      <c r="C235" s="59" t="s">
        <v>2981</v>
      </c>
      <c r="D235" s="59" t="s">
        <v>2982</v>
      </c>
      <c r="E235" s="59" t="s">
        <v>2983</v>
      </c>
      <c r="F235" s="59" t="s">
        <v>2808</v>
      </c>
      <c r="H235" s="59" t="s">
        <v>2984</v>
      </c>
      <c r="I235" s="59" t="s">
        <v>702</v>
      </c>
    </row>
    <row r="236" spans="1:9" ht="11.25" customHeight="1">
      <c r="A236" s="59" t="s">
        <v>2162</v>
      </c>
      <c r="B236" s="59" t="s">
        <v>14</v>
      </c>
      <c r="C236" s="59" t="s">
        <v>2985</v>
      </c>
      <c r="D236" s="59" t="s">
        <v>2986</v>
      </c>
      <c r="E236" s="59" t="s">
        <v>2987</v>
      </c>
      <c r="F236" s="59" t="s">
        <v>2592</v>
      </c>
      <c r="G236" s="59" t="s">
        <v>2988</v>
      </c>
      <c r="I236" s="59" t="s">
        <v>702</v>
      </c>
    </row>
    <row r="237" spans="1:9" ht="11.25" customHeight="1">
      <c r="A237" s="59" t="s">
        <v>2162</v>
      </c>
      <c r="B237" s="59" t="s">
        <v>14</v>
      </c>
      <c r="C237" s="59" t="s">
        <v>2989</v>
      </c>
      <c r="D237" s="59" t="s">
        <v>2990</v>
      </c>
      <c r="E237" s="59" t="s">
        <v>2991</v>
      </c>
      <c r="F237" s="59" t="s">
        <v>2228</v>
      </c>
      <c r="G237" s="59" t="s">
        <v>2992</v>
      </c>
      <c r="I237" s="59" t="s">
        <v>702</v>
      </c>
    </row>
    <row r="238" spans="1:9" ht="11.25" customHeight="1">
      <c r="A238" s="59" t="s">
        <v>2162</v>
      </c>
      <c r="B238" s="59" t="s">
        <v>14</v>
      </c>
      <c r="C238" s="59" t="s">
        <v>2993</v>
      </c>
      <c r="D238" s="59" t="s">
        <v>2994</v>
      </c>
      <c r="E238" s="59" t="s">
        <v>2995</v>
      </c>
      <c r="F238" s="59" t="s">
        <v>2486</v>
      </c>
      <c r="I238" s="59" t="s">
        <v>702</v>
      </c>
    </row>
    <row r="239" spans="1:9" ht="11.25" customHeight="1">
      <c r="A239" s="59" t="s">
        <v>2162</v>
      </c>
      <c r="B239" s="59" t="s">
        <v>14</v>
      </c>
      <c r="C239" s="59" t="s">
        <v>2996</v>
      </c>
      <c r="D239" s="59" t="s">
        <v>2997</v>
      </c>
      <c r="E239" s="59" t="s">
        <v>2998</v>
      </c>
      <c r="F239" s="59" t="s">
        <v>2308</v>
      </c>
      <c r="G239" s="59" t="s">
        <v>2999</v>
      </c>
      <c r="I239" s="59" t="s">
        <v>702</v>
      </c>
    </row>
    <row r="240" spans="1:9" ht="11.25" customHeight="1">
      <c r="A240" s="59" t="s">
        <v>2162</v>
      </c>
      <c r="B240" s="59" t="s">
        <v>14</v>
      </c>
      <c r="C240" s="59" t="s">
        <v>3000</v>
      </c>
      <c r="D240" s="59" t="s">
        <v>3001</v>
      </c>
      <c r="E240" s="59" t="s">
        <v>3002</v>
      </c>
      <c r="F240" s="59" t="s">
        <v>3003</v>
      </c>
      <c r="G240" s="59" t="s">
        <v>3004</v>
      </c>
      <c r="I240" s="59" t="s">
        <v>702</v>
      </c>
    </row>
    <row r="241" spans="1:9" ht="11.25" customHeight="1">
      <c r="A241" s="59" t="s">
        <v>2162</v>
      </c>
      <c r="B241" s="59" t="s">
        <v>14</v>
      </c>
      <c r="C241" s="59" t="s">
        <v>3005</v>
      </c>
      <c r="D241" s="59" t="s">
        <v>3006</v>
      </c>
      <c r="E241" s="59" t="s">
        <v>3007</v>
      </c>
      <c r="F241" s="59" t="s">
        <v>2291</v>
      </c>
      <c r="I241" s="59" t="s">
        <v>702</v>
      </c>
    </row>
    <row r="242" spans="1:9" ht="11.25" customHeight="1">
      <c r="A242" s="59" t="s">
        <v>2162</v>
      </c>
      <c r="B242" s="59" t="s">
        <v>14</v>
      </c>
      <c r="C242" s="59" t="s">
        <v>3008</v>
      </c>
      <c r="D242" s="59" t="s">
        <v>3009</v>
      </c>
      <c r="E242" s="59" t="s">
        <v>3010</v>
      </c>
      <c r="F242" s="59" t="s">
        <v>2261</v>
      </c>
      <c r="G242" s="59" t="s">
        <v>3011</v>
      </c>
      <c r="I242" s="59" t="s">
        <v>702</v>
      </c>
    </row>
    <row r="243" spans="1:9" ht="11.25" customHeight="1">
      <c r="A243" s="59" t="s">
        <v>2162</v>
      </c>
      <c r="B243" s="59" t="s">
        <v>14</v>
      </c>
      <c r="C243" s="59" t="s">
        <v>3012</v>
      </c>
      <c r="D243" s="59" t="s">
        <v>3013</v>
      </c>
      <c r="E243" s="59" t="s">
        <v>3014</v>
      </c>
      <c r="F243" s="59" t="s">
        <v>2257</v>
      </c>
      <c r="G243" s="59" t="s">
        <v>3015</v>
      </c>
      <c r="I243" s="59" t="s">
        <v>702</v>
      </c>
    </row>
    <row r="244" spans="1:9" ht="11.25" customHeight="1">
      <c r="A244" s="59" t="s">
        <v>2162</v>
      </c>
      <c r="B244" s="59" t="s">
        <v>14</v>
      </c>
      <c r="C244" s="59" t="s">
        <v>3016</v>
      </c>
      <c r="D244" s="59" t="s">
        <v>3017</v>
      </c>
      <c r="E244" s="59" t="s">
        <v>3018</v>
      </c>
      <c r="F244" s="59" t="s">
        <v>2257</v>
      </c>
      <c r="G244" s="59" t="s">
        <v>3019</v>
      </c>
      <c r="I244" s="59" t="s">
        <v>702</v>
      </c>
    </row>
    <row r="245" spans="1:9" ht="11.25" customHeight="1">
      <c r="A245" s="59" t="s">
        <v>2162</v>
      </c>
      <c r="B245" s="59" t="s">
        <v>14</v>
      </c>
      <c r="C245" s="59" t="s">
        <v>3020</v>
      </c>
      <c r="D245" s="59" t="s">
        <v>3021</v>
      </c>
      <c r="E245" s="59" t="s">
        <v>3022</v>
      </c>
      <c r="F245" s="59" t="s">
        <v>3003</v>
      </c>
      <c r="I245" s="59" t="s">
        <v>702</v>
      </c>
    </row>
    <row r="246" spans="1:9" ht="11.25" customHeight="1">
      <c r="A246" s="59" t="s">
        <v>2162</v>
      </c>
      <c r="B246" s="59" t="s">
        <v>14</v>
      </c>
      <c r="C246" s="59" t="s">
        <v>3023</v>
      </c>
      <c r="D246" s="59" t="s">
        <v>3024</v>
      </c>
      <c r="E246" s="59" t="s">
        <v>3025</v>
      </c>
      <c r="F246" s="59" t="s">
        <v>2592</v>
      </c>
      <c r="I246" s="59" t="s">
        <v>702</v>
      </c>
    </row>
    <row r="247" spans="1:9" ht="11.25" customHeight="1">
      <c r="A247" s="59" t="s">
        <v>2162</v>
      </c>
      <c r="B247" s="59" t="s">
        <v>14</v>
      </c>
      <c r="C247" s="59" t="s">
        <v>3026</v>
      </c>
      <c r="D247" s="59" t="s">
        <v>3027</v>
      </c>
      <c r="E247" s="59" t="s">
        <v>3028</v>
      </c>
      <c r="F247" s="59" t="s">
        <v>2592</v>
      </c>
      <c r="I247" s="59" t="s">
        <v>702</v>
      </c>
    </row>
    <row r="248" spans="1:9" ht="11.25" customHeight="1">
      <c r="A248" s="59" t="s">
        <v>2162</v>
      </c>
      <c r="B248" s="59" t="s">
        <v>14</v>
      </c>
      <c r="C248" s="59" t="s">
        <v>3029</v>
      </c>
      <c r="D248" s="59" t="s">
        <v>3030</v>
      </c>
      <c r="E248" s="59" t="s">
        <v>3031</v>
      </c>
      <c r="F248" s="59" t="s">
        <v>2592</v>
      </c>
      <c r="I248" s="59" t="s">
        <v>702</v>
      </c>
    </row>
    <row r="249" spans="1:9" ht="11.25" customHeight="1">
      <c r="A249" s="59" t="s">
        <v>2162</v>
      </c>
      <c r="B249" s="59" t="s">
        <v>14</v>
      </c>
      <c r="C249" s="59" t="s">
        <v>3032</v>
      </c>
      <c r="D249" s="59" t="s">
        <v>3033</v>
      </c>
      <c r="E249" s="59" t="s">
        <v>3034</v>
      </c>
      <c r="F249" s="59" t="s">
        <v>2592</v>
      </c>
      <c r="G249" s="59" t="s">
        <v>3035</v>
      </c>
      <c r="I249" s="59" t="s">
        <v>702</v>
      </c>
    </row>
    <row r="250" spans="1:9" ht="11.25" customHeight="1">
      <c r="A250" s="59" t="s">
        <v>2162</v>
      </c>
      <c r="B250" s="59" t="s">
        <v>14</v>
      </c>
      <c r="C250" s="59" t="s">
        <v>3036</v>
      </c>
      <c r="D250" s="59" t="s">
        <v>3037</v>
      </c>
      <c r="E250" s="59" t="s">
        <v>3038</v>
      </c>
      <c r="F250" s="59" t="s">
        <v>2592</v>
      </c>
      <c r="G250" s="59" t="s">
        <v>3039</v>
      </c>
      <c r="I250" s="59" t="s">
        <v>702</v>
      </c>
    </row>
    <row r="251" spans="1:9" ht="11.25" customHeight="1">
      <c r="A251" s="59" t="s">
        <v>2162</v>
      </c>
      <c r="B251" s="59" t="s">
        <v>14</v>
      </c>
      <c r="C251" s="59" t="s">
        <v>3040</v>
      </c>
      <c r="D251" s="59" t="s">
        <v>3041</v>
      </c>
      <c r="E251" s="59" t="s">
        <v>3042</v>
      </c>
      <c r="F251" s="59" t="s">
        <v>2257</v>
      </c>
      <c r="I251" s="59" t="s">
        <v>702</v>
      </c>
    </row>
    <row r="252" spans="1:9" ht="11.25" customHeight="1">
      <c r="A252" s="59" t="s">
        <v>2162</v>
      </c>
      <c r="B252" s="59" t="s">
        <v>14</v>
      </c>
      <c r="C252" s="59" t="s">
        <v>3043</v>
      </c>
      <c r="D252" s="59" t="s">
        <v>3044</v>
      </c>
      <c r="E252" s="59" t="s">
        <v>3045</v>
      </c>
      <c r="F252" s="59" t="s">
        <v>2266</v>
      </c>
      <c r="G252" s="59" t="s">
        <v>3046</v>
      </c>
      <c r="I252" s="59" t="s">
        <v>702</v>
      </c>
    </row>
    <row r="253" spans="1:9" ht="11.25" customHeight="1">
      <c r="A253" s="59" t="s">
        <v>2162</v>
      </c>
      <c r="B253" s="59" t="s">
        <v>14</v>
      </c>
      <c r="C253" s="59" t="s">
        <v>3047</v>
      </c>
      <c r="D253" s="59" t="s">
        <v>3048</v>
      </c>
      <c r="E253" s="59" t="s">
        <v>3049</v>
      </c>
      <c r="F253" s="59" t="s">
        <v>2592</v>
      </c>
      <c r="I253" s="59" t="s">
        <v>702</v>
      </c>
    </row>
    <row r="254" spans="1:9" ht="11.25" customHeight="1">
      <c r="A254" s="59" t="s">
        <v>2162</v>
      </c>
      <c r="B254" s="59" t="s">
        <v>14</v>
      </c>
      <c r="C254" s="59" t="s">
        <v>3050</v>
      </c>
      <c r="D254" s="59" t="s">
        <v>3051</v>
      </c>
      <c r="E254" s="59" t="s">
        <v>3052</v>
      </c>
      <c r="F254" s="59" t="s">
        <v>2193</v>
      </c>
      <c r="G254" s="59" t="s">
        <v>3053</v>
      </c>
      <c r="I254" s="59" t="s">
        <v>702</v>
      </c>
    </row>
    <row r="255" spans="1:9" ht="11.25" customHeight="1">
      <c r="A255" s="59" t="s">
        <v>2162</v>
      </c>
      <c r="B255" s="59" t="s">
        <v>14</v>
      </c>
      <c r="C255" s="59" t="s">
        <v>3054</v>
      </c>
      <c r="D255" s="59" t="s">
        <v>3055</v>
      </c>
      <c r="E255" s="59" t="s">
        <v>3056</v>
      </c>
      <c r="F255" s="59" t="s">
        <v>3057</v>
      </c>
      <c r="I255" s="59" t="s">
        <v>702</v>
      </c>
    </row>
    <row r="256" spans="1:9" ht="11.25" customHeight="1">
      <c r="A256" s="59" t="s">
        <v>2162</v>
      </c>
      <c r="B256" s="59" t="s">
        <v>14</v>
      </c>
      <c r="C256" s="59" t="s">
        <v>3058</v>
      </c>
      <c r="D256" s="59" t="s">
        <v>3059</v>
      </c>
      <c r="E256" s="59" t="s">
        <v>3060</v>
      </c>
      <c r="F256" s="59" t="s">
        <v>2308</v>
      </c>
      <c r="I256" s="59" t="s">
        <v>702</v>
      </c>
    </row>
    <row r="257" spans="1:9" ht="11.25" customHeight="1">
      <c r="A257" s="59" t="s">
        <v>2162</v>
      </c>
      <c r="B257" s="59" t="s">
        <v>14</v>
      </c>
      <c r="C257" s="59" t="s">
        <v>3061</v>
      </c>
      <c r="D257" s="59" t="s">
        <v>3062</v>
      </c>
      <c r="E257" s="59" t="s">
        <v>3063</v>
      </c>
      <c r="F257" s="59" t="s">
        <v>2299</v>
      </c>
      <c r="G257" s="59" t="s">
        <v>2924</v>
      </c>
      <c r="H257" s="59" t="s">
        <v>3064</v>
      </c>
      <c r="I257" s="59" t="s">
        <v>702</v>
      </c>
    </row>
    <row r="258" spans="1:9" ht="11.25" customHeight="1">
      <c r="A258" s="59" t="s">
        <v>2162</v>
      </c>
      <c r="B258" s="59" t="s">
        <v>14</v>
      </c>
      <c r="C258" s="59" t="s">
        <v>3065</v>
      </c>
      <c r="D258" s="59" t="s">
        <v>3066</v>
      </c>
      <c r="E258" s="59" t="s">
        <v>3067</v>
      </c>
      <c r="F258" s="59" t="s">
        <v>2486</v>
      </c>
      <c r="I258" s="59" t="s">
        <v>702</v>
      </c>
    </row>
    <row r="259" spans="1:9" ht="11.25" customHeight="1">
      <c r="A259" s="59" t="s">
        <v>2162</v>
      </c>
      <c r="B259" s="59" t="s">
        <v>14</v>
      </c>
      <c r="C259" s="59" t="s">
        <v>3068</v>
      </c>
      <c r="D259" s="59" t="s">
        <v>3069</v>
      </c>
      <c r="E259" s="59" t="s">
        <v>3070</v>
      </c>
      <c r="F259" s="59" t="s">
        <v>2592</v>
      </c>
      <c r="G259" s="59" t="s">
        <v>3071</v>
      </c>
      <c r="I259" s="59" t="s">
        <v>702</v>
      </c>
    </row>
    <row r="260" spans="1:9" ht="11.25" customHeight="1">
      <c r="A260" s="59" t="s">
        <v>2162</v>
      </c>
      <c r="B260" s="59" t="s">
        <v>14</v>
      </c>
      <c r="C260" s="59" t="s">
        <v>3072</v>
      </c>
      <c r="D260" s="59" t="s">
        <v>3073</v>
      </c>
      <c r="E260" s="59" t="s">
        <v>3074</v>
      </c>
      <c r="F260" s="59" t="s">
        <v>3075</v>
      </c>
      <c r="I260" s="59" t="s">
        <v>702</v>
      </c>
    </row>
    <row r="261" spans="1:9" ht="11.25" customHeight="1">
      <c r="A261" s="59" t="s">
        <v>2162</v>
      </c>
      <c r="B261" s="59" t="s">
        <v>14</v>
      </c>
      <c r="C261" s="59" t="s">
        <v>3076</v>
      </c>
      <c r="D261" s="59" t="s">
        <v>3077</v>
      </c>
      <c r="E261" s="59" t="s">
        <v>3078</v>
      </c>
      <c r="F261" s="59" t="s">
        <v>2486</v>
      </c>
      <c r="I261" s="59" t="s">
        <v>702</v>
      </c>
    </row>
    <row r="262" spans="1:9" ht="11.25" customHeight="1">
      <c r="A262" s="59" t="s">
        <v>2162</v>
      </c>
      <c r="B262" s="59" t="s">
        <v>14</v>
      </c>
      <c r="C262" s="59" t="s">
        <v>3079</v>
      </c>
      <c r="D262" s="59" t="s">
        <v>3080</v>
      </c>
      <c r="E262" s="59" t="s">
        <v>3081</v>
      </c>
      <c r="F262" s="59" t="s">
        <v>2486</v>
      </c>
      <c r="G262" s="59" t="s">
        <v>3082</v>
      </c>
      <c r="I262" s="59" t="s">
        <v>702</v>
      </c>
    </row>
    <row r="263" spans="1:9" ht="11.25" customHeight="1">
      <c r="A263" s="59" t="s">
        <v>2162</v>
      </c>
      <c r="B263" s="59" t="s">
        <v>14</v>
      </c>
      <c r="C263" s="59" t="s">
        <v>3083</v>
      </c>
      <c r="D263" s="59" t="s">
        <v>3084</v>
      </c>
      <c r="E263" s="59" t="s">
        <v>3085</v>
      </c>
      <c r="F263" s="59" t="s">
        <v>3086</v>
      </c>
      <c r="I263" s="59" t="s">
        <v>702</v>
      </c>
    </row>
    <row r="264" spans="1:9" ht="11.25" customHeight="1">
      <c r="A264" s="59" t="s">
        <v>2162</v>
      </c>
      <c r="B264" s="59" t="s">
        <v>14</v>
      </c>
      <c r="C264" s="59" t="s">
        <v>3087</v>
      </c>
      <c r="D264" s="59" t="s">
        <v>3088</v>
      </c>
      <c r="E264" s="59" t="s">
        <v>3089</v>
      </c>
      <c r="F264" s="59" t="s">
        <v>2228</v>
      </c>
      <c r="G264" s="59" t="s">
        <v>3090</v>
      </c>
      <c r="I264" s="59" t="s">
        <v>702</v>
      </c>
    </row>
    <row r="265" spans="1:9" ht="11.25" customHeight="1">
      <c r="A265" s="59" t="s">
        <v>2162</v>
      </c>
      <c r="B265" s="59" t="s">
        <v>14</v>
      </c>
      <c r="C265" s="59" t="s">
        <v>3091</v>
      </c>
      <c r="D265" s="59" t="s">
        <v>3092</v>
      </c>
      <c r="E265" s="59" t="s">
        <v>3093</v>
      </c>
      <c r="F265" s="59" t="s">
        <v>2775</v>
      </c>
      <c r="G265" s="59" t="s">
        <v>3094</v>
      </c>
      <c r="I265" s="59" t="s">
        <v>702</v>
      </c>
    </row>
    <row r="266" spans="1:9" ht="11.25" customHeight="1">
      <c r="A266" s="59" t="s">
        <v>2162</v>
      </c>
      <c r="B266" s="59" t="s">
        <v>14</v>
      </c>
      <c r="C266" s="59" t="s">
        <v>3095</v>
      </c>
      <c r="D266" s="59" t="s">
        <v>3096</v>
      </c>
      <c r="E266" s="59" t="s">
        <v>3097</v>
      </c>
      <c r="F266" s="59" t="s">
        <v>2202</v>
      </c>
      <c r="I266" s="59" t="s">
        <v>702</v>
      </c>
    </row>
    <row r="267" spans="1:9" ht="11.25" customHeight="1">
      <c r="A267" s="59" t="s">
        <v>2162</v>
      </c>
      <c r="B267" s="59" t="s">
        <v>14</v>
      </c>
      <c r="C267" s="59" t="s">
        <v>3098</v>
      </c>
      <c r="D267" s="59" t="s">
        <v>3099</v>
      </c>
      <c r="E267" s="59" t="s">
        <v>3100</v>
      </c>
      <c r="F267" s="59" t="s">
        <v>2193</v>
      </c>
      <c r="I267" s="59" t="s">
        <v>702</v>
      </c>
    </row>
    <row r="268" spans="1:9" ht="11.25" customHeight="1">
      <c r="A268" s="59" t="s">
        <v>2162</v>
      </c>
      <c r="B268" s="59" t="s">
        <v>14</v>
      </c>
      <c r="C268" s="59" t="s">
        <v>3101</v>
      </c>
      <c r="D268" s="59" t="s">
        <v>3102</v>
      </c>
      <c r="E268" s="59" t="s">
        <v>3103</v>
      </c>
      <c r="F268" s="59" t="s">
        <v>2166</v>
      </c>
      <c r="G268" s="59" t="s">
        <v>3104</v>
      </c>
      <c r="I268" s="59" t="s">
        <v>702</v>
      </c>
    </row>
    <row r="269" spans="1:9" ht="11.25" customHeight="1">
      <c r="A269" s="59" t="s">
        <v>2162</v>
      </c>
      <c r="B269" s="59" t="s">
        <v>14</v>
      </c>
      <c r="C269" s="59" t="s">
        <v>3105</v>
      </c>
      <c r="D269" s="59" t="s">
        <v>3106</v>
      </c>
      <c r="E269" s="59" t="s">
        <v>3107</v>
      </c>
      <c r="F269" s="59" t="s">
        <v>2202</v>
      </c>
      <c r="G269" s="59" t="s">
        <v>3108</v>
      </c>
      <c r="I269" s="59" t="s">
        <v>702</v>
      </c>
    </row>
    <row r="270" spans="1:9" ht="11.25" customHeight="1">
      <c r="A270" s="59" t="s">
        <v>2162</v>
      </c>
      <c r="B270" s="59" t="s">
        <v>14</v>
      </c>
      <c r="C270" s="59" t="s">
        <v>3109</v>
      </c>
      <c r="D270" s="59" t="s">
        <v>3110</v>
      </c>
      <c r="E270" s="59" t="s">
        <v>3111</v>
      </c>
      <c r="F270" s="59" t="s">
        <v>2166</v>
      </c>
      <c r="G270" s="59" t="s">
        <v>3112</v>
      </c>
      <c r="I270" s="59" t="s">
        <v>702</v>
      </c>
    </row>
    <row r="271" spans="1:9" ht="11.25" customHeight="1">
      <c r="A271" s="59" t="s">
        <v>2162</v>
      </c>
      <c r="B271" s="59" t="s">
        <v>14</v>
      </c>
      <c r="C271" s="59" t="s">
        <v>3113</v>
      </c>
      <c r="D271" s="59" t="s">
        <v>3114</v>
      </c>
      <c r="E271" s="59" t="s">
        <v>3115</v>
      </c>
      <c r="F271" s="59" t="s">
        <v>2193</v>
      </c>
      <c r="I271" s="59" t="s">
        <v>702</v>
      </c>
    </row>
    <row r="272" spans="1:9" ht="11.25" customHeight="1">
      <c r="A272" s="59" t="s">
        <v>2162</v>
      </c>
      <c r="B272" s="59" t="s">
        <v>14</v>
      </c>
      <c r="C272" s="59" t="s">
        <v>3116</v>
      </c>
      <c r="D272" s="59" t="s">
        <v>3117</v>
      </c>
      <c r="E272" s="59" t="s">
        <v>3118</v>
      </c>
      <c r="F272" s="59" t="s">
        <v>2193</v>
      </c>
      <c r="G272" s="59" t="s">
        <v>3119</v>
      </c>
      <c r="I272" s="59" t="s">
        <v>702</v>
      </c>
    </row>
    <row r="273" spans="1:9" ht="11.25" customHeight="1">
      <c r="A273" s="59" t="s">
        <v>2162</v>
      </c>
      <c r="B273" s="59" t="s">
        <v>14</v>
      </c>
      <c r="C273" s="59" t="s">
        <v>3120</v>
      </c>
      <c r="D273" s="59" t="s">
        <v>3121</v>
      </c>
      <c r="E273" s="59" t="s">
        <v>3122</v>
      </c>
      <c r="F273" s="59" t="s">
        <v>2193</v>
      </c>
      <c r="I273" s="59" t="s">
        <v>702</v>
      </c>
    </row>
    <row r="274" spans="1:9" ht="11.25" customHeight="1">
      <c r="A274" s="59" t="s">
        <v>2162</v>
      </c>
      <c r="B274" s="59" t="s">
        <v>14</v>
      </c>
      <c r="C274" s="59" t="s">
        <v>3123</v>
      </c>
      <c r="D274" s="59" t="s">
        <v>3124</v>
      </c>
      <c r="E274" s="59" t="s">
        <v>3125</v>
      </c>
      <c r="F274" s="59" t="s">
        <v>2486</v>
      </c>
      <c r="G274" s="59" t="s">
        <v>3126</v>
      </c>
      <c r="I274" s="59" t="s">
        <v>702</v>
      </c>
    </row>
    <row r="275" spans="1:9" ht="11.25" customHeight="1">
      <c r="A275" s="59" t="s">
        <v>2162</v>
      </c>
      <c r="B275" s="59" t="s">
        <v>14</v>
      </c>
      <c r="C275" s="59" t="s">
        <v>3127</v>
      </c>
      <c r="D275" s="59" t="s">
        <v>3128</v>
      </c>
      <c r="E275" s="59" t="s">
        <v>3129</v>
      </c>
      <c r="F275" s="59" t="s">
        <v>2486</v>
      </c>
      <c r="G275" s="59" t="s">
        <v>3130</v>
      </c>
      <c r="I275" s="59" t="s">
        <v>702</v>
      </c>
    </row>
    <row r="276" spans="1:9" ht="11.25" customHeight="1">
      <c r="A276" s="59" t="s">
        <v>2162</v>
      </c>
      <c r="B276" s="59" t="s">
        <v>14</v>
      </c>
      <c r="C276" s="59" t="s">
        <v>3131</v>
      </c>
      <c r="D276" s="59" t="s">
        <v>3132</v>
      </c>
      <c r="E276" s="59" t="s">
        <v>3133</v>
      </c>
      <c r="F276" s="59" t="s">
        <v>2166</v>
      </c>
      <c r="G276" s="59" t="s">
        <v>3134</v>
      </c>
      <c r="I276" s="59" t="s">
        <v>702</v>
      </c>
    </row>
    <row r="277" spans="1:9" ht="11.25" customHeight="1">
      <c r="A277" s="59" t="s">
        <v>2162</v>
      </c>
      <c r="B277" s="59" t="s">
        <v>14</v>
      </c>
      <c r="C277" s="59" t="s">
        <v>3135</v>
      </c>
      <c r="D277" s="59" t="s">
        <v>3136</v>
      </c>
      <c r="E277" s="59" t="s">
        <v>3137</v>
      </c>
      <c r="F277" s="59" t="s">
        <v>2257</v>
      </c>
      <c r="G277" s="59" t="s">
        <v>3138</v>
      </c>
      <c r="I277" s="59" t="s">
        <v>702</v>
      </c>
    </row>
    <row r="278" spans="1:9" ht="11.25" customHeight="1">
      <c r="A278" s="59" t="s">
        <v>2162</v>
      </c>
      <c r="B278" s="59" t="s">
        <v>14</v>
      </c>
      <c r="C278" s="59" t="s">
        <v>3139</v>
      </c>
      <c r="D278" s="59" t="s">
        <v>3140</v>
      </c>
      <c r="E278" s="59" t="s">
        <v>3141</v>
      </c>
      <c r="F278" s="59" t="s">
        <v>2486</v>
      </c>
      <c r="G278" s="59" t="s">
        <v>3142</v>
      </c>
      <c r="I278" s="59" t="s">
        <v>702</v>
      </c>
    </row>
    <row r="279" spans="1:9" ht="11.25" customHeight="1">
      <c r="A279" s="59" t="s">
        <v>2162</v>
      </c>
      <c r="B279" s="59" t="s">
        <v>14</v>
      </c>
      <c r="C279" s="59" t="s">
        <v>3143</v>
      </c>
      <c r="D279" s="59" t="s">
        <v>3144</v>
      </c>
      <c r="E279" s="59" t="s">
        <v>3145</v>
      </c>
      <c r="F279" s="59" t="s">
        <v>3146</v>
      </c>
      <c r="G279" s="59" t="s">
        <v>3147</v>
      </c>
      <c r="I279" s="59" t="s">
        <v>702</v>
      </c>
    </row>
    <row r="280" spans="1:9" ht="11.25" customHeight="1">
      <c r="A280" s="59" t="s">
        <v>2162</v>
      </c>
      <c r="B280" s="59" t="s">
        <v>14</v>
      </c>
      <c r="C280" s="59" t="s">
        <v>3148</v>
      </c>
      <c r="D280" s="59" t="s">
        <v>3149</v>
      </c>
      <c r="E280" s="59" t="s">
        <v>3150</v>
      </c>
      <c r="F280" s="59" t="s">
        <v>2808</v>
      </c>
      <c r="I280" s="59" t="s">
        <v>702</v>
      </c>
    </row>
    <row r="281" spans="1:9" ht="11.25" customHeight="1">
      <c r="A281" s="59" t="s">
        <v>2162</v>
      </c>
      <c r="B281" s="59" t="s">
        <v>14</v>
      </c>
      <c r="C281" s="59" t="s">
        <v>3151</v>
      </c>
      <c r="D281" s="59" t="s">
        <v>3152</v>
      </c>
      <c r="E281" s="59" t="s">
        <v>3153</v>
      </c>
      <c r="F281" s="59" t="s">
        <v>3154</v>
      </c>
      <c r="G281" s="59" t="s">
        <v>3155</v>
      </c>
      <c r="I281" s="59" t="s">
        <v>702</v>
      </c>
    </row>
    <row r="282" spans="1:9" ht="11.25" customHeight="1">
      <c r="A282" s="59" t="s">
        <v>2162</v>
      </c>
      <c r="B282" s="59" t="s">
        <v>14</v>
      </c>
      <c r="C282" s="59" t="s">
        <v>3156</v>
      </c>
      <c r="D282" s="59" t="s">
        <v>3157</v>
      </c>
      <c r="E282" s="59" t="s">
        <v>3158</v>
      </c>
      <c r="F282" s="59" t="s">
        <v>2202</v>
      </c>
      <c r="I282" s="59" t="s">
        <v>702</v>
      </c>
    </row>
    <row r="283" spans="1:9" ht="11.25" customHeight="1">
      <c r="A283" s="59" t="s">
        <v>2162</v>
      </c>
      <c r="B283" s="59" t="s">
        <v>14</v>
      </c>
      <c r="C283" s="59" t="s">
        <v>3159</v>
      </c>
      <c r="D283" s="59" t="s">
        <v>3160</v>
      </c>
      <c r="E283" s="59" t="s">
        <v>3161</v>
      </c>
      <c r="F283" s="59" t="s">
        <v>2202</v>
      </c>
      <c r="I283" s="59" t="s">
        <v>702</v>
      </c>
    </row>
    <row r="284" spans="1:9" ht="11.25" customHeight="1">
      <c r="A284" s="59" t="s">
        <v>2162</v>
      </c>
      <c r="B284" s="59" t="s">
        <v>14</v>
      </c>
      <c r="C284" s="59" t="s">
        <v>3162</v>
      </c>
      <c r="D284" s="59" t="s">
        <v>3163</v>
      </c>
      <c r="E284" s="59" t="s">
        <v>3164</v>
      </c>
      <c r="F284" s="59" t="s">
        <v>3165</v>
      </c>
      <c r="G284" s="59" t="s">
        <v>3166</v>
      </c>
      <c r="I284" s="59" t="s">
        <v>702</v>
      </c>
    </row>
    <row r="285" spans="1:9" ht="11.25" customHeight="1">
      <c r="A285" s="59" t="s">
        <v>2162</v>
      </c>
      <c r="B285" s="59" t="s">
        <v>14</v>
      </c>
      <c r="C285" s="59" t="s">
        <v>3167</v>
      </c>
      <c r="D285" s="59" t="s">
        <v>3168</v>
      </c>
      <c r="E285" s="59" t="s">
        <v>3169</v>
      </c>
      <c r="F285" s="59" t="s">
        <v>2202</v>
      </c>
      <c r="I285" s="59" t="s">
        <v>702</v>
      </c>
    </row>
    <row r="286" spans="1:9" ht="11.25" customHeight="1">
      <c r="A286" s="59" t="s">
        <v>2162</v>
      </c>
      <c r="B286" s="59" t="s">
        <v>14</v>
      </c>
      <c r="C286" s="59" t="s">
        <v>3170</v>
      </c>
      <c r="D286" s="59" t="s">
        <v>3171</v>
      </c>
      <c r="E286" s="59" t="s">
        <v>3172</v>
      </c>
      <c r="F286" s="59" t="s">
        <v>3173</v>
      </c>
      <c r="I286" s="59" t="s">
        <v>702</v>
      </c>
    </row>
    <row r="287" spans="1:9" ht="11.25" customHeight="1">
      <c r="A287" s="59" t="s">
        <v>2162</v>
      </c>
      <c r="B287" s="59" t="s">
        <v>14</v>
      </c>
      <c r="C287" s="59" t="s">
        <v>3174</v>
      </c>
      <c r="D287" s="59" t="s">
        <v>3175</v>
      </c>
      <c r="E287" s="59" t="s">
        <v>3176</v>
      </c>
      <c r="F287" s="59" t="s">
        <v>2308</v>
      </c>
      <c r="I287" s="59" t="s">
        <v>702</v>
      </c>
    </row>
    <row r="288" spans="1:9" ht="11.25" customHeight="1">
      <c r="A288" s="59" t="s">
        <v>2162</v>
      </c>
      <c r="B288" s="59" t="s">
        <v>14</v>
      </c>
      <c r="C288" s="59" t="s">
        <v>3177</v>
      </c>
      <c r="D288" s="59" t="s">
        <v>3178</v>
      </c>
      <c r="E288" s="59" t="s">
        <v>3179</v>
      </c>
      <c r="F288" s="59" t="s">
        <v>2210</v>
      </c>
      <c r="I288" s="59" t="s">
        <v>702</v>
      </c>
    </row>
    <row r="289" spans="1:9" ht="11.25" customHeight="1">
      <c r="A289" s="59" t="s">
        <v>2162</v>
      </c>
      <c r="B289" s="59" t="s">
        <v>14</v>
      </c>
      <c r="C289" s="59" t="s">
        <v>3180</v>
      </c>
      <c r="D289" s="59" t="s">
        <v>3181</v>
      </c>
      <c r="E289" s="59" t="s">
        <v>3182</v>
      </c>
      <c r="F289" s="59" t="s">
        <v>2592</v>
      </c>
      <c r="I289" s="59" t="s">
        <v>702</v>
      </c>
    </row>
    <row r="290" spans="1:9" ht="11.25" customHeight="1">
      <c r="A290" s="59" t="s">
        <v>2162</v>
      </c>
      <c r="B290" s="59" t="s">
        <v>14</v>
      </c>
      <c r="C290" s="59" t="s">
        <v>3183</v>
      </c>
      <c r="D290" s="59" t="s">
        <v>3184</v>
      </c>
      <c r="E290" s="59" t="s">
        <v>3185</v>
      </c>
      <c r="F290" s="59" t="s">
        <v>2592</v>
      </c>
      <c r="I290" s="59" t="s">
        <v>702</v>
      </c>
    </row>
    <row r="291" spans="1:9" ht="11.25" customHeight="1">
      <c r="A291" s="59" t="s">
        <v>2162</v>
      </c>
      <c r="B291" s="59" t="s">
        <v>14</v>
      </c>
      <c r="C291" s="59" t="s">
        <v>3186</v>
      </c>
      <c r="D291" s="59" t="s">
        <v>3187</v>
      </c>
      <c r="E291" s="59" t="s">
        <v>3188</v>
      </c>
      <c r="F291" s="59" t="s">
        <v>2592</v>
      </c>
      <c r="I291" s="59" t="s">
        <v>702</v>
      </c>
    </row>
    <row r="292" spans="1:9" ht="11.25" customHeight="1">
      <c r="A292" s="59" t="s">
        <v>2162</v>
      </c>
      <c r="B292" s="59" t="s">
        <v>14</v>
      </c>
      <c r="C292" s="59" t="s">
        <v>3189</v>
      </c>
      <c r="D292" s="59" t="s">
        <v>3190</v>
      </c>
      <c r="E292" s="59" t="s">
        <v>3191</v>
      </c>
      <c r="F292" s="59" t="s">
        <v>3192</v>
      </c>
      <c r="I292" s="59" t="s">
        <v>702</v>
      </c>
    </row>
    <row r="293" spans="1:9" ht="11.25" customHeight="1">
      <c r="A293" s="59" t="s">
        <v>2162</v>
      </c>
      <c r="B293" s="59" t="s">
        <v>14</v>
      </c>
      <c r="C293" s="59" t="s">
        <v>3193</v>
      </c>
      <c r="D293" s="59" t="s">
        <v>3194</v>
      </c>
      <c r="E293" s="59" t="s">
        <v>3195</v>
      </c>
      <c r="F293" s="59" t="s">
        <v>2486</v>
      </c>
      <c r="I293" s="59" t="s">
        <v>702</v>
      </c>
    </row>
    <row r="294" spans="1:9" ht="11.25" customHeight="1">
      <c r="A294" s="59" t="s">
        <v>2162</v>
      </c>
      <c r="B294" s="59" t="s">
        <v>14</v>
      </c>
      <c r="C294" s="59" t="s">
        <v>3196</v>
      </c>
      <c r="D294" s="59" t="s">
        <v>3197</v>
      </c>
      <c r="E294" s="59" t="s">
        <v>3198</v>
      </c>
      <c r="F294" s="59" t="s">
        <v>2248</v>
      </c>
      <c r="I294" s="59" t="s">
        <v>702</v>
      </c>
    </row>
    <row r="295" spans="1:9" ht="11.25" customHeight="1">
      <c r="A295" s="59" t="s">
        <v>2162</v>
      </c>
      <c r="B295" s="59" t="s">
        <v>14</v>
      </c>
      <c r="C295" s="59" t="s">
        <v>3199</v>
      </c>
      <c r="D295" s="59" t="s">
        <v>3200</v>
      </c>
      <c r="E295" s="59" t="s">
        <v>3201</v>
      </c>
      <c r="F295" s="59" t="s">
        <v>3154</v>
      </c>
      <c r="I295" s="59" t="s">
        <v>702</v>
      </c>
    </row>
    <row r="296" spans="1:9" ht="11.25" customHeight="1">
      <c r="A296" s="59" t="s">
        <v>2162</v>
      </c>
      <c r="B296" s="59" t="s">
        <v>14</v>
      </c>
      <c r="C296" s="59" t="s">
        <v>3202</v>
      </c>
      <c r="D296" s="59" t="s">
        <v>3203</v>
      </c>
      <c r="E296" s="59" t="s">
        <v>3204</v>
      </c>
      <c r="F296" s="59" t="s">
        <v>2291</v>
      </c>
      <c r="I296" s="59" t="s">
        <v>702</v>
      </c>
    </row>
    <row r="297" spans="1:9" ht="11.25" customHeight="1">
      <c r="A297" s="59" t="s">
        <v>2162</v>
      </c>
      <c r="B297" s="59" t="s">
        <v>14</v>
      </c>
      <c r="C297" s="59" t="s">
        <v>3205</v>
      </c>
      <c r="D297" s="59" t="s">
        <v>3206</v>
      </c>
      <c r="E297" s="59" t="s">
        <v>3207</v>
      </c>
      <c r="F297" s="59" t="s">
        <v>2202</v>
      </c>
      <c r="I297" s="59" t="s">
        <v>702</v>
      </c>
    </row>
    <row r="298" spans="1:9" ht="11.25" customHeight="1">
      <c r="A298" s="59" t="s">
        <v>2162</v>
      </c>
      <c r="B298" s="59" t="s">
        <v>14</v>
      </c>
      <c r="C298" s="59" t="s">
        <v>3208</v>
      </c>
      <c r="D298" s="59" t="s">
        <v>3209</v>
      </c>
      <c r="E298" s="59" t="s">
        <v>3210</v>
      </c>
      <c r="F298" s="59" t="s">
        <v>2486</v>
      </c>
      <c r="I298" s="59" t="s">
        <v>702</v>
      </c>
    </row>
    <row r="299" spans="1:9" ht="11.25" customHeight="1">
      <c r="A299" s="59" t="s">
        <v>2162</v>
      </c>
      <c r="B299" s="59" t="s">
        <v>14</v>
      </c>
      <c r="C299" s="59" t="s">
        <v>3211</v>
      </c>
      <c r="D299" s="59" t="s">
        <v>3212</v>
      </c>
      <c r="E299" s="59" t="s">
        <v>3213</v>
      </c>
      <c r="F299" s="59" t="s">
        <v>2166</v>
      </c>
      <c r="I299" s="59" t="s">
        <v>702</v>
      </c>
    </row>
    <row r="300" spans="1:9" ht="11.25" customHeight="1">
      <c r="A300" s="59" t="s">
        <v>2162</v>
      </c>
      <c r="B300" s="59" t="s">
        <v>14</v>
      </c>
      <c r="C300" s="59" t="s">
        <v>3214</v>
      </c>
      <c r="D300" s="59" t="s">
        <v>3215</v>
      </c>
      <c r="E300" s="59" t="s">
        <v>3216</v>
      </c>
      <c r="F300" s="59" t="s">
        <v>2166</v>
      </c>
      <c r="I300" s="59" t="s">
        <v>702</v>
      </c>
    </row>
    <row r="301" spans="1:9" ht="11.25" customHeight="1">
      <c r="A301" s="59" t="s">
        <v>2162</v>
      </c>
      <c r="B301" s="59" t="s">
        <v>14</v>
      </c>
      <c r="C301" s="59" t="s">
        <v>3217</v>
      </c>
      <c r="D301" s="59" t="s">
        <v>3218</v>
      </c>
      <c r="E301" s="59" t="s">
        <v>3219</v>
      </c>
      <c r="F301" s="59" t="s">
        <v>2166</v>
      </c>
      <c r="I301" s="59" t="s">
        <v>702</v>
      </c>
    </row>
    <row r="302" spans="1:9" ht="11.25" customHeight="1">
      <c r="A302" s="59" t="s">
        <v>2162</v>
      </c>
      <c r="B302" s="59" t="s">
        <v>14</v>
      </c>
      <c r="C302" s="59" t="s">
        <v>3220</v>
      </c>
      <c r="D302" s="59" t="s">
        <v>3221</v>
      </c>
      <c r="E302" s="59" t="s">
        <v>3222</v>
      </c>
      <c r="F302" s="59" t="s">
        <v>2291</v>
      </c>
      <c r="I302" s="59" t="s">
        <v>702</v>
      </c>
    </row>
    <row r="303" spans="1:9" ht="11.25" customHeight="1">
      <c r="A303" s="59" t="s">
        <v>2162</v>
      </c>
      <c r="B303" s="59" t="s">
        <v>14</v>
      </c>
      <c r="C303" s="59" t="s">
        <v>3223</v>
      </c>
      <c r="D303" s="59" t="s">
        <v>3224</v>
      </c>
      <c r="E303" s="59" t="s">
        <v>3225</v>
      </c>
      <c r="F303" s="59" t="s">
        <v>3226</v>
      </c>
      <c r="G303" s="59" t="s">
        <v>3227</v>
      </c>
      <c r="I303" s="59" t="s">
        <v>702</v>
      </c>
    </row>
    <row r="304" spans="1:9" ht="11.25" customHeight="1">
      <c r="A304" s="59" t="s">
        <v>2162</v>
      </c>
      <c r="B304" s="59" t="s">
        <v>14</v>
      </c>
      <c r="C304" s="59" t="s">
        <v>3228</v>
      </c>
      <c r="D304" s="59" t="s">
        <v>3229</v>
      </c>
      <c r="E304" s="59" t="s">
        <v>3230</v>
      </c>
      <c r="F304" s="59" t="s">
        <v>2592</v>
      </c>
      <c r="I304" s="59" t="s">
        <v>702</v>
      </c>
    </row>
    <row r="305" spans="1:9" ht="11.25" customHeight="1">
      <c r="A305" s="59" t="s">
        <v>2162</v>
      </c>
      <c r="B305" s="59" t="s">
        <v>14</v>
      </c>
      <c r="C305" s="59" t="s">
        <v>3231</v>
      </c>
      <c r="D305" s="59" t="s">
        <v>3232</v>
      </c>
      <c r="E305" s="59" t="s">
        <v>3233</v>
      </c>
      <c r="F305" s="59" t="s">
        <v>2248</v>
      </c>
      <c r="I305" s="59" t="s">
        <v>702</v>
      </c>
    </row>
    <row r="306" spans="1:9" ht="11.25" customHeight="1">
      <c r="A306" s="59" t="s">
        <v>2162</v>
      </c>
      <c r="B306" s="59" t="s">
        <v>14</v>
      </c>
      <c r="C306" s="59" t="s">
        <v>3234</v>
      </c>
      <c r="D306" s="59" t="s">
        <v>3235</v>
      </c>
      <c r="E306" s="59" t="s">
        <v>3236</v>
      </c>
      <c r="F306" s="59" t="s">
        <v>2166</v>
      </c>
      <c r="I306" s="59" t="s">
        <v>702</v>
      </c>
    </row>
    <row r="307" spans="1:9" ht="11.25" customHeight="1">
      <c r="A307" s="59" t="s">
        <v>2162</v>
      </c>
      <c r="B307" s="59" t="s">
        <v>14</v>
      </c>
      <c r="C307" s="59" t="s">
        <v>3237</v>
      </c>
      <c r="D307" s="59" t="s">
        <v>3238</v>
      </c>
      <c r="E307" s="59" t="s">
        <v>3239</v>
      </c>
      <c r="F307" s="59" t="s">
        <v>3240</v>
      </c>
      <c r="I307" s="59" t="s">
        <v>702</v>
      </c>
    </row>
    <row r="308" spans="1:9" ht="11.25" customHeight="1">
      <c r="A308" s="59" t="s">
        <v>2162</v>
      </c>
      <c r="B308" s="59" t="s">
        <v>14</v>
      </c>
      <c r="C308" s="59" t="s">
        <v>3241</v>
      </c>
      <c r="D308" s="59" t="s">
        <v>3242</v>
      </c>
      <c r="E308" s="59" t="s">
        <v>3243</v>
      </c>
      <c r="F308" s="59" t="s">
        <v>3244</v>
      </c>
      <c r="I308" s="59" t="s">
        <v>702</v>
      </c>
    </row>
    <row r="309" spans="1:9" ht="11.25" customHeight="1">
      <c r="A309" s="59" t="s">
        <v>2162</v>
      </c>
      <c r="B309" s="59" t="s">
        <v>14</v>
      </c>
      <c r="C309" s="59" t="s">
        <v>3245</v>
      </c>
      <c r="D309" s="59" t="s">
        <v>3246</v>
      </c>
      <c r="E309" s="59" t="s">
        <v>3247</v>
      </c>
      <c r="F309" s="59" t="s">
        <v>2210</v>
      </c>
      <c r="I309" s="59" t="s">
        <v>702</v>
      </c>
    </row>
    <row r="310" spans="1:9" ht="11.25" customHeight="1">
      <c r="A310" s="59" t="s">
        <v>2162</v>
      </c>
      <c r="B310" s="59" t="s">
        <v>14</v>
      </c>
      <c r="C310" s="59" t="s">
        <v>3248</v>
      </c>
      <c r="D310" s="59" t="s">
        <v>3249</v>
      </c>
      <c r="E310" s="59" t="s">
        <v>3250</v>
      </c>
      <c r="F310" s="59" t="s">
        <v>3251</v>
      </c>
      <c r="I310" s="59" t="s">
        <v>702</v>
      </c>
    </row>
    <row r="311" spans="1:9" ht="11.25" customHeight="1">
      <c r="A311" s="59" t="s">
        <v>2162</v>
      </c>
      <c r="B311" s="59" t="s">
        <v>14</v>
      </c>
      <c r="C311" s="59" t="s">
        <v>3252</v>
      </c>
      <c r="D311" s="59" t="s">
        <v>3253</v>
      </c>
      <c r="E311" s="59" t="s">
        <v>3254</v>
      </c>
      <c r="F311" s="59" t="s">
        <v>2210</v>
      </c>
      <c r="I311" s="59" t="s">
        <v>702</v>
      </c>
    </row>
    <row r="312" spans="1:9" ht="11.25" customHeight="1">
      <c r="A312" s="59" t="s">
        <v>2162</v>
      </c>
      <c r="B312" s="59" t="s">
        <v>14</v>
      </c>
      <c r="C312" s="59" t="s">
        <v>3255</v>
      </c>
      <c r="D312" s="59" t="s">
        <v>3256</v>
      </c>
      <c r="E312" s="59" t="s">
        <v>3257</v>
      </c>
      <c r="F312" s="59" t="s">
        <v>2210</v>
      </c>
      <c r="H312" s="59" t="s">
        <v>3258</v>
      </c>
      <c r="I312" s="59" t="s">
        <v>702</v>
      </c>
    </row>
    <row r="313" spans="1:9" ht="11.25" customHeight="1">
      <c r="A313" s="59" t="s">
        <v>2162</v>
      </c>
      <c r="B313" s="59" t="s">
        <v>14</v>
      </c>
      <c r="C313" s="59" t="s">
        <v>3259</v>
      </c>
      <c r="D313" s="59" t="s">
        <v>3260</v>
      </c>
      <c r="E313" s="59" t="s">
        <v>3261</v>
      </c>
      <c r="F313" s="59" t="s">
        <v>2391</v>
      </c>
      <c r="I313" s="59" t="s">
        <v>702</v>
      </c>
    </row>
    <row r="314" spans="1:9" ht="11.25" customHeight="1">
      <c r="A314" s="59" t="s">
        <v>2162</v>
      </c>
      <c r="B314" s="59" t="s">
        <v>14</v>
      </c>
      <c r="C314" s="59" t="s">
        <v>3262</v>
      </c>
      <c r="D314" s="59" t="s">
        <v>3263</v>
      </c>
      <c r="E314" s="59" t="s">
        <v>3264</v>
      </c>
      <c r="F314" s="59" t="s">
        <v>2299</v>
      </c>
      <c r="I314" s="59" t="s">
        <v>702</v>
      </c>
    </row>
    <row r="315" spans="1:9" ht="11.25" customHeight="1">
      <c r="A315" s="59" t="s">
        <v>2162</v>
      </c>
      <c r="B315" s="59" t="s">
        <v>14</v>
      </c>
      <c r="C315" s="59" t="s">
        <v>3265</v>
      </c>
      <c r="D315" s="59" t="s">
        <v>3266</v>
      </c>
      <c r="E315" s="59" t="s">
        <v>3267</v>
      </c>
      <c r="F315" s="59" t="s">
        <v>2291</v>
      </c>
      <c r="I315" s="59" t="s">
        <v>702</v>
      </c>
    </row>
    <row r="316" spans="1:9" ht="11.25" customHeight="1">
      <c r="A316" s="59" t="s">
        <v>2162</v>
      </c>
      <c r="B316" s="59" t="s">
        <v>14</v>
      </c>
      <c r="C316" s="59" t="s">
        <v>3268</v>
      </c>
      <c r="D316" s="59" t="s">
        <v>3269</v>
      </c>
      <c r="E316" s="59" t="s">
        <v>3270</v>
      </c>
      <c r="F316" s="59" t="s">
        <v>2299</v>
      </c>
      <c r="I316" s="59" t="s">
        <v>702</v>
      </c>
    </row>
    <row r="317" spans="1:9" ht="11.25" customHeight="1">
      <c r="A317" s="59" t="s">
        <v>2162</v>
      </c>
      <c r="B317" s="59" t="s">
        <v>14</v>
      </c>
      <c r="C317" s="59" t="s">
        <v>3271</v>
      </c>
      <c r="D317" s="59" t="s">
        <v>3272</v>
      </c>
      <c r="E317" s="59" t="s">
        <v>3273</v>
      </c>
      <c r="F317" s="59" t="s">
        <v>2592</v>
      </c>
      <c r="I317" s="59" t="s">
        <v>702</v>
      </c>
    </row>
    <row r="318" spans="1:9" ht="11.25" customHeight="1">
      <c r="A318" s="59" t="s">
        <v>2162</v>
      </c>
      <c r="B318" s="59" t="s">
        <v>14</v>
      </c>
      <c r="C318" s="59" t="s">
        <v>3274</v>
      </c>
      <c r="D318" s="59" t="s">
        <v>3275</v>
      </c>
      <c r="E318" s="59" t="s">
        <v>3276</v>
      </c>
      <c r="F318" s="59" t="s">
        <v>2391</v>
      </c>
      <c r="I318" s="59" t="s">
        <v>702</v>
      </c>
    </row>
    <row r="319" spans="1:9" ht="11.25" customHeight="1">
      <c r="A319" s="59" t="s">
        <v>2162</v>
      </c>
      <c r="B319" s="59" t="s">
        <v>14</v>
      </c>
      <c r="C319" s="59" t="s">
        <v>3277</v>
      </c>
      <c r="D319" s="59" t="s">
        <v>3278</v>
      </c>
      <c r="E319" s="59" t="s">
        <v>3279</v>
      </c>
      <c r="F319" s="59" t="s">
        <v>2486</v>
      </c>
      <c r="I319" s="59" t="s">
        <v>702</v>
      </c>
    </row>
    <row r="320" spans="1:9" ht="11.25" customHeight="1">
      <c r="A320" s="59" t="s">
        <v>2162</v>
      </c>
      <c r="B320" s="59" t="s">
        <v>14</v>
      </c>
      <c r="C320" s="59" t="s">
        <v>3280</v>
      </c>
      <c r="D320" s="59" t="s">
        <v>3281</v>
      </c>
      <c r="E320" s="59" t="s">
        <v>3282</v>
      </c>
      <c r="F320" s="59" t="s">
        <v>2166</v>
      </c>
      <c r="I320" s="59" t="s">
        <v>702</v>
      </c>
    </row>
    <row r="321" spans="1:9" ht="11.25" customHeight="1">
      <c r="A321" s="59" t="s">
        <v>2162</v>
      </c>
      <c r="B321" s="59" t="s">
        <v>14</v>
      </c>
      <c r="C321" s="59" t="s">
        <v>3283</v>
      </c>
      <c r="D321" s="59" t="s">
        <v>3284</v>
      </c>
      <c r="E321" s="59" t="s">
        <v>3285</v>
      </c>
      <c r="F321" s="59" t="s">
        <v>2291</v>
      </c>
      <c r="I321" s="59" t="s">
        <v>702</v>
      </c>
    </row>
    <row r="322" spans="1:9" ht="11.25" customHeight="1">
      <c r="A322" s="59" t="s">
        <v>2162</v>
      </c>
      <c r="B322" s="59" t="s">
        <v>14</v>
      </c>
      <c r="C322" s="59" t="s">
        <v>3286</v>
      </c>
      <c r="D322" s="59" t="s">
        <v>3287</v>
      </c>
      <c r="E322" s="59" t="s">
        <v>3288</v>
      </c>
      <c r="F322" s="59" t="s">
        <v>2228</v>
      </c>
      <c r="I322" s="59" t="s">
        <v>702</v>
      </c>
    </row>
    <row r="323" spans="1:9" ht="11.25" customHeight="1">
      <c r="A323" s="59" t="s">
        <v>2162</v>
      </c>
      <c r="B323" s="59" t="s">
        <v>14</v>
      </c>
      <c r="C323" s="59" t="s">
        <v>3289</v>
      </c>
      <c r="D323" s="59" t="s">
        <v>3290</v>
      </c>
      <c r="E323" s="59" t="s">
        <v>3291</v>
      </c>
      <c r="F323" s="59" t="s">
        <v>2299</v>
      </c>
      <c r="I323" s="59" t="s">
        <v>702</v>
      </c>
    </row>
    <row r="324" spans="1:9" ht="11.25" customHeight="1">
      <c r="A324" s="59" t="s">
        <v>2162</v>
      </c>
      <c r="B324" s="59" t="s">
        <v>14</v>
      </c>
      <c r="C324" s="59" t="s">
        <v>3292</v>
      </c>
      <c r="D324" s="59" t="s">
        <v>3293</v>
      </c>
      <c r="E324" s="59" t="s">
        <v>3294</v>
      </c>
      <c r="F324" s="59" t="s">
        <v>2592</v>
      </c>
      <c r="H324" s="59" t="s">
        <v>3295</v>
      </c>
      <c r="I324" s="59" t="s">
        <v>702</v>
      </c>
    </row>
    <row r="325" spans="1:9" ht="11.25" customHeight="1">
      <c r="A325" s="59" t="s">
        <v>2162</v>
      </c>
      <c r="B325" s="59" t="s">
        <v>14</v>
      </c>
      <c r="C325" s="59" t="s">
        <v>3296</v>
      </c>
      <c r="D325" s="59" t="s">
        <v>3297</v>
      </c>
      <c r="E325" s="59" t="s">
        <v>3298</v>
      </c>
      <c r="F325" s="59" t="s">
        <v>2391</v>
      </c>
      <c r="I325" s="59" t="s">
        <v>702</v>
      </c>
    </row>
    <row r="326" spans="1:9" ht="11.25" customHeight="1">
      <c r="A326" s="59" t="s">
        <v>2162</v>
      </c>
      <c r="B326" s="59" t="s">
        <v>14</v>
      </c>
      <c r="C326" s="59" t="s">
        <v>3299</v>
      </c>
      <c r="D326" s="59" t="s">
        <v>3300</v>
      </c>
      <c r="E326" s="59" t="s">
        <v>3301</v>
      </c>
      <c r="F326" s="59" t="s">
        <v>2210</v>
      </c>
      <c r="G326" s="59" t="s">
        <v>3302</v>
      </c>
      <c r="I326" s="59" t="s">
        <v>702</v>
      </c>
    </row>
    <row r="327" spans="1:9" ht="11.25" customHeight="1">
      <c r="A327" s="59" t="s">
        <v>2162</v>
      </c>
      <c r="B327" s="59" t="s">
        <v>14</v>
      </c>
      <c r="C327" s="59" t="s">
        <v>3303</v>
      </c>
      <c r="D327" s="59" t="s">
        <v>3304</v>
      </c>
      <c r="E327" s="59" t="s">
        <v>3305</v>
      </c>
      <c r="F327" s="59" t="s">
        <v>2478</v>
      </c>
      <c r="I327" s="59" t="s">
        <v>702</v>
      </c>
    </row>
    <row r="328" spans="1:9" ht="11.25" customHeight="1">
      <c r="A328" s="59" t="s">
        <v>2162</v>
      </c>
      <c r="B328" s="59" t="s">
        <v>14</v>
      </c>
      <c r="C328" s="59" t="s">
        <v>3306</v>
      </c>
      <c r="D328" s="59" t="s">
        <v>3307</v>
      </c>
      <c r="E328" s="59" t="s">
        <v>3308</v>
      </c>
      <c r="F328" s="59" t="s">
        <v>2592</v>
      </c>
      <c r="I328" s="59" t="s">
        <v>702</v>
      </c>
    </row>
    <row r="329" spans="1:9" ht="11.25" customHeight="1">
      <c r="A329" s="59" t="s">
        <v>2162</v>
      </c>
      <c r="B329" s="59" t="s">
        <v>14</v>
      </c>
      <c r="C329" s="59" t="s">
        <v>3309</v>
      </c>
      <c r="D329" s="59" t="s">
        <v>3310</v>
      </c>
      <c r="E329" s="59" t="s">
        <v>3311</v>
      </c>
      <c r="F329" s="59" t="s">
        <v>2166</v>
      </c>
      <c r="I329" s="59" t="s">
        <v>702</v>
      </c>
    </row>
    <row r="330" spans="1:9" ht="11.25" customHeight="1">
      <c r="A330" s="59" t="s">
        <v>2162</v>
      </c>
      <c r="B330" s="59" t="s">
        <v>14</v>
      </c>
      <c r="C330" s="59" t="s">
        <v>3312</v>
      </c>
      <c r="D330" s="59" t="s">
        <v>3313</v>
      </c>
      <c r="E330" s="59" t="s">
        <v>3314</v>
      </c>
      <c r="F330" s="59" t="s">
        <v>2166</v>
      </c>
      <c r="I330" s="59" t="s">
        <v>702</v>
      </c>
    </row>
    <row r="331" spans="1:9" ht="11.25" customHeight="1">
      <c r="A331" s="59" t="s">
        <v>2162</v>
      </c>
      <c r="B331" s="59" t="s">
        <v>14</v>
      </c>
      <c r="C331" s="59" t="s">
        <v>3315</v>
      </c>
      <c r="D331" s="59" t="s">
        <v>3316</v>
      </c>
      <c r="E331" s="59" t="s">
        <v>3317</v>
      </c>
      <c r="F331" s="59" t="s">
        <v>2478</v>
      </c>
      <c r="I331" s="59" t="s">
        <v>702</v>
      </c>
    </row>
    <row r="332" spans="1:9" ht="11.25" customHeight="1">
      <c r="A332" s="59" t="s">
        <v>2162</v>
      </c>
      <c r="B332" s="59" t="s">
        <v>14</v>
      </c>
      <c r="C332" s="59" t="s">
        <v>3318</v>
      </c>
      <c r="D332" s="59" t="s">
        <v>3319</v>
      </c>
      <c r="E332" s="59" t="s">
        <v>3320</v>
      </c>
      <c r="F332" s="59" t="s">
        <v>2233</v>
      </c>
      <c r="I332" s="59" t="s">
        <v>702</v>
      </c>
    </row>
    <row r="333" spans="1:9" ht="11.25" customHeight="1">
      <c r="A333" s="59" t="s">
        <v>2162</v>
      </c>
      <c r="B333" s="59" t="s">
        <v>14</v>
      </c>
      <c r="C333" s="59" t="s">
        <v>3321</v>
      </c>
      <c r="D333" s="59" t="s">
        <v>3322</v>
      </c>
      <c r="E333" s="59" t="s">
        <v>3323</v>
      </c>
      <c r="F333" s="59" t="s">
        <v>2277</v>
      </c>
      <c r="I333" s="59" t="s">
        <v>702</v>
      </c>
    </row>
    <row r="334" spans="1:9" ht="11.25" customHeight="1">
      <c r="A334" s="59" t="s">
        <v>2162</v>
      </c>
      <c r="B334" s="59" t="s">
        <v>14</v>
      </c>
      <c r="C334" s="59" t="s">
        <v>3324</v>
      </c>
      <c r="D334" s="59" t="s">
        <v>3325</v>
      </c>
      <c r="E334" s="59" t="s">
        <v>3326</v>
      </c>
      <c r="F334" s="59" t="s">
        <v>2478</v>
      </c>
      <c r="I334" s="59" t="s">
        <v>702</v>
      </c>
    </row>
    <row r="335" spans="1:9" ht="11.25" customHeight="1">
      <c r="A335" s="59" t="s">
        <v>2162</v>
      </c>
      <c r="B335" s="59" t="s">
        <v>14</v>
      </c>
      <c r="C335" s="59" t="s">
        <v>3327</v>
      </c>
      <c r="D335" s="59" t="s">
        <v>3328</v>
      </c>
      <c r="E335" s="59" t="s">
        <v>3329</v>
      </c>
      <c r="F335" s="59" t="s">
        <v>2202</v>
      </c>
      <c r="I335" s="59" t="s">
        <v>702</v>
      </c>
    </row>
    <row r="336" spans="1:9" ht="11.25" customHeight="1">
      <c r="A336" s="59" t="s">
        <v>2162</v>
      </c>
      <c r="B336" s="59" t="s">
        <v>14</v>
      </c>
      <c r="C336" s="59" t="s">
        <v>3330</v>
      </c>
      <c r="D336" s="59" t="s">
        <v>3331</v>
      </c>
      <c r="E336" s="59" t="s">
        <v>3332</v>
      </c>
      <c r="F336" s="59" t="s">
        <v>2291</v>
      </c>
      <c r="I336" s="59" t="s">
        <v>702</v>
      </c>
    </row>
    <row r="337" spans="1:9" ht="11.25" customHeight="1">
      <c r="A337" s="59" t="s">
        <v>2162</v>
      </c>
      <c r="B337" s="59" t="s">
        <v>14</v>
      </c>
      <c r="C337" s="59" t="s">
        <v>3333</v>
      </c>
      <c r="D337" s="59" t="s">
        <v>3334</v>
      </c>
      <c r="E337" s="59" t="s">
        <v>3335</v>
      </c>
      <c r="F337" s="59" t="s">
        <v>2166</v>
      </c>
      <c r="I337" s="59" t="s">
        <v>702</v>
      </c>
    </row>
    <row r="338" spans="1:9" ht="11.25" customHeight="1">
      <c r="A338" s="59" t="s">
        <v>2162</v>
      </c>
      <c r="B338" s="59" t="s">
        <v>14</v>
      </c>
      <c r="C338" s="59" t="s">
        <v>3336</v>
      </c>
      <c r="D338" s="59" t="s">
        <v>3337</v>
      </c>
      <c r="E338" s="59" t="s">
        <v>3338</v>
      </c>
      <c r="F338" s="59" t="s">
        <v>2299</v>
      </c>
      <c r="I338" s="59" t="s">
        <v>702</v>
      </c>
    </row>
    <row r="339" spans="1:9" ht="11.25" customHeight="1">
      <c r="A339" s="59" t="s">
        <v>2162</v>
      </c>
      <c r="B339" s="59" t="s">
        <v>14</v>
      </c>
      <c r="C339" s="59" t="s">
        <v>3339</v>
      </c>
      <c r="D339" s="59" t="s">
        <v>3340</v>
      </c>
      <c r="E339" s="59" t="s">
        <v>3341</v>
      </c>
      <c r="F339" s="59" t="s">
        <v>2248</v>
      </c>
      <c r="I339" s="59" t="s">
        <v>702</v>
      </c>
    </row>
    <row r="340" spans="1:9" ht="11.25" customHeight="1">
      <c r="A340" s="59" t="s">
        <v>2162</v>
      </c>
      <c r="B340" s="59" t="s">
        <v>14</v>
      </c>
      <c r="C340" s="59" t="s">
        <v>3342</v>
      </c>
      <c r="D340" s="59" t="s">
        <v>3343</v>
      </c>
      <c r="E340" s="59" t="s">
        <v>3344</v>
      </c>
      <c r="F340" s="59" t="s">
        <v>2299</v>
      </c>
      <c r="I340" s="59" t="s">
        <v>702</v>
      </c>
    </row>
    <row r="341" spans="1:9" ht="11.25" customHeight="1">
      <c r="A341" s="59" t="s">
        <v>2162</v>
      </c>
      <c r="B341" s="59" t="s">
        <v>14</v>
      </c>
      <c r="C341" s="59" t="s">
        <v>3345</v>
      </c>
      <c r="D341" s="59" t="s">
        <v>3346</v>
      </c>
      <c r="E341" s="59" t="s">
        <v>3347</v>
      </c>
      <c r="F341" s="59" t="s">
        <v>2210</v>
      </c>
      <c r="I341" s="59" t="s">
        <v>702</v>
      </c>
    </row>
    <row r="342" spans="1:9" ht="11.25" customHeight="1">
      <c r="A342" s="59" t="s">
        <v>2162</v>
      </c>
      <c r="B342" s="59" t="s">
        <v>14</v>
      </c>
      <c r="C342" s="59" t="s">
        <v>3348</v>
      </c>
      <c r="D342" s="59" t="s">
        <v>3349</v>
      </c>
      <c r="E342" s="59" t="s">
        <v>3350</v>
      </c>
      <c r="F342" s="59" t="s">
        <v>2248</v>
      </c>
      <c r="I342" s="59" t="s">
        <v>702</v>
      </c>
    </row>
    <row r="343" spans="1:9" ht="11.25" customHeight="1">
      <c r="A343" s="59" t="s">
        <v>2162</v>
      </c>
      <c r="B343" s="59" t="s">
        <v>14</v>
      </c>
      <c r="C343" s="59" t="s">
        <v>3351</v>
      </c>
      <c r="D343" s="59" t="s">
        <v>3352</v>
      </c>
      <c r="E343" s="59" t="s">
        <v>3353</v>
      </c>
      <c r="F343" s="59" t="s">
        <v>2299</v>
      </c>
      <c r="I343" s="59" t="s">
        <v>702</v>
      </c>
    </row>
    <row r="344" spans="1:9" ht="11.25" customHeight="1">
      <c r="A344" s="59" t="s">
        <v>2162</v>
      </c>
      <c r="B344" s="59" t="s">
        <v>14</v>
      </c>
      <c r="C344" s="59" t="s">
        <v>3354</v>
      </c>
      <c r="D344" s="59" t="s">
        <v>3355</v>
      </c>
      <c r="E344" s="59" t="s">
        <v>3356</v>
      </c>
      <c r="F344" s="59" t="s">
        <v>3357</v>
      </c>
      <c r="I344" s="59" t="s">
        <v>702</v>
      </c>
    </row>
    <row r="345" spans="1:9" ht="11.25" customHeight="1">
      <c r="A345" s="59" t="s">
        <v>2162</v>
      </c>
      <c r="B345" s="59" t="s">
        <v>14</v>
      </c>
      <c r="C345" s="59" t="s">
        <v>3358</v>
      </c>
      <c r="D345" s="59" t="s">
        <v>3359</v>
      </c>
      <c r="E345" s="59" t="s">
        <v>3360</v>
      </c>
      <c r="F345" s="59" t="s">
        <v>3361</v>
      </c>
      <c r="I345" s="59" t="s">
        <v>702</v>
      </c>
    </row>
    <row r="346" spans="1:9" ht="11.25" customHeight="1">
      <c r="A346" s="59" t="s">
        <v>2162</v>
      </c>
      <c r="B346" s="59" t="s">
        <v>14</v>
      </c>
      <c r="C346" s="59" t="s">
        <v>3362</v>
      </c>
      <c r="D346" s="59" t="s">
        <v>3363</v>
      </c>
      <c r="E346" s="59" t="s">
        <v>3364</v>
      </c>
      <c r="F346" s="59" t="s">
        <v>2592</v>
      </c>
      <c r="I346" s="59" t="s">
        <v>702</v>
      </c>
    </row>
    <row r="347" spans="1:9" ht="11.25" customHeight="1">
      <c r="A347" s="59" t="s">
        <v>2162</v>
      </c>
      <c r="B347" s="59" t="s">
        <v>14</v>
      </c>
      <c r="C347" s="59" t="s">
        <v>3365</v>
      </c>
      <c r="D347" s="59" t="s">
        <v>3366</v>
      </c>
      <c r="E347" s="59" t="s">
        <v>3367</v>
      </c>
      <c r="F347" s="59" t="s">
        <v>3368</v>
      </c>
      <c r="I347" s="59" t="s">
        <v>702</v>
      </c>
    </row>
    <row r="348" spans="1:9" ht="11.25" customHeight="1">
      <c r="A348" s="59" t="s">
        <v>2162</v>
      </c>
      <c r="B348" s="59" t="s">
        <v>14</v>
      </c>
      <c r="C348" s="59" t="s">
        <v>3369</v>
      </c>
      <c r="D348" s="59" t="s">
        <v>3370</v>
      </c>
      <c r="E348" s="59" t="s">
        <v>3371</v>
      </c>
      <c r="F348" s="59" t="s">
        <v>2308</v>
      </c>
      <c r="I348" s="59" t="s">
        <v>702</v>
      </c>
    </row>
    <row r="349" spans="1:9" ht="11.25" customHeight="1">
      <c r="A349" s="59" t="s">
        <v>2162</v>
      </c>
      <c r="B349" s="59" t="s">
        <v>14</v>
      </c>
      <c r="C349" s="59" t="s">
        <v>3372</v>
      </c>
      <c r="D349" s="59" t="s">
        <v>3373</v>
      </c>
      <c r="E349" s="59" t="s">
        <v>3374</v>
      </c>
      <c r="F349" s="59" t="s">
        <v>2166</v>
      </c>
      <c r="I349" s="59" t="s">
        <v>702</v>
      </c>
    </row>
    <row r="350" spans="1:9" ht="11.25" customHeight="1">
      <c r="A350" s="59" t="s">
        <v>2162</v>
      </c>
      <c r="B350" s="59" t="s">
        <v>14</v>
      </c>
      <c r="C350" s="59" t="s">
        <v>3375</v>
      </c>
      <c r="D350" s="59" t="s">
        <v>3376</v>
      </c>
      <c r="E350" s="59" t="s">
        <v>3377</v>
      </c>
      <c r="F350" s="59" t="s">
        <v>2299</v>
      </c>
      <c r="I350" s="59" t="s">
        <v>702</v>
      </c>
    </row>
    <row r="351" spans="1:9" ht="11.25" customHeight="1">
      <c r="A351" s="59" t="s">
        <v>2162</v>
      </c>
      <c r="B351" s="59" t="s">
        <v>14</v>
      </c>
      <c r="C351" s="59" t="s">
        <v>3378</v>
      </c>
      <c r="D351" s="59" t="s">
        <v>3379</v>
      </c>
      <c r="E351" s="59" t="s">
        <v>3380</v>
      </c>
      <c r="F351" s="59" t="s">
        <v>2166</v>
      </c>
      <c r="I351" s="59" t="s">
        <v>702</v>
      </c>
    </row>
    <row r="352" spans="1:9" ht="11.25" customHeight="1">
      <c r="A352" s="59" t="s">
        <v>2162</v>
      </c>
      <c r="B352" s="59" t="s">
        <v>14</v>
      </c>
      <c r="C352" s="59" t="s">
        <v>3381</v>
      </c>
      <c r="D352" s="59" t="s">
        <v>3382</v>
      </c>
      <c r="E352" s="59" t="s">
        <v>3383</v>
      </c>
      <c r="F352" s="59" t="s">
        <v>2233</v>
      </c>
      <c r="I352" s="59" t="s">
        <v>702</v>
      </c>
    </row>
    <row r="353" spans="1:9" ht="11.25" customHeight="1">
      <c r="A353" s="59" t="s">
        <v>2162</v>
      </c>
      <c r="B353" s="59" t="s">
        <v>14</v>
      </c>
      <c r="C353" s="59" t="s">
        <v>3384</v>
      </c>
      <c r="D353" s="59" t="s">
        <v>3385</v>
      </c>
      <c r="E353" s="59" t="s">
        <v>3386</v>
      </c>
      <c r="F353" s="59" t="s">
        <v>2228</v>
      </c>
      <c r="I353" s="59" t="s">
        <v>702</v>
      </c>
    </row>
    <row r="354" spans="1:9" ht="11.25" customHeight="1">
      <c r="A354" s="59" t="s">
        <v>2162</v>
      </c>
      <c r="B354" s="59" t="s">
        <v>14</v>
      </c>
      <c r="C354" s="59" t="s">
        <v>3387</v>
      </c>
      <c r="D354" s="59" t="s">
        <v>3388</v>
      </c>
      <c r="E354" s="59" t="s">
        <v>3389</v>
      </c>
      <c r="F354" s="59" t="s">
        <v>2291</v>
      </c>
      <c r="I354" s="59" t="s">
        <v>702</v>
      </c>
    </row>
    <row r="355" spans="1:9" ht="11.25" customHeight="1">
      <c r="A355" s="59" t="s">
        <v>2162</v>
      </c>
      <c r="B355" s="59" t="s">
        <v>14</v>
      </c>
      <c r="C355" s="59" t="s">
        <v>3390</v>
      </c>
      <c r="D355" s="59" t="s">
        <v>3391</v>
      </c>
      <c r="E355" s="59" t="s">
        <v>3233</v>
      </c>
      <c r="F355" s="59" t="s">
        <v>2391</v>
      </c>
      <c r="I355" s="59" t="s">
        <v>702</v>
      </c>
    </row>
    <row r="356" spans="1:9" ht="11.25" customHeight="1">
      <c r="A356" s="59" t="s">
        <v>2162</v>
      </c>
      <c r="B356" s="59" t="s">
        <v>14</v>
      </c>
      <c r="C356" s="59" t="s">
        <v>3392</v>
      </c>
      <c r="D356" s="59" t="s">
        <v>3393</v>
      </c>
      <c r="E356" s="59" t="s">
        <v>3394</v>
      </c>
      <c r="F356" s="59" t="s">
        <v>2166</v>
      </c>
      <c r="I356" s="59" t="s">
        <v>702</v>
      </c>
    </row>
    <row r="357" spans="1:9" ht="11.25" customHeight="1">
      <c r="A357" s="59" t="s">
        <v>2162</v>
      </c>
      <c r="B357" s="59" t="s">
        <v>14</v>
      </c>
      <c r="C357" s="59" t="s">
        <v>3395</v>
      </c>
      <c r="D357" s="59" t="s">
        <v>3396</v>
      </c>
      <c r="E357" s="59" t="s">
        <v>3397</v>
      </c>
      <c r="F357" s="59" t="s">
        <v>2299</v>
      </c>
      <c r="I357" s="59" t="s">
        <v>702</v>
      </c>
    </row>
    <row r="358" spans="1:9" ht="11.25" customHeight="1">
      <c r="A358" s="59" t="s">
        <v>2162</v>
      </c>
      <c r="B358" s="59" t="s">
        <v>14</v>
      </c>
      <c r="C358" s="59" t="s">
        <v>3398</v>
      </c>
      <c r="D358" s="59" t="s">
        <v>3399</v>
      </c>
      <c r="E358" s="59" t="s">
        <v>3400</v>
      </c>
      <c r="F358" s="59" t="s">
        <v>2291</v>
      </c>
      <c r="I358" s="59" t="s">
        <v>702</v>
      </c>
    </row>
    <row r="359" spans="1:9" ht="11.25" customHeight="1">
      <c r="A359" s="59" t="s">
        <v>2162</v>
      </c>
      <c r="B359" s="59" t="s">
        <v>14</v>
      </c>
      <c r="C359" s="59" t="s">
        <v>3401</v>
      </c>
      <c r="D359" s="59" t="s">
        <v>3402</v>
      </c>
      <c r="E359" s="59" t="s">
        <v>3403</v>
      </c>
      <c r="F359" s="59" t="s">
        <v>2210</v>
      </c>
      <c r="I359" s="59" t="s">
        <v>702</v>
      </c>
    </row>
    <row r="360" spans="1:9" ht="11.25" customHeight="1">
      <c r="A360" s="59" t="s">
        <v>2162</v>
      </c>
      <c r="B360" s="59" t="s">
        <v>14</v>
      </c>
      <c r="C360" s="59" t="s">
        <v>3404</v>
      </c>
      <c r="D360" s="59" t="s">
        <v>3405</v>
      </c>
      <c r="E360" s="59" t="s">
        <v>3406</v>
      </c>
      <c r="F360" s="59" t="s">
        <v>2299</v>
      </c>
      <c r="I360" s="59" t="s">
        <v>702</v>
      </c>
    </row>
    <row r="361" spans="1:9" ht="11.25" customHeight="1">
      <c r="A361" s="59" t="s">
        <v>2162</v>
      </c>
      <c r="B361" s="59" t="s">
        <v>14</v>
      </c>
      <c r="C361" s="59" t="s">
        <v>3407</v>
      </c>
      <c r="D361" s="59" t="s">
        <v>3408</v>
      </c>
      <c r="E361" s="59" t="s">
        <v>3409</v>
      </c>
      <c r="F361" s="59" t="s">
        <v>2391</v>
      </c>
      <c r="I361" s="59" t="s">
        <v>702</v>
      </c>
    </row>
    <row r="362" spans="1:9" ht="11.25" customHeight="1">
      <c r="A362" s="59" t="s">
        <v>2162</v>
      </c>
      <c r="B362" s="59" t="s">
        <v>14</v>
      </c>
      <c r="C362" s="59" t="s">
        <v>3410</v>
      </c>
      <c r="D362" s="59" t="s">
        <v>3411</v>
      </c>
      <c r="E362" s="59" t="s">
        <v>3412</v>
      </c>
      <c r="F362" s="59" t="s">
        <v>2391</v>
      </c>
      <c r="I362" s="59" t="s">
        <v>702</v>
      </c>
    </row>
    <row r="363" spans="1:9" ht="11.25" customHeight="1">
      <c r="A363" s="59" t="s">
        <v>2162</v>
      </c>
      <c r="B363" s="59" t="s">
        <v>14</v>
      </c>
      <c r="C363" s="59" t="s">
        <v>3413</v>
      </c>
      <c r="D363" s="59" t="s">
        <v>3414</v>
      </c>
      <c r="E363" s="59" t="s">
        <v>3415</v>
      </c>
      <c r="F363" s="59" t="s">
        <v>2166</v>
      </c>
      <c r="I363" s="59" t="s">
        <v>702</v>
      </c>
    </row>
    <row r="364" spans="1:9" ht="11.25" customHeight="1">
      <c r="A364" s="59" t="s">
        <v>2162</v>
      </c>
      <c r="B364" s="59" t="s">
        <v>14</v>
      </c>
      <c r="C364" s="59" t="s">
        <v>3416</v>
      </c>
      <c r="D364" s="59" t="s">
        <v>3417</v>
      </c>
      <c r="E364" s="59" t="s">
        <v>3418</v>
      </c>
      <c r="F364" s="59" t="s">
        <v>2210</v>
      </c>
      <c r="I364" s="59" t="s">
        <v>702</v>
      </c>
    </row>
    <row r="365" spans="1:9" ht="11.25" customHeight="1">
      <c r="A365" s="59" t="s">
        <v>2162</v>
      </c>
      <c r="B365" s="59" t="s">
        <v>14</v>
      </c>
      <c r="C365" s="59" t="s">
        <v>3419</v>
      </c>
      <c r="D365" s="59" t="s">
        <v>3420</v>
      </c>
      <c r="E365" s="59" t="s">
        <v>3421</v>
      </c>
      <c r="F365" s="59" t="s">
        <v>2166</v>
      </c>
      <c r="I365" s="59" t="s">
        <v>702</v>
      </c>
    </row>
    <row r="366" spans="1:9" ht="11.25" customHeight="1">
      <c r="A366" s="59" t="s">
        <v>2162</v>
      </c>
      <c r="B366" s="59" t="s">
        <v>14</v>
      </c>
      <c r="C366" s="59" t="s">
        <v>3422</v>
      </c>
      <c r="D366" s="59" t="s">
        <v>3423</v>
      </c>
      <c r="E366" s="59" t="s">
        <v>3424</v>
      </c>
      <c r="F366" s="59" t="s">
        <v>2210</v>
      </c>
      <c r="I366" s="59" t="s">
        <v>702</v>
      </c>
    </row>
    <row r="367" spans="1:9" ht="11.25" customHeight="1">
      <c r="A367" s="59" t="s">
        <v>2162</v>
      </c>
      <c r="B367" s="59" t="s">
        <v>14</v>
      </c>
      <c r="C367" s="59" t="s">
        <v>3425</v>
      </c>
      <c r="D367" s="59" t="s">
        <v>3426</v>
      </c>
      <c r="E367" s="59" t="s">
        <v>3427</v>
      </c>
      <c r="F367" s="59" t="s">
        <v>2248</v>
      </c>
      <c r="I367" s="59" t="s">
        <v>702</v>
      </c>
    </row>
    <row r="368" spans="1:9" ht="11.25" customHeight="1">
      <c r="A368" s="59" t="s">
        <v>2162</v>
      </c>
      <c r="B368" s="59" t="s">
        <v>14</v>
      </c>
      <c r="C368" s="59" t="s">
        <v>3428</v>
      </c>
      <c r="D368" s="59" t="s">
        <v>3429</v>
      </c>
      <c r="E368" s="59" t="s">
        <v>2174</v>
      </c>
      <c r="F368" s="59" t="s">
        <v>2370</v>
      </c>
      <c r="I368" s="59" t="s">
        <v>702</v>
      </c>
    </row>
    <row r="369" spans="1:9" ht="11.25" customHeight="1">
      <c r="A369" s="59" t="s">
        <v>2162</v>
      </c>
      <c r="B369" s="59" t="s">
        <v>14</v>
      </c>
      <c r="C369" s="59" t="s">
        <v>3430</v>
      </c>
      <c r="D369" s="59" t="s">
        <v>3431</v>
      </c>
      <c r="E369" s="59" t="s">
        <v>2216</v>
      </c>
      <c r="F369" s="59" t="s">
        <v>3432</v>
      </c>
      <c r="G369" s="59" t="s">
        <v>2221</v>
      </c>
      <c r="I369" s="59" t="s">
        <v>702</v>
      </c>
    </row>
    <row r="370" spans="1:9" ht="11.25" customHeight="1">
      <c r="A370" s="59" t="s">
        <v>2162</v>
      </c>
      <c r="B370" s="59" t="s">
        <v>14</v>
      </c>
      <c r="C370" s="59" t="s">
        <v>3433</v>
      </c>
      <c r="D370" s="59" t="s">
        <v>3434</v>
      </c>
      <c r="E370" s="59" t="s">
        <v>3435</v>
      </c>
      <c r="F370" s="59" t="s">
        <v>2486</v>
      </c>
      <c r="I370" s="59" t="s">
        <v>702</v>
      </c>
    </row>
    <row r="371" spans="1:9" ht="11.25" customHeight="1">
      <c r="A371" s="59" t="s">
        <v>2162</v>
      </c>
      <c r="B371" s="59" t="s">
        <v>14</v>
      </c>
      <c r="C371" s="59" t="s">
        <v>3436</v>
      </c>
      <c r="D371" s="59" t="s">
        <v>3437</v>
      </c>
      <c r="E371" s="59" t="s">
        <v>3438</v>
      </c>
      <c r="F371" s="59" t="s">
        <v>2248</v>
      </c>
      <c r="I371" s="59" t="s">
        <v>702</v>
      </c>
    </row>
    <row r="372" spans="1:9" ht="11.25" customHeight="1">
      <c r="A372" s="59" t="s">
        <v>2162</v>
      </c>
      <c r="B372" s="59" t="s">
        <v>14</v>
      </c>
      <c r="C372" s="59" t="s">
        <v>3439</v>
      </c>
      <c r="D372" s="59" t="s">
        <v>3440</v>
      </c>
      <c r="E372" s="59" t="s">
        <v>3441</v>
      </c>
      <c r="F372" s="59" t="s">
        <v>2210</v>
      </c>
      <c r="I372" s="59" t="s">
        <v>702</v>
      </c>
    </row>
    <row r="373" spans="1:9" ht="11.25" customHeight="1">
      <c r="A373" s="59" t="s">
        <v>2162</v>
      </c>
      <c r="B373" s="59" t="s">
        <v>14</v>
      </c>
      <c r="C373" s="59" t="s">
        <v>3442</v>
      </c>
      <c r="D373" s="59" t="s">
        <v>3443</v>
      </c>
      <c r="E373" s="59" t="s">
        <v>3444</v>
      </c>
      <c r="F373" s="59" t="s">
        <v>2166</v>
      </c>
      <c r="I373" s="59" t="s">
        <v>702</v>
      </c>
    </row>
    <row r="374" spans="1:9" ht="11.25" customHeight="1">
      <c r="A374" s="59" t="s">
        <v>2162</v>
      </c>
      <c r="B374" s="59" t="s">
        <v>14</v>
      </c>
      <c r="C374" s="59" t="s">
        <v>3445</v>
      </c>
      <c r="D374" s="59" t="s">
        <v>3446</v>
      </c>
      <c r="E374" s="59" t="s">
        <v>3447</v>
      </c>
      <c r="F374" s="59" t="s">
        <v>2291</v>
      </c>
      <c r="I374" s="59" t="s">
        <v>702</v>
      </c>
    </row>
    <row r="375" spans="1:9" ht="11.25" customHeight="1">
      <c r="A375" s="59" t="s">
        <v>2162</v>
      </c>
      <c r="B375" s="59" t="s">
        <v>14</v>
      </c>
      <c r="C375" s="59" t="s">
        <v>3448</v>
      </c>
      <c r="D375" s="59" t="s">
        <v>3449</v>
      </c>
      <c r="E375" s="59" t="s">
        <v>3450</v>
      </c>
      <c r="F375" s="59" t="s">
        <v>2233</v>
      </c>
      <c r="I375" s="59" t="s">
        <v>702</v>
      </c>
    </row>
    <row r="376" spans="1:9" ht="11.25" customHeight="1">
      <c r="A376" s="59" t="s">
        <v>2162</v>
      </c>
      <c r="B376" s="59" t="s">
        <v>14</v>
      </c>
      <c r="C376" s="59" t="s">
        <v>3451</v>
      </c>
      <c r="D376" s="59" t="s">
        <v>3452</v>
      </c>
      <c r="E376" s="59" t="s">
        <v>3453</v>
      </c>
      <c r="F376" s="59" t="s">
        <v>2486</v>
      </c>
      <c r="I376" s="59" t="s">
        <v>702</v>
      </c>
    </row>
    <row r="377" spans="1:9" ht="11.25" customHeight="1">
      <c r="A377" s="59" t="s">
        <v>2162</v>
      </c>
      <c r="B377" s="59" t="s">
        <v>14</v>
      </c>
      <c r="C377" s="59" t="s">
        <v>3454</v>
      </c>
      <c r="D377" s="59" t="s">
        <v>3455</v>
      </c>
      <c r="E377" s="59" t="s">
        <v>3456</v>
      </c>
      <c r="F377" s="59" t="s">
        <v>2636</v>
      </c>
      <c r="G377" s="59" t="s">
        <v>3457</v>
      </c>
      <c r="I377" s="59" t="s">
        <v>702</v>
      </c>
    </row>
    <row r="378" spans="1:9" ht="11.25" customHeight="1">
      <c r="A378" s="59" t="s">
        <v>2162</v>
      </c>
      <c r="B378" s="59" t="s">
        <v>14</v>
      </c>
      <c r="C378" s="59" t="s">
        <v>3458</v>
      </c>
      <c r="D378" s="59" t="s">
        <v>3459</v>
      </c>
      <c r="E378" s="59" t="s">
        <v>3460</v>
      </c>
      <c r="F378" s="59" t="s">
        <v>2391</v>
      </c>
      <c r="I378" s="59" t="s">
        <v>702</v>
      </c>
    </row>
    <row r="379" spans="1:9" ht="11.25" customHeight="1">
      <c r="A379" s="59" t="s">
        <v>2162</v>
      </c>
      <c r="B379" s="59" t="s">
        <v>14</v>
      </c>
      <c r="C379" s="59" t="s">
        <v>3461</v>
      </c>
      <c r="D379" s="59" t="s">
        <v>3462</v>
      </c>
      <c r="E379" s="59" t="s">
        <v>3463</v>
      </c>
      <c r="F379" s="59" t="s">
        <v>2233</v>
      </c>
      <c r="H379" s="59" t="s">
        <v>3464</v>
      </c>
      <c r="I379" s="59" t="s">
        <v>702</v>
      </c>
    </row>
    <row r="380" spans="1:9" ht="11.25" customHeight="1">
      <c r="A380" s="59" t="s">
        <v>2162</v>
      </c>
      <c r="B380" s="59" t="s">
        <v>14</v>
      </c>
      <c r="C380" s="59" t="s">
        <v>3465</v>
      </c>
      <c r="D380" s="59" t="s">
        <v>3466</v>
      </c>
      <c r="E380" s="59" t="s">
        <v>3467</v>
      </c>
      <c r="F380" s="59" t="s">
        <v>2210</v>
      </c>
      <c r="G380" s="59" t="s">
        <v>3468</v>
      </c>
      <c r="I380" s="59" t="s">
        <v>702</v>
      </c>
    </row>
    <row r="381" spans="1:9" ht="11.25" customHeight="1">
      <c r="A381" s="59" t="s">
        <v>2162</v>
      </c>
      <c r="B381" s="59" t="s">
        <v>14</v>
      </c>
      <c r="C381" s="59" t="s">
        <v>3469</v>
      </c>
      <c r="D381" s="59" t="s">
        <v>3470</v>
      </c>
      <c r="E381" s="59" t="s">
        <v>3471</v>
      </c>
      <c r="F381" s="59" t="s">
        <v>2210</v>
      </c>
      <c r="I381" s="59" t="s">
        <v>702</v>
      </c>
    </row>
    <row r="382" spans="1:9" ht="11.25" customHeight="1">
      <c r="A382" s="59" t="s">
        <v>2162</v>
      </c>
      <c r="B382" s="59" t="s">
        <v>14</v>
      </c>
      <c r="C382" s="59" t="s">
        <v>3472</v>
      </c>
      <c r="D382" s="59" t="s">
        <v>3473</v>
      </c>
      <c r="E382" s="59" t="s">
        <v>3474</v>
      </c>
      <c r="F382" s="59" t="s">
        <v>2233</v>
      </c>
      <c r="I382" s="59" t="s">
        <v>702</v>
      </c>
    </row>
    <row r="383" spans="1:9" ht="11.25" customHeight="1">
      <c r="A383" s="59" t="s">
        <v>2162</v>
      </c>
      <c r="B383" s="59" t="s">
        <v>14</v>
      </c>
      <c r="C383" s="59" t="s">
        <v>3475</v>
      </c>
      <c r="D383" s="59" t="s">
        <v>3476</v>
      </c>
      <c r="E383" s="59" t="s">
        <v>3477</v>
      </c>
      <c r="F383" s="59" t="s">
        <v>2636</v>
      </c>
      <c r="G383" s="59" t="s">
        <v>3478</v>
      </c>
      <c r="I383" s="59" t="s">
        <v>702</v>
      </c>
    </row>
    <row r="384" spans="1:9" ht="11.25" customHeight="1">
      <c r="A384" s="59" t="s">
        <v>2162</v>
      </c>
      <c r="B384" s="59" t="s">
        <v>14</v>
      </c>
      <c r="C384" s="59" t="s">
        <v>3479</v>
      </c>
      <c r="D384" s="59" t="s">
        <v>3480</v>
      </c>
      <c r="E384" s="59" t="s">
        <v>3481</v>
      </c>
      <c r="F384" s="59" t="s">
        <v>2233</v>
      </c>
      <c r="G384" s="59" t="s">
        <v>3482</v>
      </c>
      <c r="I384" s="59" t="s">
        <v>702</v>
      </c>
    </row>
    <row r="385" spans="1:9" ht="11.25" customHeight="1">
      <c r="A385" s="59" t="s">
        <v>2162</v>
      </c>
      <c r="B385" s="59" t="s">
        <v>14</v>
      </c>
      <c r="C385" s="59" t="s">
        <v>3483</v>
      </c>
      <c r="D385" s="59" t="s">
        <v>3484</v>
      </c>
      <c r="E385" s="59" t="s">
        <v>3485</v>
      </c>
      <c r="F385" s="59" t="s">
        <v>2308</v>
      </c>
      <c r="I385" s="59" t="s">
        <v>702</v>
      </c>
    </row>
    <row r="386" spans="1:9" ht="11.25" customHeight="1">
      <c r="A386" s="59" t="s">
        <v>2162</v>
      </c>
      <c r="B386" s="59" t="s">
        <v>14</v>
      </c>
      <c r="C386" s="59" t="s">
        <v>3486</v>
      </c>
      <c r="D386" s="59" t="s">
        <v>3487</v>
      </c>
      <c r="E386" s="59" t="s">
        <v>3488</v>
      </c>
      <c r="F386" s="59" t="s">
        <v>2677</v>
      </c>
      <c r="G386" s="59" t="s">
        <v>3489</v>
      </c>
      <c r="I386" s="59" t="s">
        <v>702</v>
      </c>
    </row>
    <row r="387" spans="1:9" ht="11.25" customHeight="1">
      <c r="A387" s="59" t="s">
        <v>2162</v>
      </c>
      <c r="B387" s="59" t="s">
        <v>14</v>
      </c>
      <c r="C387" s="59" t="s">
        <v>3490</v>
      </c>
      <c r="D387" s="59" t="s">
        <v>3491</v>
      </c>
      <c r="E387" s="59" t="s">
        <v>3492</v>
      </c>
      <c r="F387" s="59" t="s">
        <v>2592</v>
      </c>
      <c r="G387" s="59" t="s">
        <v>3493</v>
      </c>
      <c r="I387" s="59" t="s">
        <v>702</v>
      </c>
    </row>
    <row r="388" spans="1:9" ht="11.25" customHeight="1">
      <c r="A388" s="59" t="s">
        <v>2162</v>
      </c>
      <c r="B388" s="59" t="s">
        <v>14</v>
      </c>
      <c r="C388" s="59" t="s">
        <v>3494</v>
      </c>
      <c r="D388" s="59" t="s">
        <v>3495</v>
      </c>
      <c r="E388" s="59" t="s">
        <v>3496</v>
      </c>
      <c r="F388" s="59" t="s">
        <v>2391</v>
      </c>
      <c r="I388" s="59" t="s">
        <v>702</v>
      </c>
    </row>
    <row r="389" spans="1:9" ht="11.25" customHeight="1">
      <c r="A389" s="59" t="s">
        <v>2162</v>
      </c>
      <c r="B389" s="59" t="s">
        <v>14</v>
      </c>
      <c r="C389" s="59" t="s">
        <v>3497</v>
      </c>
      <c r="D389" s="59" t="s">
        <v>3498</v>
      </c>
      <c r="E389" s="59" t="s">
        <v>3499</v>
      </c>
      <c r="F389" s="59" t="s">
        <v>2291</v>
      </c>
      <c r="I389" s="59" t="s">
        <v>702</v>
      </c>
    </row>
    <row r="390" spans="1:9" ht="11.25" customHeight="1">
      <c r="A390" s="59" t="s">
        <v>2162</v>
      </c>
      <c r="B390" s="59" t="s">
        <v>14</v>
      </c>
      <c r="C390" s="59" t="s">
        <v>3500</v>
      </c>
      <c r="D390" s="59" t="s">
        <v>3501</v>
      </c>
      <c r="E390" s="59" t="s">
        <v>3502</v>
      </c>
      <c r="F390" s="59" t="s">
        <v>2233</v>
      </c>
      <c r="I390" s="59" t="s">
        <v>702</v>
      </c>
    </row>
    <row r="391" spans="1:9" ht="11.25" customHeight="1">
      <c r="A391" s="59" t="s">
        <v>2162</v>
      </c>
      <c r="B391" s="59" t="s">
        <v>14</v>
      </c>
      <c r="C391" s="59" t="s">
        <v>3503</v>
      </c>
      <c r="D391" s="59" t="s">
        <v>3504</v>
      </c>
      <c r="E391" s="59" t="s">
        <v>3505</v>
      </c>
      <c r="F391" s="59" t="s">
        <v>3506</v>
      </c>
      <c r="H391" s="59" t="s">
        <v>3507</v>
      </c>
      <c r="I391" s="59" t="s">
        <v>702</v>
      </c>
    </row>
    <row r="392" spans="1:9" ht="11.25" customHeight="1">
      <c r="A392" s="59" t="s">
        <v>2162</v>
      </c>
      <c r="B392" s="59" t="s">
        <v>14</v>
      </c>
      <c r="C392" s="59" t="s">
        <v>3508</v>
      </c>
      <c r="D392" s="59" t="s">
        <v>3509</v>
      </c>
      <c r="E392" s="59" t="s">
        <v>3510</v>
      </c>
      <c r="F392" s="59" t="s">
        <v>2291</v>
      </c>
      <c r="I392" s="59" t="s">
        <v>702</v>
      </c>
    </row>
    <row r="393" spans="1:9" ht="11.25" customHeight="1">
      <c r="A393" s="59" t="s">
        <v>2162</v>
      </c>
      <c r="B393" s="59" t="s">
        <v>14</v>
      </c>
      <c r="C393" s="59" t="s">
        <v>3511</v>
      </c>
      <c r="D393" s="59" t="s">
        <v>3512</v>
      </c>
      <c r="E393" s="59" t="s">
        <v>3513</v>
      </c>
      <c r="F393" s="59" t="s">
        <v>3514</v>
      </c>
      <c r="I393" s="59" t="s">
        <v>702</v>
      </c>
    </row>
    <row r="394" spans="1:9" ht="11.25" customHeight="1">
      <c r="A394" s="59" t="s">
        <v>2162</v>
      </c>
      <c r="B394" s="59" t="s">
        <v>14</v>
      </c>
      <c r="C394" s="59" t="s">
        <v>3515</v>
      </c>
      <c r="D394" s="59" t="s">
        <v>3516</v>
      </c>
      <c r="E394" s="59" t="s">
        <v>3513</v>
      </c>
      <c r="F394" s="59" t="s">
        <v>2233</v>
      </c>
      <c r="I394" s="59" t="s">
        <v>702</v>
      </c>
    </row>
    <row r="395" spans="1:9" ht="11.25" customHeight="1">
      <c r="A395" s="59" t="s">
        <v>2162</v>
      </c>
      <c r="B395" s="59" t="s">
        <v>14</v>
      </c>
      <c r="C395" s="59" t="s">
        <v>3517</v>
      </c>
      <c r="D395" s="59" t="s">
        <v>3518</v>
      </c>
      <c r="E395" s="59" t="s">
        <v>3513</v>
      </c>
      <c r="F395" s="59" t="s">
        <v>3519</v>
      </c>
      <c r="I395" s="59" t="s">
        <v>702</v>
      </c>
    </row>
    <row r="396" spans="1:9" ht="11.25" customHeight="1">
      <c r="A396" s="59" t="s">
        <v>2162</v>
      </c>
      <c r="B396" s="59" t="s">
        <v>14</v>
      </c>
      <c r="C396" s="59" t="s">
        <v>3520</v>
      </c>
      <c r="D396" s="59" t="s">
        <v>3521</v>
      </c>
      <c r="E396" s="59" t="s">
        <v>3513</v>
      </c>
      <c r="F396" s="59" t="s">
        <v>3522</v>
      </c>
      <c r="I396" s="59" t="s">
        <v>702</v>
      </c>
    </row>
    <row r="397" spans="1:9" ht="11.25" customHeight="1">
      <c r="A397" s="59" t="s">
        <v>2162</v>
      </c>
      <c r="B397" s="59" t="s">
        <v>14</v>
      </c>
      <c r="C397" s="59" t="s">
        <v>3523</v>
      </c>
      <c r="D397" s="59" t="s">
        <v>3524</v>
      </c>
      <c r="E397" s="59" t="s">
        <v>3513</v>
      </c>
      <c r="F397" s="59" t="s">
        <v>3525</v>
      </c>
      <c r="I397" s="59" t="s">
        <v>702</v>
      </c>
    </row>
    <row r="398" spans="1:9" ht="11.25" customHeight="1">
      <c r="A398" s="59" t="s">
        <v>2162</v>
      </c>
      <c r="B398" s="59" t="s">
        <v>14</v>
      </c>
      <c r="C398" s="59" t="s">
        <v>3526</v>
      </c>
      <c r="D398" s="59" t="s">
        <v>3527</v>
      </c>
      <c r="E398" s="59" t="s">
        <v>3513</v>
      </c>
      <c r="F398" s="59" t="s">
        <v>3528</v>
      </c>
      <c r="I398" s="59" t="s">
        <v>702</v>
      </c>
    </row>
    <row r="399" spans="1:9" ht="11.25" customHeight="1">
      <c r="A399" s="59" t="s">
        <v>2162</v>
      </c>
      <c r="B399" s="59" t="s">
        <v>14</v>
      </c>
      <c r="C399" s="59" t="s">
        <v>3529</v>
      </c>
      <c r="D399" s="59" t="s">
        <v>3530</v>
      </c>
      <c r="E399" s="59" t="s">
        <v>3513</v>
      </c>
      <c r="F399" s="59" t="s">
        <v>3531</v>
      </c>
      <c r="I399" s="59" t="s">
        <v>702</v>
      </c>
    </row>
    <row r="400" spans="1:9" ht="11.25" customHeight="1">
      <c r="A400" s="59" t="s">
        <v>2162</v>
      </c>
      <c r="B400" s="59" t="s">
        <v>14</v>
      </c>
      <c r="C400" s="59" t="s">
        <v>3532</v>
      </c>
      <c r="D400" s="59" t="s">
        <v>3533</v>
      </c>
      <c r="E400" s="59" t="s">
        <v>3513</v>
      </c>
      <c r="F400" s="59" t="s">
        <v>3534</v>
      </c>
      <c r="I400" s="59" t="s">
        <v>702</v>
      </c>
    </row>
    <row r="401" spans="1:9" ht="11.25" customHeight="1">
      <c r="A401" s="59" t="s">
        <v>2162</v>
      </c>
      <c r="B401" s="59" t="s">
        <v>14</v>
      </c>
      <c r="C401" s="59" t="s">
        <v>3535</v>
      </c>
      <c r="D401" s="59" t="s">
        <v>3536</v>
      </c>
      <c r="E401" s="59" t="s">
        <v>3513</v>
      </c>
      <c r="F401" s="59" t="s">
        <v>3537</v>
      </c>
      <c r="I401" s="59" t="s">
        <v>702</v>
      </c>
    </row>
    <row r="402" spans="1:9" ht="11.25" customHeight="1">
      <c r="A402" s="59" t="s">
        <v>2162</v>
      </c>
      <c r="B402" s="59" t="s">
        <v>14</v>
      </c>
      <c r="C402" s="59" t="s">
        <v>3538</v>
      </c>
      <c r="D402" s="59" t="s">
        <v>3539</v>
      </c>
      <c r="E402" s="59" t="s">
        <v>3513</v>
      </c>
      <c r="F402" s="59" t="s">
        <v>3540</v>
      </c>
      <c r="I402" s="59" t="s">
        <v>702</v>
      </c>
    </row>
    <row r="403" spans="1:9" ht="11.25" customHeight="1">
      <c r="A403" s="59" t="s">
        <v>2162</v>
      </c>
      <c r="B403" s="59" t="s">
        <v>14</v>
      </c>
      <c r="C403" s="59" t="s">
        <v>3541</v>
      </c>
      <c r="D403" s="59" t="s">
        <v>3542</v>
      </c>
      <c r="E403" s="59" t="s">
        <v>3513</v>
      </c>
      <c r="F403" s="59" t="s">
        <v>3543</v>
      </c>
      <c r="I403" s="59" t="s">
        <v>702</v>
      </c>
    </row>
    <row r="404" spans="1:9" ht="11.25" customHeight="1">
      <c r="A404" s="59" t="s">
        <v>2162</v>
      </c>
      <c r="B404" s="59" t="s">
        <v>14</v>
      </c>
      <c r="C404" s="59" t="s">
        <v>3544</v>
      </c>
      <c r="D404" s="59" t="s">
        <v>3545</v>
      </c>
      <c r="E404" s="59" t="s">
        <v>3546</v>
      </c>
      <c r="F404" s="59" t="s">
        <v>2573</v>
      </c>
      <c r="G404" s="59" t="s">
        <v>3547</v>
      </c>
      <c r="I404" s="59" t="s">
        <v>702</v>
      </c>
    </row>
    <row r="405" spans="1:9" ht="11.25" customHeight="1">
      <c r="A405" s="59" t="s">
        <v>2162</v>
      </c>
      <c r="B405" s="59" t="s">
        <v>14</v>
      </c>
      <c r="C405" s="59" t="s">
        <v>3548</v>
      </c>
      <c r="D405" s="59" t="s">
        <v>3549</v>
      </c>
      <c r="E405" s="59" t="s">
        <v>3546</v>
      </c>
      <c r="F405" s="59" t="s">
        <v>3550</v>
      </c>
      <c r="G405" s="59" t="s">
        <v>3547</v>
      </c>
      <c r="I405" s="59" t="s">
        <v>702</v>
      </c>
    </row>
    <row r="406" spans="1:9" ht="11.25" customHeight="1">
      <c r="A406" s="59" t="s">
        <v>2162</v>
      </c>
      <c r="B406" s="59" t="s">
        <v>14</v>
      </c>
      <c r="C406" s="59" t="s">
        <v>3551</v>
      </c>
      <c r="D406" s="59" t="s">
        <v>3552</v>
      </c>
      <c r="E406" s="59" t="s">
        <v>3553</v>
      </c>
      <c r="F406" s="59" t="s">
        <v>2877</v>
      </c>
      <c r="I406" s="59" t="s">
        <v>702</v>
      </c>
    </row>
    <row r="407" spans="1:9" ht="11.25" customHeight="1">
      <c r="A407" s="59" t="s">
        <v>2162</v>
      </c>
      <c r="B407" s="59" t="s">
        <v>14</v>
      </c>
      <c r="C407" s="59" t="s">
        <v>3554</v>
      </c>
      <c r="D407" s="59" t="s">
        <v>3555</v>
      </c>
      <c r="E407" s="59" t="s">
        <v>3556</v>
      </c>
      <c r="F407" s="59" t="s">
        <v>2299</v>
      </c>
      <c r="I407" s="59" t="s">
        <v>702</v>
      </c>
    </row>
    <row r="408" spans="1:9" ht="11.25" customHeight="1">
      <c r="A408" s="59" t="s">
        <v>2162</v>
      </c>
      <c r="B408" s="59" t="s">
        <v>14</v>
      </c>
      <c r="C408" s="59" t="s">
        <v>3557</v>
      </c>
      <c r="D408" s="59" t="s">
        <v>3558</v>
      </c>
      <c r="E408" s="59" t="s">
        <v>3559</v>
      </c>
      <c r="F408" s="59" t="s">
        <v>2266</v>
      </c>
      <c r="G408" s="59" t="s">
        <v>3560</v>
      </c>
      <c r="I408" s="59" t="s">
        <v>702</v>
      </c>
    </row>
    <row r="409" spans="1:9" ht="11.25" customHeight="1">
      <c r="A409" s="59" t="s">
        <v>2162</v>
      </c>
      <c r="B409" s="59" t="s">
        <v>14</v>
      </c>
      <c r="C409" s="59" t="s">
        <v>3561</v>
      </c>
      <c r="D409" s="59" t="s">
        <v>3562</v>
      </c>
      <c r="E409" s="59" t="s">
        <v>3563</v>
      </c>
      <c r="F409" s="59" t="s">
        <v>2391</v>
      </c>
      <c r="I409" s="59" t="s">
        <v>702</v>
      </c>
    </row>
    <row r="410" spans="1:9" ht="11.25" customHeight="1">
      <c r="A410" s="59" t="s">
        <v>2162</v>
      </c>
      <c r="B410" s="59" t="s">
        <v>14</v>
      </c>
      <c r="C410" s="59" t="s">
        <v>3564</v>
      </c>
      <c r="D410" s="59" t="s">
        <v>3565</v>
      </c>
      <c r="E410" s="59" t="s">
        <v>3566</v>
      </c>
      <c r="F410" s="59" t="s">
        <v>3567</v>
      </c>
      <c r="I410" s="59" t="s">
        <v>702</v>
      </c>
    </row>
    <row r="411" spans="1:9" ht="11.25" customHeight="1">
      <c r="A411" s="59" t="s">
        <v>2162</v>
      </c>
      <c r="B411" s="59" t="s">
        <v>14</v>
      </c>
      <c r="C411" s="59" t="s">
        <v>3568</v>
      </c>
      <c r="D411" s="59" t="s">
        <v>3569</v>
      </c>
      <c r="E411" s="59" t="s">
        <v>3570</v>
      </c>
      <c r="F411" s="59" t="s">
        <v>3571</v>
      </c>
      <c r="I411" s="59" t="s">
        <v>702</v>
      </c>
    </row>
    <row r="412" spans="1:9" ht="11.25" customHeight="1">
      <c r="A412" s="59" t="s">
        <v>2162</v>
      </c>
      <c r="B412" s="59" t="s">
        <v>14</v>
      </c>
      <c r="C412" s="59" t="s">
        <v>3572</v>
      </c>
      <c r="D412" s="59" t="s">
        <v>3573</v>
      </c>
      <c r="E412" s="59" t="s">
        <v>3574</v>
      </c>
      <c r="F412" s="59" t="s">
        <v>2291</v>
      </c>
      <c r="G412" s="59" t="s">
        <v>3575</v>
      </c>
      <c r="I412" s="59" t="s">
        <v>702</v>
      </c>
    </row>
    <row r="413" spans="1:9" ht="11.25" customHeight="1">
      <c r="A413" s="59" t="s">
        <v>2162</v>
      </c>
      <c r="B413" s="59" t="s">
        <v>14</v>
      </c>
      <c r="C413" s="59" t="s">
        <v>3576</v>
      </c>
      <c r="D413" s="59" t="s">
        <v>3577</v>
      </c>
      <c r="E413" s="59" t="s">
        <v>3578</v>
      </c>
      <c r="F413" s="59" t="s">
        <v>2228</v>
      </c>
      <c r="I413" s="59" t="s">
        <v>702</v>
      </c>
    </row>
    <row r="414" spans="1:9" ht="11.25" customHeight="1">
      <c r="A414" s="59" t="s">
        <v>2162</v>
      </c>
      <c r="B414" s="59" t="s">
        <v>14</v>
      </c>
      <c r="C414" s="59" t="s">
        <v>3579</v>
      </c>
      <c r="D414" s="59" t="s">
        <v>3580</v>
      </c>
      <c r="E414" s="59" t="s">
        <v>3581</v>
      </c>
      <c r="F414" s="59" t="s">
        <v>3582</v>
      </c>
      <c r="I414" s="59" t="s">
        <v>702</v>
      </c>
    </row>
    <row r="415" spans="1:9" ht="11.25" customHeight="1">
      <c r="A415" s="59" t="s">
        <v>2162</v>
      </c>
      <c r="B415" s="59" t="s">
        <v>14</v>
      </c>
      <c r="C415" s="59" t="s">
        <v>3583</v>
      </c>
      <c r="D415" s="59" t="s">
        <v>3584</v>
      </c>
      <c r="E415" s="59" t="s">
        <v>3585</v>
      </c>
      <c r="F415" s="59" t="s">
        <v>2228</v>
      </c>
      <c r="H415" s="59" t="s">
        <v>3586</v>
      </c>
      <c r="I415" s="59" t="s">
        <v>702</v>
      </c>
    </row>
    <row r="416" spans="1:9" ht="11.25" customHeight="1">
      <c r="A416" s="59" t="s">
        <v>2162</v>
      </c>
      <c r="B416" s="59" t="s">
        <v>14</v>
      </c>
      <c r="C416" s="59" t="s">
        <v>3587</v>
      </c>
      <c r="D416" s="59" t="s">
        <v>3588</v>
      </c>
      <c r="E416" s="59" t="s">
        <v>3589</v>
      </c>
      <c r="F416" s="59" t="s">
        <v>2166</v>
      </c>
      <c r="G416" s="59" t="s">
        <v>2637</v>
      </c>
      <c r="I416" s="59" t="s">
        <v>702</v>
      </c>
    </row>
    <row r="417" spans="1:9" ht="11.25" customHeight="1">
      <c r="A417" s="59" t="s">
        <v>2162</v>
      </c>
      <c r="B417" s="59" t="s">
        <v>14</v>
      </c>
      <c r="C417" s="59" t="s">
        <v>3590</v>
      </c>
      <c r="D417" s="59" t="s">
        <v>3591</v>
      </c>
      <c r="E417" s="59" t="s">
        <v>3592</v>
      </c>
      <c r="F417" s="59" t="s">
        <v>2266</v>
      </c>
      <c r="I417" s="59" t="s">
        <v>702</v>
      </c>
    </row>
    <row r="418" spans="1:9" ht="11.25" customHeight="1">
      <c r="A418" s="59" t="s">
        <v>2162</v>
      </c>
      <c r="B418" s="59" t="s">
        <v>14</v>
      </c>
      <c r="C418" s="59" t="s">
        <v>3593</v>
      </c>
      <c r="D418" s="59" t="s">
        <v>3594</v>
      </c>
      <c r="E418" s="59" t="s">
        <v>3595</v>
      </c>
      <c r="F418" s="59" t="s">
        <v>2233</v>
      </c>
      <c r="G418" s="59" t="s">
        <v>2976</v>
      </c>
      <c r="I418" s="59" t="s">
        <v>702</v>
      </c>
    </row>
    <row r="419" spans="1:9" ht="11.25" customHeight="1">
      <c r="A419" s="59" t="s">
        <v>2162</v>
      </c>
      <c r="B419" s="59" t="s">
        <v>14</v>
      </c>
      <c r="C419" s="59" t="s">
        <v>3596</v>
      </c>
      <c r="D419" s="59" t="s">
        <v>3597</v>
      </c>
      <c r="E419" s="59" t="s">
        <v>3598</v>
      </c>
      <c r="F419" s="59" t="s">
        <v>2166</v>
      </c>
      <c r="G419" s="59" t="s">
        <v>3599</v>
      </c>
      <c r="I419" s="59" t="s">
        <v>702</v>
      </c>
    </row>
    <row r="420" spans="1:9" ht="11.25" customHeight="1">
      <c r="A420" s="59" t="s">
        <v>2162</v>
      </c>
      <c r="B420" s="59" t="s">
        <v>14</v>
      </c>
      <c r="C420" s="59" t="s">
        <v>3600</v>
      </c>
      <c r="D420" s="59" t="s">
        <v>3601</v>
      </c>
      <c r="E420" s="59" t="s">
        <v>3602</v>
      </c>
      <c r="F420" s="59" t="s">
        <v>3506</v>
      </c>
      <c r="I420" s="59" t="s">
        <v>702</v>
      </c>
    </row>
    <row r="421" spans="1:9" ht="11.25" customHeight="1">
      <c r="A421" s="59" t="s">
        <v>2162</v>
      </c>
      <c r="B421" s="59" t="s">
        <v>14</v>
      </c>
      <c r="C421" s="59" t="s">
        <v>3603</v>
      </c>
      <c r="D421" s="59" t="s">
        <v>3604</v>
      </c>
      <c r="E421" s="59" t="s">
        <v>3605</v>
      </c>
      <c r="F421" s="59" t="s">
        <v>2299</v>
      </c>
      <c r="G421" s="59" t="s">
        <v>3606</v>
      </c>
      <c r="I421" s="59" t="s">
        <v>702</v>
      </c>
    </row>
    <row r="422" spans="1:9" ht="11.25" customHeight="1">
      <c r="A422" s="59" t="s">
        <v>2162</v>
      </c>
      <c r="B422" s="59" t="s">
        <v>14</v>
      </c>
      <c r="C422" s="59" t="s">
        <v>3607</v>
      </c>
      <c r="D422" s="59" t="s">
        <v>3608</v>
      </c>
      <c r="E422" s="59" t="s">
        <v>3609</v>
      </c>
      <c r="F422" s="59" t="s">
        <v>2166</v>
      </c>
      <c r="I422" s="59" t="s">
        <v>702</v>
      </c>
    </row>
    <row r="423" spans="1:9" ht="11.25" customHeight="1">
      <c r="A423" s="59" t="s">
        <v>2162</v>
      </c>
      <c r="B423" s="59" t="s">
        <v>14</v>
      </c>
      <c r="C423" s="59" t="s">
        <v>3610</v>
      </c>
      <c r="D423" s="59" t="s">
        <v>3611</v>
      </c>
      <c r="E423" s="59" t="s">
        <v>3612</v>
      </c>
      <c r="F423" s="59" t="s">
        <v>2299</v>
      </c>
      <c r="G423" s="59" t="s">
        <v>3613</v>
      </c>
      <c r="I423" s="59" t="s">
        <v>702</v>
      </c>
    </row>
    <row r="424" spans="1:9" ht="11.25" customHeight="1">
      <c r="A424" s="59" t="s">
        <v>2162</v>
      </c>
      <c r="B424" s="59" t="s">
        <v>14</v>
      </c>
      <c r="C424" s="59" t="s">
        <v>3614</v>
      </c>
      <c r="D424" s="59" t="s">
        <v>3615</v>
      </c>
      <c r="E424" s="59" t="s">
        <v>3616</v>
      </c>
      <c r="F424" s="59" t="s">
        <v>3617</v>
      </c>
      <c r="I424" s="59" t="s">
        <v>702</v>
      </c>
    </row>
    <row r="425" spans="1:9" ht="11.25" customHeight="1">
      <c r="A425" s="59" t="s">
        <v>2162</v>
      </c>
      <c r="B425" s="59" t="s">
        <v>14</v>
      </c>
      <c r="C425" s="59" t="s">
        <v>3618</v>
      </c>
      <c r="D425" s="59" t="s">
        <v>3619</v>
      </c>
      <c r="E425" s="59" t="s">
        <v>3620</v>
      </c>
      <c r="F425" s="59" t="s">
        <v>2291</v>
      </c>
      <c r="I425" s="59" t="s">
        <v>702</v>
      </c>
    </row>
    <row r="426" spans="1:9" ht="11.25" customHeight="1">
      <c r="A426" s="59" t="s">
        <v>2162</v>
      </c>
      <c r="B426" s="59" t="s">
        <v>14</v>
      </c>
      <c r="C426" s="59" t="s">
        <v>3621</v>
      </c>
      <c r="D426" s="59" t="s">
        <v>3622</v>
      </c>
      <c r="E426" s="59" t="s">
        <v>3623</v>
      </c>
      <c r="F426" s="59" t="s">
        <v>2166</v>
      </c>
      <c r="I426" s="59" t="s">
        <v>702</v>
      </c>
    </row>
    <row r="427" spans="1:9" ht="11.25" customHeight="1">
      <c r="A427" s="59" t="s">
        <v>2162</v>
      </c>
      <c r="B427" s="59" t="s">
        <v>14</v>
      </c>
      <c r="C427" s="59" t="s">
        <v>3624</v>
      </c>
      <c r="D427" s="59" t="s">
        <v>3625</v>
      </c>
      <c r="E427" s="59" t="s">
        <v>3626</v>
      </c>
      <c r="F427" s="59" t="s">
        <v>2252</v>
      </c>
      <c r="H427" s="59" t="s">
        <v>3627</v>
      </c>
      <c r="I427" s="59" t="s">
        <v>702</v>
      </c>
    </row>
    <row r="428" spans="1:9" ht="11.25" customHeight="1">
      <c r="A428" s="59" t="s">
        <v>2162</v>
      </c>
      <c r="B428" s="59" t="s">
        <v>14</v>
      </c>
      <c r="C428" s="59" t="s">
        <v>3628</v>
      </c>
      <c r="D428" s="59" t="s">
        <v>3629</v>
      </c>
      <c r="E428" s="59" t="s">
        <v>3630</v>
      </c>
      <c r="F428" s="59" t="s">
        <v>2233</v>
      </c>
      <c r="I428" s="59" t="s">
        <v>702</v>
      </c>
    </row>
    <row r="429" spans="1:9" ht="11.25" customHeight="1">
      <c r="A429" s="59" t="s">
        <v>2162</v>
      </c>
      <c r="B429" s="59" t="s">
        <v>14</v>
      </c>
      <c r="C429" s="59" t="s">
        <v>3631</v>
      </c>
      <c r="D429" s="59" t="s">
        <v>3632</v>
      </c>
      <c r="E429" s="59" t="s">
        <v>3633</v>
      </c>
      <c r="F429" s="59" t="s">
        <v>2243</v>
      </c>
      <c r="G429" s="59" t="s">
        <v>3634</v>
      </c>
      <c r="I429" s="59" t="s">
        <v>702</v>
      </c>
    </row>
    <row r="430" spans="1:9" ht="11.25" customHeight="1">
      <c r="A430" s="59" t="s">
        <v>2162</v>
      </c>
      <c r="B430" s="59" t="s">
        <v>14</v>
      </c>
      <c r="C430" s="59" t="s">
        <v>3635</v>
      </c>
      <c r="D430" s="59" t="s">
        <v>3636</v>
      </c>
      <c r="E430" s="59" t="s">
        <v>3637</v>
      </c>
      <c r="F430" s="59" t="s">
        <v>2592</v>
      </c>
      <c r="I430" s="59" t="s">
        <v>702</v>
      </c>
    </row>
    <row r="431" spans="1:9" ht="11.25" customHeight="1">
      <c r="A431" s="59" t="s">
        <v>2162</v>
      </c>
      <c r="B431" s="59" t="s">
        <v>14</v>
      </c>
      <c r="C431" s="59" t="s">
        <v>3638</v>
      </c>
      <c r="D431" s="59" t="s">
        <v>3639</v>
      </c>
      <c r="E431" s="59" t="s">
        <v>3640</v>
      </c>
      <c r="F431" s="59" t="s">
        <v>2391</v>
      </c>
      <c r="I431" s="59" t="s">
        <v>702</v>
      </c>
    </row>
    <row r="432" spans="1:9" ht="11.25" customHeight="1">
      <c r="A432" s="59" t="s">
        <v>2162</v>
      </c>
      <c r="B432" s="59" t="s">
        <v>14</v>
      </c>
      <c r="C432" s="59" t="s">
        <v>3641</v>
      </c>
      <c r="D432" s="59" t="s">
        <v>3642</v>
      </c>
      <c r="E432" s="59" t="s">
        <v>3643</v>
      </c>
      <c r="F432" s="59" t="s">
        <v>2391</v>
      </c>
      <c r="I432" s="59" t="s">
        <v>702</v>
      </c>
    </row>
    <row r="433" spans="1:9" ht="11.25" customHeight="1">
      <c r="A433" s="59" t="s">
        <v>2162</v>
      </c>
      <c r="B433" s="59" t="s">
        <v>14</v>
      </c>
      <c r="C433" s="59" t="s">
        <v>3644</v>
      </c>
      <c r="D433" s="59" t="s">
        <v>3645</v>
      </c>
      <c r="E433" s="59" t="s">
        <v>3646</v>
      </c>
      <c r="F433" s="59" t="s">
        <v>2233</v>
      </c>
      <c r="I433" s="59" t="s">
        <v>702</v>
      </c>
    </row>
    <row r="434" spans="1:9" ht="11.25" customHeight="1">
      <c r="A434" s="59" t="s">
        <v>2162</v>
      </c>
      <c r="B434" s="59" t="s">
        <v>14</v>
      </c>
      <c r="C434" s="59" t="s">
        <v>3647</v>
      </c>
      <c r="D434" s="59" t="s">
        <v>3648</v>
      </c>
      <c r="E434" s="59" t="s">
        <v>3649</v>
      </c>
      <c r="F434" s="59" t="s">
        <v>2291</v>
      </c>
      <c r="I434" s="59" t="s">
        <v>702</v>
      </c>
    </row>
    <row r="435" spans="1:9" ht="11.25" customHeight="1">
      <c r="A435" s="59" t="s">
        <v>2162</v>
      </c>
      <c r="B435" s="59" t="s">
        <v>14</v>
      </c>
      <c r="C435" s="59" t="s">
        <v>3650</v>
      </c>
      <c r="D435" s="59" t="s">
        <v>3651</v>
      </c>
      <c r="E435" s="59" t="s">
        <v>3652</v>
      </c>
      <c r="F435" s="59" t="s">
        <v>2273</v>
      </c>
      <c r="I435" s="59" t="s">
        <v>702</v>
      </c>
    </row>
    <row r="436" spans="1:9" ht="11.25" customHeight="1">
      <c r="A436" s="59" t="s">
        <v>2162</v>
      </c>
      <c r="B436" s="59" t="s">
        <v>14</v>
      </c>
      <c r="C436" s="59" t="s">
        <v>3653</v>
      </c>
      <c r="D436" s="59" t="s">
        <v>3654</v>
      </c>
      <c r="E436" s="59" t="s">
        <v>3655</v>
      </c>
      <c r="F436" s="59" t="s">
        <v>2291</v>
      </c>
      <c r="G436" s="59" t="s">
        <v>3656</v>
      </c>
      <c r="I436" s="59" t="s">
        <v>702</v>
      </c>
    </row>
    <row r="437" spans="1:9" ht="11.25" customHeight="1">
      <c r="A437" s="59" t="s">
        <v>2162</v>
      </c>
      <c r="B437" s="59" t="s">
        <v>14</v>
      </c>
      <c r="C437" s="59" t="s">
        <v>3657</v>
      </c>
      <c r="D437" s="59" t="s">
        <v>3658</v>
      </c>
      <c r="E437" s="59" t="s">
        <v>3659</v>
      </c>
      <c r="F437" s="59" t="s">
        <v>2233</v>
      </c>
      <c r="G437" s="59" t="s">
        <v>3660</v>
      </c>
      <c r="I437" s="59" t="s">
        <v>702</v>
      </c>
    </row>
    <row r="438" spans="1:9" ht="11.25" customHeight="1">
      <c r="A438" s="59" t="s">
        <v>2162</v>
      </c>
      <c r="B438" s="59" t="s">
        <v>14</v>
      </c>
      <c r="C438" s="59" t="s">
        <v>3661</v>
      </c>
      <c r="D438" s="59" t="s">
        <v>3662</v>
      </c>
      <c r="E438" s="59" t="s">
        <v>3663</v>
      </c>
      <c r="F438" s="59" t="s">
        <v>2266</v>
      </c>
      <c r="G438" s="59" t="s">
        <v>3664</v>
      </c>
      <c r="I438" s="59" t="s">
        <v>702</v>
      </c>
    </row>
    <row r="439" spans="1:9" ht="11.25" customHeight="1">
      <c r="A439" s="59" t="s">
        <v>2162</v>
      </c>
      <c r="B439" s="59" t="s">
        <v>14</v>
      </c>
      <c r="C439" s="59" t="s">
        <v>3665</v>
      </c>
      <c r="D439" s="59" t="s">
        <v>3666</v>
      </c>
      <c r="E439" s="59" t="s">
        <v>3667</v>
      </c>
      <c r="F439" s="59" t="s">
        <v>2248</v>
      </c>
      <c r="I439" s="59" t="s">
        <v>702</v>
      </c>
    </row>
    <row r="440" spans="1:9" ht="11.25" customHeight="1">
      <c r="A440" s="59" t="s">
        <v>2162</v>
      </c>
      <c r="B440" s="59" t="s">
        <v>14</v>
      </c>
      <c r="C440" s="59" t="s">
        <v>3668</v>
      </c>
      <c r="D440" s="59" t="s">
        <v>3669</v>
      </c>
      <c r="E440" s="59" t="s">
        <v>3670</v>
      </c>
      <c r="F440" s="59" t="s">
        <v>3671</v>
      </c>
      <c r="I440" s="59" t="s">
        <v>702</v>
      </c>
    </row>
    <row r="441" spans="1:9" ht="11.25" customHeight="1">
      <c r="A441" s="59" t="s">
        <v>2162</v>
      </c>
      <c r="B441" s="59" t="s">
        <v>14</v>
      </c>
      <c r="C441" s="59" t="s">
        <v>3672</v>
      </c>
      <c r="D441" s="59" t="s">
        <v>3673</v>
      </c>
      <c r="E441" s="59" t="s">
        <v>3674</v>
      </c>
      <c r="F441" s="59" t="s">
        <v>2486</v>
      </c>
      <c r="G441" s="59" t="s">
        <v>3675</v>
      </c>
      <c r="I441" s="59" t="s">
        <v>702</v>
      </c>
    </row>
    <row r="442" spans="1:9" ht="11.25" customHeight="1">
      <c r="A442" s="59" t="s">
        <v>2162</v>
      </c>
      <c r="B442" s="59" t="s">
        <v>14</v>
      </c>
      <c r="C442" s="59" t="s">
        <v>3676</v>
      </c>
      <c r="D442" s="59" t="s">
        <v>3677</v>
      </c>
      <c r="E442" s="59" t="s">
        <v>3678</v>
      </c>
      <c r="F442" s="59" t="s">
        <v>2248</v>
      </c>
      <c r="I442" s="59" t="s">
        <v>702</v>
      </c>
    </row>
    <row r="443" spans="1:9" ht="11.25" customHeight="1">
      <c r="A443" s="59" t="s">
        <v>2162</v>
      </c>
      <c r="B443" s="59" t="s">
        <v>14</v>
      </c>
      <c r="C443" s="59" t="s">
        <v>3679</v>
      </c>
      <c r="D443" s="59" t="s">
        <v>3680</v>
      </c>
      <c r="E443" s="59" t="s">
        <v>3681</v>
      </c>
      <c r="F443" s="59" t="s">
        <v>2486</v>
      </c>
      <c r="I443" s="59" t="s">
        <v>702</v>
      </c>
    </row>
    <row r="444" spans="1:9" ht="11.25" customHeight="1">
      <c r="A444" s="59" t="s">
        <v>2162</v>
      </c>
      <c r="B444" s="59" t="s">
        <v>14</v>
      </c>
      <c r="C444" s="59" t="s">
        <v>3682</v>
      </c>
      <c r="D444" s="59" t="s">
        <v>3683</v>
      </c>
      <c r="E444" s="59" t="s">
        <v>3684</v>
      </c>
      <c r="F444" s="59" t="s">
        <v>2391</v>
      </c>
      <c r="I444" s="59" t="s">
        <v>702</v>
      </c>
    </row>
    <row r="445" spans="1:9" ht="11.25" customHeight="1">
      <c r="A445" s="59" t="s">
        <v>2162</v>
      </c>
      <c r="B445" s="59" t="s">
        <v>14</v>
      </c>
      <c r="C445" s="59" t="s">
        <v>3685</v>
      </c>
      <c r="D445" s="59" t="s">
        <v>3686</v>
      </c>
      <c r="E445" s="59" t="s">
        <v>3687</v>
      </c>
      <c r="F445" s="59" t="s">
        <v>2233</v>
      </c>
      <c r="I445" s="59" t="s">
        <v>702</v>
      </c>
    </row>
    <row r="446" spans="1:9" ht="11.25" customHeight="1">
      <c r="A446" s="59" t="s">
        <v>2162</v>
      </c>
      <c r="B446" s="59" t="s">
        <v>14</v>
      </c>
      <c r="C446" s="59" t="s">
        <v>3688</v>
      </c>
      <c r="D446" s="59" t="s">
        <v>3689</v>
      </c>
      <c r="E446" s="59" t="s">
        <v>3690</v>
      </c>
      <c r="F446" s="59" t="s">
        <v>2750</v>
      </c>
      <c r="I446" s="59" t="s">
        <v>702</v>
      </c>
    </row>
    <row r="447" spans="1:9" ht="11.25" customHeight="1">
      <c r="A447" s="59" t="s">
        <v>2162</v>
      </c>
      <c r="B447" s="59" t="s">
        <v>14</v>
      </c>
      <c r="C447" s="59" t="s">
        <v>3691</v>
      </c>
      <c r="D447" s="59" t="s">
        <v>3692</v>
      </c>
      <c r="E447" s="59" t="s">
        <v>3693</v>
      </c>
      <c r="F447" s="59" t="s">
        <v>2233</v>
      </c>
      <c r="I447" s="59" t="s">
        <v>702</v>
      </c>
    </row>
    <row r="448" spans="1:9" ht="11.25" customHeight="1">
      <c r="A448" s="59" t="s">
        <v>2162</v>
      </c>
      <c r="B448" s="59" t="s">
        <v>14</v>
      </c>
      <c r="C448" s="59" t="s">
        <v>3694</v>
      </c>
      <c r="D448" s="59" t="s">
        <v>3695</v>
      </c>
      <c r="E448" s="59" t="s">
        <v>3696</v>
      </c>
      <c r="F448" s="59" t="s">
        <v>3697</v>
      </c>
      <c r="I448" s="59" t="s">
        <v>702</v>
      </c>
    </row>
    <row r="449" spans="1:9" ht="11.25" customHeight="1">
      <c r="A449" s="59" t="s">
        <v>2162</v>
      </c>
      <c r="B449" s="59" t="s">
        <v>14</v>
      </c>
      <c r="C449" s="59" t="s">
        <v>3698</v>
      </c>
      <c r="D449" s="59" t="s">
        <v>3699</v>
      </c>
      <c r="E449" s="59" t="s">
        <v>3700</v>
      </c>
      <c r="F449" s="59" t="s">
        <v>2299</v>
      </c>
      <c r="I449" s="59" t="s">
        <v>702</v>
      </c>
    </row>
    <row r="450" spans="1:9" ht="11.25" customHeight="1">
      <c r="A450" s="59" t="s">
        <v>2162</v>
      </c>
      <c r="B450" s="59" t="s">
        <v>14</v>
      </c>
      <c r="C450" s="59" t="s">
        <v>3701</v>
      </c>
      <c r="D450" s="59" t="s">
        <v>3702</v>
      </c>
      <c r="E450" s="59" t="s">
        <v>3703</v>
      </c>
      <c r="F450" s="59" t="s">
        <v>2202</v>
      </c>
      <c r="I450" s="59" t="s">
        <v>702</v>
      </c>
    </row>
    <row r="451" spans="1:9" ht="11.25" customHeight="1">
      <c r="A451" s="59" t="s">
        <v>2162</v>
      </c>
      <c r="B451" s="59" t="s">
        <v>14</v>
      </c>
      <c r="C451" s="59" t="s">
        <v>3704</v>
      </c>
      <c r="D451" s="59" t="s">
        <v>3705</v>
      </c>
      <c r="E451" s="59" t="s">
        <v>3706</v>
      </c>
      <c r="F451" s="59" t="s">
        <v>3582</v>
      </c>
      <c r="G451" s="59" t="s">
        <v>3707</v>
      </c>
      <c r="H451" s="59" t="s">
        <v>3708</v>
      </c>
      <c r="I451" s="59" t="s">
        <v>702</v>
      </c>
    </row>
    <row r="452" spans="1:9" ht="11.25" customHeight="1">
      <c r="A452" s="59" t="s">
        <v>2162</v>
      </c>
      <c r="B452" s="59" t="s">
        <v>14</v>
      </c>
      <c r="C452" s="59" t="s">
        <v>3709</v>
      </c>
      <c r="D452" s="59" t="s">
        <v>3710</v>
      </c>
      <c r="E452" s="59" t="s">
        <v>3711</v>
      </c>
      <c r="F452" s="59" t="s">
        <v>2202</v>
      </c>
      <c r="G452" s="59" t="s">
        <v>3712</v>
      </c>
      <c r="I452" s="59" t="s">
        <v>702</v>
      </c>
    </row>
    <row r="453" spans="1:9" ht="11.25" customHeight="1">
      <c r="A453" s="59" t="s">
        <v>2162</v>
      </c>
      <c r="B453" s="59" t="s">
        <v>14</v>
      </c>
      <c r="C453" s="59" t="s">
        <v>3713</v>
      </c>
      <c r="D453" s="59" t="s">
        <v>3714</v>
      </c>
      <c r="E453" s="59" t="s">
        <v>3715</v>
      </c>
      <c r="F453" s="59" t="s">
        <v>2243</v>
      </c>
      <c r="I453" s="59" t="s">
        <v>702</v>
      </c>
    </row>
    <row r="454" spans="1:9" ht="11.25" customHeight="1">
      <c r="A454" s="59" t="s">
        <v>2162</v>
      </c>
      <c r="B454" s="59" t="s">
        <v>14</v>
      </c>
      <c r="C454" s="59" t="s">
        <v>3716</v>
      </c>
      <c r="D454" s="59" t="s">
        <v>3717</v>
      </c>
      <c r="E454" s="59" t="s">
        <v>3718</v>
      </c>
      <c r="F454" s="59" t="s">
        <v>2299</v>
      </c>
      <c r="I454" s="59" t="s">
        <v>702</v>
      </c>
    </row>
    <row r="455" spans="1:9" ht="11.25" customHeight="1">
      <c r="A455" s="59" t="s">
        <v>2162</v>
      </c>
      <c r="B455" s="59" t="s">
        <v>14</v>
      </c>
      <c r="C455" s="59" t="s">
        <v>3719</v>
      </c>
      <c r="D455" s="59" t="s">
        <v>3720</v>
      </c>
      <c r="E455" s="59" t="s">
        <v>3721</v>
      </c>
      <c r="F455" s="59" t="s">
        <v>2299</v>
      </c>
      <c r="G455" s="59" t="s">
        <v>3722</v>
      </c>
      <c r="I455" s="59" t="s">
        <v>702</v>
      </c>
    </row>
    <row r="456" spans="1:9" ht="11.25" customHeight="1">
      <c r="A456" s="59" t="s">
        <v>2162</v>
      </c>
      <c r="B456" s="59" t="s">
        <v>14</v>
      </c>
      <c r="C456" s="59" t="s">
        <v>3723</v>
      </c>
      <c r="D456" s="59" t="s">
        <v>3724</v>
      </c>
      <c r="E456" s="59" t="s">
        <v>3725</v>
      </c>
      <c r="F456" s="59" t="s">
        <v>2299</v>
      </c>
      <c r="I456" s="59" t="s">
        <v>702</v>
      </c>
    </row>
    <row r="457" spans="1:9" ht="11.25" customHeight="1">
      <c r="A457" s="59" t="s">
        <v>2162</v>
      </c>
      <c r="B457" s="59" t="s">
        <v>14</v>
      </c>
      <c r="C457" s="59" t="s">
        <v>3726</v>
      </c>
      <c r="D457" s="59" t="s">
        <v>3727</v>
      </c>
      <c r="E457" s="59" t="s">
        <v>3728</v>
      </c>
      <c r="F457" s="59" t="s">
        <v>2228</v>
      </c>
      <c r="I457" s="59" t="s">
        <v>702</v>
      </c>
    </row>
    <row r="458" spans="1:9" ht="11.25" customHeight="1">
      <c r="A458" s="59" t="s">
        <v>2162</v>
      </c>
      <c r="B458" s="59" t="s">
        <v>14</v>
      </c>
      <c r="C458" s="59" t="s">
        <v>3729</v>
      </c>
      <c r="D458" s="59" t="s">
        <v>3730</v>
      </c>
      <c r="E458" s="59" t="s">
        <v>3731</v>
      </c>
      <c r="F458" s="59" t="s">
        <v>2248</v>
      </c>
      <c r="I458" s="59" t="s">
        <v>702</v>
      </c>
    </row>
    <row r="459" spans="1:9" ht="11.25" customHeight="1">
      <c r="A459" s="59" t="s">
        <v>2162</v>
      </c>
      <c r="B459" s="59" t="s">
        <v>14</v>
      </c>
      <c r="C459" s="59" t="s">
        <v>3732</v>
      </c>
      <c r="D459" s="59" t="s">
        <v>3733</v>
      </c>
      <c r="E459" s="59" t="s">
        <v>3734</v>
      </c>
      <c r="F459" s="59" t="s">
        <v>2677</v>
      </c>
      <c r="G459" s="59" t="s">
        <v>3735</v>
      </c>
      <c r="I459" s="59" t="s">
        <v>702</v>
      </c>
    </row>
    <row r="460" spans="1:9" ht="11.25" customHeight="1">
      <c r="A460" s="59" t="s">
        <v>2162</v>
      </c>
      <c r="B460" s="59" t="s">
        <v>14</v>
      </c>
      <c r="C460" s="59" t="s">
        <v>3736</v>
      </c>
      <c r="D460" s="59" t="s">
        <v>3737</v>
      </c>
      <c r="E460" s="59" t="s">
        <v>3738</v>
      </c>
      <c r="F460" s="59" t="s">
        <v>2291</v>
      </c>
      <c r="I460" s="59" t="s">
        <v>702</v>
      </c>
    </row>
    <row r="461" spans="1:9" ht="11.25" customHeight="1">
      <c r="A461" s="59" t="s">
        <v>2162</v>
      </c>
      <c r="B461" s="59" t="s">
        <v>14</v>
      </c>
      <c r="C461" s="59" t="s">
        <v>3739</v>
      </c>
      <c r="D461" s="59" t="s">
        <v>3740</v>
      </c>
      <c r="E461" s="59" t="s">
        <v>3741</v>
      </c>
      <c r="F461" s="59" t="s">
        <v>2261</v>
      </c>
      <c r="G461" s="59" t="s">
        <v>2862</v>
      </c>
      <c r="I461" s="59" t="s">
        <v>702</v>
      </c>
    </row>
    <row r="462" spans="1:9" ht="11.25" customHeight="1">
      <c r="A462" s="59" t="s">
        <v>2162</v>
      </c>
      <c r="B462" s="59" t="s">
        <v>14</v>
      </c>
      <c r="C462" s="59" t="s">
        <v>3742</v>
      </c>
      <c r="D462" s="59" t="s">
        <v>3743</v>
      </c>
      <c r="E462" s="59" t="s">
        <v>3744</v>
      </c>
      <c r="F462" s="59" t="s">
        <v>3154</v>
      </c>
      <c r="G462" s="59" t="s">
        <v>3745</v>
      </c>
      <c r="I462" s="59" t="s">
        <v>702</v>
      </c>
    </row>
    <row r="463" spans="1:9" ht="11.25" customHeight="1">
      <c r="A463" s="59" t="s">
        <v>2162</v>
      </c>
      <c r="B463" s="59" t="s">
        <v>14</v>
      </c>
      <c r="C463" s="59" t="s">
        <v>3746</v>
      </c>
      <c r="D463" s="59" t="s">
        <v>3747</v>
      </c>
      <c r="E463" s="59" t="s">
        <v>3748</v>
      </c>
      <c r="F463" s="59" t="s">
        <v>2478</v>
      </c>
      <c r="G463" s="59" t="s">
        <v>3749</v>
      </c>
      <c r="I463" s="59" t="s">
        <v>702</v>
      </c>
    </row>
    <row r="464" spans="1:9" ht="11.25" customHeight="1">
      <c r="A464" s="59" t="s">
        <v>2162</v>
      </c>
      <c r="B464" s="59" t="s">
        <v>14</v>
      </c>
      <c r="C464" s="59" t="s">
        <v>3750</v>
      </c>
      <c r="D464" s="59" t="s">
        <v>3751</v>
      </c>
      <c r="E464" s="59" t="s">
        <v>3752</v>
      </c>
      <c r="F464" s="59" t="s">
        <v>2233</v>
      </c>
      <c r="G464" s="59" t="s">
        <v>3753</v>
      </c>
      <c r="I464" s="59" t="s">
        <v>702</v>
      </c>
    </row>
    <row r="465" spans="1:9" ht="11.25" customHeight="1">
      <c r="A465" s="59" t="s">
        <v>2162</v>
      </c>
      <c r="B465" s="59" t="s">
        <v>14</v>
      </c>
      <c r="C465" s="59" t="s">
        <v>3754</v>
      </c>
      <c r="D465" s="59" t="s">
        <v>3755</v>
      </c>
      <c r="E465" s="59" t="s">
        <v>3756</v>
      </c>
      <c r="F465" s="59" t="s">
        <v>2299</v>
      </c>
      <c r="G465" s="59" t="s">
        <v>3757</v>
      </c>
      <c r="I465" s="59" t="s">
        <v>702</v>
      </c>
    </row>
    <row r="466" spans="1:9" ht="11.25" customHeight="1">
      <c r="A466" s="59" t="s">
        <v>2162</v>
      </c>
      <c r="B466" s="59" t="s">
        <v>14</v>
      </c>
      <c r="C466" s="59" t="s">
        <v>3758</v>
      </c>
      <c r="D466" s="59" t="s">
        <v>3759</v>
      </c>
      <c r="E466" s="59" t="s">
        <v>3760</v>
      </c>
      <c r="F466" s="59" t="s">
        <v>2210</v>
      </c>
      <c r="I466" s="59" t="s">
        <v>702</v>
      </c>
    </row>
    <row r="467" spans="1:9" ht="11.25" customHeight="1">
      <c r="A467" s="59" t="s">
        <v>2162</v>
      </c>
      <c r="B467" s="59" t="s">
        <v>14</v>
      </c>
      <c r="C467" s="59" t="s">
        <v>3761</v>
      </c>
      <c r="D467" s="59" t="s">
        <v>3762</v>
      </c>
      <c r="E467" s="59" t="s">
        <v>3763</v>
      </c>
      <c r="F467" s="59" t="s">
        <v>2233</v>
      </c>
      <c r="G467" s="59" t="s">
        <v>3764</v>
      </c>
      <c r="I467" s="59" t="s">
        <v>702</v>
      </c>
    </row>
    <row r="468" spans="1:9" ht="11.25" customHeight="1">
      <c r="A468" s="59" t="s">
        <v>2162</v>
      </c>
      <c r="B468" s="59" t="s">
        <v>14</v>
      </c>
      <c r="C468" s="59" t="s">
        <v>3765</v>
      </c>
      <c r="D468" s="59" t="s">
        <v>3766</v>
      </c>
      <c r="E468" s="59" t="s">
        <v>3767</v>
      </c>
      <c r="F468" s="59" t="s">
        <v>2632</v>
      </c>
      <c r="I468" s="59" t="s">
        <v>702</v>
      </c>
    </row>
    <row r="469" spans="1:9" ht="11.25" customHeight="1">
      <c r="A469" s="59" t="s">
        <v>2162</v>
      </c>
      <c r="B469" s="59" t="s">
        <v>14</v>
      </c>
      <c r="C469" s="59" t="s">
        <v>3768</v>
      </c>
      <c r="D469" s="59" t="s">
        <v>3769</v>
      </c>
      <c r="E469" s="59" t="s">
        <v>3770</v>
      </c>
      <c r="F469" s="59" t="s">
        <v>2808</v>
      </c>
      <c r="I469" s="59" t="s">
        <v>702</v>
      </c>
    </row>
    <row r="470" spans="1:9" ht="11.25" customHeight="1">
      <c r="A470" s="59" t="s">
        <v>2162</v>
      </c>
      <c r="B470" s="59" t="s">
        <v>14</v>
      </c>
      <c r="C470" s="59" t="s">
        <v>3771</v>
      </c>
      <c r="D470" s="59" t="s">
        <v>3772</v>
      </c>
      <c r="E470" s="59" t="s">
        <v>3773</v>
      </c>
      <c r="F470" s="59" t="s">
        <v>2233</v>
      </c>
      <c r="I470" s="59" t="s">
        <v>702</v>
      </c>
    </row>
    <row r="471" spans="1:9" ht="11.25" customHeight="1">
      <c r="A471" s="59" t="s">
        <v>2162</v>
      </c>
      <c r="B471" s="59" t="s">
        <v>14</v>
      </c>
      <c r="C471" s="59" t="s">
        <v>3774</v>
      </c>
      <c r="D471" s="59" t="s">
        <v>3775</v>
      </c>
      <c r="E471" s="59" t="s">
        <v>3776</v>
      </c>
      <c r="F471" s="59" t="s">
        <v>2291</v>
      </c>
      <c r="I471" s="59" t="s">
        <v>702</v>
      </c>
    </row>
    <row r="472" spans="1:9" ht="11.25" customHeight="1">
      <c r="A472" s="59" t="s">
        <v>2162</v>
      </c>
      <c r="B472" s="59" t="s">
        <v>14</v>
      </c>
      <c r="C472" s="59" t="s">
        <v>3777</v>
      </c>
      <c r="D472" s="59" t="s">
        <v>3778</v>
      </c>
      <c r="E472" s="59" t="s">
        <v>3779</v>
      </c>
      <c r="F472" s="59" t="s">
        <v>2391</v>
      </c>
      <c r="I472" s="59" t="s">
        <v>702</v>
      </c>
    </row>
    <row r="473" spans="1:9" ht="11.25" customHeight="1">
      <c r="A473" s="59" t="s">
        <v>2162</v>
      </c>
      <c r="B473" s="59" t="s">
        <v>14</v>
      </c>
      <c r="C473" s="59" t="s">
        <v>3780</v>
      </c>
      <c r="D473" s="59" t="s">
        <v>3781</v>
      </c>
      <c r="E473" s="59" t="s">
        <v>3782</v>
      </c>
      <c r="F473" s="59" t="s">
        <v>2202</v>
      </c>
      <c r="G473" s="59" t="s">
        <v>3783</v>
      </c>
      <c r="I473" s="59" t="s">
        <v>702</v>
      </c>
    </row>
    <row r="474" spans="1:9" ht="11.25" customHeight="1">
      <c r="A474" s="59" t="s">
        <v>2162</v>
      </c>
      <c r="B474" s="59" t="s">
        <v>14</v>
      </c>
      <c r="C474" s="59" t="s">
        <v>3784</v>
      </c>
      <c r="D474" s="59" t="s">
        <v>3785</v>
      </c>
      <c r="E474" s="59" t="s">
        <v>3786</v>
      </c>
      <c r="F474" s="59" t="s">
        <v>2486</v>
      </c>
      <c r="G474" s="59" t="s">
        <v>3787</v>
      </c>
      <c r="I474" s="59" t="s">
        <v>702</v>
      </c>
    </row>
    <row r="475" spans="1:9" ht="11.25" customHeight="1">
      <c r="A475" s="59" t="s">
        <v>2162</v>
      </c>
      <c r="B475" s="59" t="s">
        <v>14</v>
      </c>
      <c r="C475" s="59" t="s">
        <v>3788</v>
      </c>
      <c r="D475" s="59" t="s">
        <v>3789</v>
      </c>
      <c r="E475" s="59" t="s">
        <v>3790</v>
      </c>
      <c r="F475" s="59" t="s">
        <v>2210</v>
      </c>
      <c r="H475" s="59" t="s">
        <v>3791</v>
      </c>
      <c r="I475" s="59" t="s">
        <v>702</v>
      </c>
    </row>
    <row r="476" spans="1:9" ht="11.25" customHeight="1">
      <c r="A476" s="59" t="s">
        <v>2162</v>
      </c>
      <c r="B476" s="59" t="s">
        <v>14</v>
      </c>
      <c r="C476" s="59" t="s">
        <v>3792</v>
      </c>
      <c r="D476" s="59" t="s">
        <v>3793</v>
      </c>
      <c r="E476" s="59" t="s">
        <v>3794</v>
      </c>
      <c r="F476" s="59" t="s">
        <v>2478</v>
      </c>
      <c r="I476" s="59" t="s">
        <v>702</v>
      </c>
    </row>
    <row r="477" spans="1:9" ht="11.25" customHeight="1">
      <c r="A477" s="59" t="s">
        <v>2162</v>
      </c>
      <c r="B477" s="59" t="s">
        <v>14</v>
      </c>
      <c r="C477" s="59" t="s">
        <v>3795</v>
      </c>
      <c r="D477" s="59" t="s">
        <v>3796</v>
      </c>
      <c r="E477" s="59" t="s">
        <v>3797</v>
      </c>
      <c r="F477" s="59" t="s">
        <v>2291</v>
      </c>
      <c r="G477" s="59" t="s">
        <v>3798</v>
      </c>
      <c r="I477" s="59" t="s">
        <v>702</v>
      </c>
    </row>
    <row r="478" spans="1:9" ht="11.25" customHeight="1">
      <c r="A478" s="59" t="s">
        <v>2162</v>
      </c>
      <c r="B478" s="59" t="s">
        <v>14</v>
      </c>
      <c r="C478" s="59" t="s">
        <v>3799</v>
      </c>
      <c r="D478" s="59" t="s">
        <v>3800</v>
      </c>
      <c r="E478" s="59" t="s">
        <v>3801</v>
      </c>
      <c r="F478" s="59" t="s">
        <v>2233</v>
      </c>
      <c r="G478" s="59" t="s">
        <v>3802</v>
      </c>
      <c r="I478" s="59" t="s">
        <v>702</v>
      </c>
    </row>
    <row r="479" spans="1:9" ht="11.25" customHeight="1">
      <c r="A479" s="59" t="s">
        <v>2162</v>
      </c>
      <c r="B479" s="59" t="s">
        <v>14</v>
      </c>
      <c r="C479" s="59" t="s">
        <v>3803</v>
      </c>
      <c r="D479" s="59" t="s">
        <v>3804</v>
      </c>
      <c r="E479" s="59" t="s">
        <v>3805</v>
      </c>
      <c r="F479" s="59" t="s">
        <v>3086</v>
      </c>
      <c r="G479" s="59" t="s">
        <v>3806</v>
      </c>
      <c r="I479" s="59" t="s">
        <v>702</v>
      </c>
    </row>
    <row r="480" spans="1:9" ht="11.25" customHeight="1">
      <c r="A480" s="59" t="s">
        <v>2162</v>
      </c>
      <c r="B480" s="59" t="s">
        <v>14</v>
      </c>
      <c r="C480" s="59" t="s">
        <v>3807</v>
      </c>
      <c r="D480" s="59" t="s">
        <v>3808</v>
      </c>
      <c r="E480" s="59" t="s">
        <v>3809</v>
      </c>
      <c r="F480" s="59" t="s">
        <v>2592</v>
      </c>
      <c r="I480" s="59" t="s">
        <v>702</v>
      </c>
    </row>
    <row r="481" spans="1:9" ht="11.25" customHeight="1">
      <c r="A481" s="59" t="s">
        <v>2162</v>
      </c>
      <c r="B481" s="59" t="s">
        <v>14</v>
      </c>
      <c r="C481" s="59" t="s">
        <v>3810</v>
      </c>
      <c r="D481" s="59" t="s">
        <v>3811</v>
      </c>
      <c r="E481" s="59" t="s">
        <v>3812</v>
      </c>
      <c r="F481" s="59" t="s">
        <v>2210</v>
      </c>
      <c r="I481" s="59" t="s">
        <v>702</v>
      </c>
    </row>
    <row r="482" spans="1:9" ht="11.25" customHeight="1">
      <c r="A482" s="59" t="s">
        <v>2162</v>
      </c>
      <c r="B482" s="59" t="s">
        <v>14</v>
      </c>
      <c r="C482" s="59" t="s">
        <v>3813</v>
      </c>
      <c r="D482" s="59" t="s">
        <v>3814</v>
      </c>
      <c r="E482" s="59" t="s">
        <v>3815</v>
      </c>
      <c r="F482" s="59" t="s">
        <v>2592</v>
      </c>
      <c r="I482" s="59" t="s">
        <v>702</v>
      </c>
    </row>
    <row r="483" spans="1:9" ht="11.25" customHeight="1">
      <c r="A483" s="59" t="s">
        <v>2162</v>
      </c>
      <c r="B483" s="59" t="s">
        <v>14</v>
      </c>
      <c r="C483" s="59" t="s">
        <v>3816</v>
      </c>
      <c r="D483" s="59" t="s">
        <v>3817</v>
      </c>
      <c r="E483" s="59" t="s">
        <v>3818</v>
      </c>
      <c r="F483" s="59" t="s">
        <v>2812</v>
      </c>
      <c r="I483" s="59" t="s">
        <v>702</v>
      </c>
    </row>
    <row r="484" spans="1:9" ht="11.25" customHeight="1">
      <c r="A484" s="59" t="s">
        <v>2162</v>
      </c>
      <c r="B484" s="59" t="s">
        <v>14</v>
      </c>
      <c r="C484" s="59" t="s">
        <v>3819</v>
      </c>
      <c r="D484" s="59" t="s">
        <v>3820</v>
      </c>
      <c r="E484" s="59" t="s">
        <v>3821</v>
      </c>
      <c r="F484" s="59" t="s">
        <v>2391</v>
      </c>
      <c r="I484" s="59" t="s">
        <v>702</v>
      </c>
    </row>
    <row r="485" spans="1:9" ht="11.25" customHeight="1">
      <c r="A485" s="59" t="s">
        <v>2162</v>
      </c>
      <c r="B485" s="59" t="s">
        <v>14</v>
      </c>
      <c r="C485" s="59" t="s">
        <v>3822</v>
      </c>
      <c r="D485" s="59" t="s">
        <v>3823</v>
      </c>
      <c r="E485" s="59" t="s">
        <v>3824</v>
      </c>
      <c r="F485" s="59" t="s">
        <v>2233</v>
      </c>
      <c r="G485" s="59" t="s">
        <v>2558</v>
      </c>
      <c r="I485" s="59" t="s">
        <v>702</v>
      </c>
    </row>
    <row r="486" spans="1:9" ht="11.25" customHeight="1">
      <c r="A486" s="59" t="s">
        <v>2162</v>
      </c>
      <c r="B486" s="59" t="s">
        <v>14</v>
      </c>
      <c r="C486" s="59" t="s">
        <v>3825</v>
      </c>
      <c r="D486" s="59" t="s">
        <v>3826</v>
      </c>
      <c r="E486" s="59" t="s">
        <v>3827</v>
      </c>
      <c r="F486" s="59" t="s">
        <v>2391</v>
      </c>
      <c r="G486" s="59" t="s">
        <v>3664</v>
      </c>
      <c r="I486" s="59" t="s">
        <v>702</v>
      </c>
    </row>
    <row r="487" spans="1:9" ht="11.25" customHeight="1">
      <c r="A487" s="59" t="s">
        <v>2162</v>
      </c>
      <c r="B487" s="59" t="s">
        <v>14</v>
      </c>
      <c r="C487" s="59" t="s">
        <v>3828</v>
      </c>
      <c r="D487" s="59" t="s">
        <v>3829</v>
      </c>
      <c r="E487" s="59" t="s">
        <v>3830</v>
      </c>
      <c r="F487" s="59" t="s">
        <v>2391</v>
      </c>
      <c r="G487" s="59" t="s">
        <v>3831</v>
      </c>
      <c r="I487" s="59" t="s">
        <v>702</v>
      </c>
    </row>
    <row r="488" spans="1:9" ht="11.25" customHeight="1">
      <c r="A488" s="59" t="s">
        <v>2162</v>
      </c>
      <c r="B488" s="59" t="s">
        <v>14</v>
      </c>
      <c r="C488" s="59" t="s">
        <v>3832</v>
      </c>
      <c r="D488" s="59" t="s">
        <v>3833</v>
      </c>
      <c r="E488" s="59" t="s">
        <v>3834</v>
      </c>
      <c r="F488" s="59" t="s">
        <v>2299</v>
      </c>
      <c r="I488" s="59" t="s">
        <v>702</v>
      </c>
    </row>
    <row r="489" spans="1:9" ht="11.25" customHeight="1">
      <c r="A489" s="59" t="s">
        <v>2162</v>
      </c>
      <c r="B489" s="59" t="s">
        <v>14</v>
      </c>
      <c r="C489" s="59" t="s">
        <v>3835</v>
      </c>
      <c r="D489" s="59" t="s">
        <v>3836</v>
      </c>
      <c r="E489" s="59" t="s">
        <v>3837</v>
      </c>
      <c r="F489" s="59" t="s">
        <v>2233</v>
      </c>
      <c r="I489" s="59" t="s">
        <v>702</v>
      </c>
    </row>
    <row r="490" spans="1:9" ht="11.25" customHeight="1">
      <c r="A490" s="59" t="s">
        <v>2162</v>
      </c>
      <c r="B490" s="59" t="s">
        <v>14</v>
      </c>
      <c r="C490" s="59" t="s">
        <v>3838</v>
      </c>
      <c r="D490" s="59" t="s">
        <v>3839</v>
      </c>
      <c r="E490" s="59" t="s">
        <v>3840</v>
      </c>
      <c r="F490" s="59" t="s">
        <v>2166</v>
      </c>
      <c r="I490" s="59" t="s">
        <v>702</v>
      </c>
    </row>
    <row r="491" spans="1:9" ht="11.25" customHeight="1">
      <c r="A491" s="59" t="s">
        <v>2162</v>
      </c>
      <c r="B491" s="59" t="s">
        <v>14</v>
      </c>
      <c r="C491" s="59" t="s">
        <v>3841</v>
      </c>
      <c r="D491" s="59" t="s">
        <v>3842</v>
      </c>
      <c r="E491" s="59" t="s">
        <v>3843</v>
      </c>
      <c r="F491" s="59" t="s">
        <v>2233</v>
      </c>
      <c r="G491" s="59" t="s">
        <v>3844</v>
      </c>
      <c r="I491" s="59" t="s">
        <v>702</v>
      </c>
    </row>
    <row r="492" spans="1:9" ht="11.25" customHeight="1">
      <c r="A492" s="59" t="s">
        <v>2162</v>
      </c>
      <c r="B492" s="59" t="s">
        <v>14</v>
      </c>
      <c r="C492" s="59" t="s">
        <v>3845</v>
      </c>
      <c r="D492" s="59" t="s">
        <v>3846</v>
      </c>
      <c r="E492" s="59" t="s">
        <v>3847</v>
      </c>
      <c r="F492" s="59" t="s">
        <v>2252</v>
      </c>
      <c r="G492" s="59" t="s">
        <v>3848</v>
      </c>
      <c r="H492" s="59" t="s">
        <v>3849</v>
      </c>
      <c r="I492" s="59" t="s">
        <v>702</v>
      </c>
    </row>
    <row r="493" spans="1:9" ht="11.25" customHeight="1">
      <c r="A493" s="59" t="s">
        <v>2162</v>
      </c>
      <c r="B493" s="59" t="s">
        <v>14</v>
      </c>
      <c r="C493" s="59" t="s">
        <v>3850</v>
      </c>
      <c r="D493" s="59" t="s">
        <v>3851</v>
      </c>
      <c r="E493" s="59" t="s">
        <v>3852</v>
      </c>
      <c r="F493" s="59" t="s">
        <v>2291</v>
      </c>
      <c r="G493" s="59" t="s">
        <v>3853</v>
      </c>
      <c r="I493" s="59" t="s">
        <v>702</v>
      </c>
    </row>
    <row r="494" spans="1:9" ht="11.25" customHeight="1">
      <c r="A494" s="59" t="s">
        <v>2162</v>
      </c>
      <c r="B494" s="59" t="s">
        <v>14</v>
      </c>
      <c r="C494" s="59" t="s">
        <v>3854</v>
      </c>
      <c r="D494" s="59" t="s">
        <v>3855</v>
      </c>
      <c r="E494" s="59" t="s">
        <v>3856</v>
      </c>
      <c r="F494" s="59" t="s">
        <v>2291</v>
      </c>
      <c r="G494" s="59" t="s">
        <v>3857</v>
      </c>
      <c r="I494" s="59" t="s">
        <v>702</v>
      </c>
    </row>
    <row r="495" spans="1:9" ht="11.25" customHeight="1">
      <c r="A495" s="59" t="s">
        <v>2162</v>
      </c>
      <c r="B495" s="59" t="s">
        <v>14</v>
      </c>
      <c r="C495" s="59" t="s">
        <v>3858</v>
      </c>
      <c r="D495" s="59" t="s">
        <v>3859</v>
      </c>
      <c r="E495" s="59" t="s">
        <v>3860</v>
      </c>
      <c r="F495" s="59" t="s">
        <v>2291</v>
      </c>
      <c r="I495" s="59" t="s">
        <v>702</v>
      </c>
    </row>
    <row r="496" spans="1:9" ht="11.25" customHeight="1">
      <c r="A496" s="59" t="s">
        <v>2162</v>
      </c>
      <c r="B496" s="59" t="s">
        <v>14</v>
      </c>
      <c r="C496" s="59" t="s">
        <v>3861</v>
      </c>
      <c r="D496" s="59" t="s">
        <v>3862</v>
      </c>
      <c r="E496" s="59" t="s">
        <v>3863</v>
      </c>
      <c r="F496" s="59" t="s">
        <v>2478</v>
      </c>
      <c r="G496" s="59" t="s">
        <v>3864</v>
      </c>
      <c r="I496" s="59" t="s">
        <v>702</v>
      </c>
    </row>
    <row r="497" spans="1:9" ht="11.25" customHeight="1">
      <c r="A497" s="59" t="s">
        <v>2162</v>
      </c>
      <c r="B497" s="59" t="s">
        <v>14</v>
      </c>
      <c r="C497" s="59" t="s">
        <v>3865</v>
      </c>
      <c r="D497" s="59" t="s">
        <v>3866</v>
      </c>
      <c r="E497" s="59" t="s">
        <v>3867</v>
      </c>
      <c r="F497" s="59" t="s">
        <v>2210</v>
      </c>
      <c r="I497" s="59" t="s">
        <v>702</v>
      </c>
    </row>
    <row r="498" spans="1:9" ht="11.25" customHeight="1">
      <c r="A498" s="59" t="s">
        <v>2162</v>
      </c>
      <c r="B498" s="59" t="s">
        <v>14</v>
      </c>
      <c r="C498" s="59" t="s">
        <v>3868</v>
      </c>
      <c r="D498" s="59" t="s">
        <v>3869</v>
      </c>
      <c r="E498" s="59" t="s">
        <v>3870</v>
      </c>
      <c r="F498" s="59" t="s">
        <v>2166</v>
      </c>
      <c r="I498" s="59" t="s">
        <v>702</v>
      </c>
    </row>
    <row r="499" spans="1:9" ht="11.25" customHeight="1">
      <c r="A499" s="59" t="s">
        <v>2162</v>
      </c>
      <c r="B499" s="59" t="s">
        <v>14</v>
      </c>
      <c r="C499" s="59" t="s">
        <v>3871</v>
      </c>
      <c r="D499" s="59" t="s">
        <v>3872</v>
      </c>
      <c r="E499" s="59" t="s">
        <v>3873</v>
      </c>
      <c r="F499" s="59" t="s">
        <v>2391</v>
      </c>
      <c r="I499" s="59" t="s">
        <v>702</v>
      </c>
    </row>
    <row r="500" spans="1:9" ht="11.25" customHeight="1">
      <c r="A500" s="59" t="s">
        <v>2162</v>
      </c>
      <c r="B500" s="59" t="s">
        <v>14</v>
      </c>
      <c r="C500" s="59" t="s">
        <v>3874</v>
      </c>
      <c r="D500" s="59" t="s">
        <v>3875</v>
      </c>
      <c r="E500" s="59" t="s">
        <v>3876</v>
      </c>
      <c r="F500" s="59" t="s">
        <v>2653</v>
      </c>
      <c r="G500" s="59" t="s">
        <v>3877</v>
      </c>
      <c r="I500" s="59" t="s">
        <v>702</v>
      </c>
    </row>
    <row r="501" spans="1:9" ht="11.25" customHeight="1">
      <c r="A501" s="59" t="s">
        <v>2162</v>
      </c>
      <c r="B501" s="59" t="s">
        <v>14</v>
      </c>
      <c r="C501" s="59" t="s">
        <v>3878</v>
      </c>
      <c r="D501" s="59" t="s">
        <v>3879</v>
      </c>
      <c r="E501" s="59" t="s">
        <v>3880</v>
      </c>
      <c r="F501" s="59" t="s">
        <v>2210</v>
      </c>
      <c r="I501" s="59" t="s">
        <v>702</v>
      </c>
    </row>
    <row r="502" spans="1:9" ht="11.25" customHeight="1">
      <c r="A502" s="59" t="s">
        <v>2162</v>
      </c>
      <c r="B502" s="59" t="s">
        <v>14</v>
      </c>
      <c r="C502" s="59" t="s">
        <v>3881</v>
      </c>
      <c r="D502" s="59" t="s">
        <v>3882</v>
      </c>
      <c r="E502" s="59" t="s">
        <v>3883</v>
      </c>
      <c r="F502" s="59" t="s">
        <v>3146</v>
      </c>
      <c r="I502" s="59" t="s">
        <v>702</v>
      </c>
    </row>
    <row r="503" spans="1:9" ht="11.25" customHeight="1">
      <c r="A503" s="59" t="s">
        <v>2162</v>
      </c>
      <c r="B503" s="59" t="s">
        <v>14</v>
      </c>
      <c r="C503" s="59" t="s">
        <v>3884</v>
      </c>
      <c r="D503" s="59" t="s">
        <v>3885</v>
      </c>
      <c r="E503" s="59" t="s">
        <v>3886</v>
      </c>
      <c r="F503" s="59" t="s">
        <v>2210</v>
      </c>
      <c r="G503" s="59" t="s">
        <v>3887</v>
      </c>
      <c r="I503" s="59" t="s">
        <v>702</v>
      </c>
    </row>
    <row r="504" spans="1:9" ht="11.25" customHeight="1">
      <c r="A504" s="59" t="s">
        <v>2162</v>
      </c>
      <c r="B504" s="59" t="s">
        <v>14</v>
      </c>
      <c r="C504" s="59" t="s">
        <v>3888</v>
      </c>
      <c r="D504" s="59" t="s">
        <v>3889</v>
      </c>
      <c r="E504" s="59" t="s">
        <v>3890</v>
      </c>
      <c r="F504" s="59" t="s">
        <v>3154</v>
      </c>
      <c r="I504" s="59" t="s">
        <v>702</v>
      </c>
    </row>
    <row r="505" spans="1:9" ht="11.25" customHeight="1">
      <c r="A505" s="59" t="s">
        <v>2162</v>
      </c>
      <c r="B505" s="59" t="s">
        <v>14</v>
      </c>
      <c r="C505" s="59" t="s">
        <v>3891</v>
      </c>
      <c r="D505" s="59" t="s">
        <v>3892</v>
      </c>
      <c r="E505" s="59" t="s">
        <v>3893</v>
      </c>
      <c r="F505" s="59" t="s">
        <v>2299</v>
      </c>
      <c r="I505" s="59" t="s">
        <v>702</v>
      </c>
    </row>
    <row r="506" spans="1:9" ht="11.25" customHeight="1">
      <c r="A506" s="59" t="s">
        <v>2162</v>
      </c>
      <c r="B506" s="59" t="s">
        <v>14</v>
      </c>
      <c r="C506" s="59" t="s">
        <v>3894</v>
      </c>
      <c r="D506" s="59" t="s">
        <v>3895</v>
      </c>
      <c r="E506" s="59" t="s">
        <v>3896</v>
      </c>
      <c r="F506" s="59" t="s">
        <v>2166</v>
      </c>
      <c r="G506" s="59" t="s">
        <v>3897</v>
      </c>
      <c r="I506" s="59" t="s">
        <v>702</v>
      </c>
    </row>
    <row r="507" spans="1:9" ht="11.25" customHeight="1">
      <c r="A507" s="59" t="s">
        <v>2162</v>
      </c>
      <c r="B507" s="59" t="s">
        <v>14</v>
      </c>
      <c r="C507" s="59" t="s">
        <v>3898</v>
      </c>
      <c r="D507" s="59" t="s">
        <v>3899</v>
      </c>
      <c r="E507" s="59" t="s">
        <v>3900</v>
      </c>
      <c r="F507" s="59" t="s">
        <v>2291</v>
      </c>
      <c r="G507" s="59" t="s">
        <v>3901</v>
      </c>
      <c r="I507" s="59" t="s">
        <v>702</v>
      </c>
    </row>
    <row r="508" spans="1:9" ht="11.25" customHeight="1">
      <c r="A508" s="59" t="s">
        <v>2162</v>
      </c>
      <c r="B508" s="59" t="s">
        <v>14</v>
      </c>
      <c r="C508" s="59" t="s">
        <v>3902</v>
      </c>
      <c r="D508" s="59" t="s">
        <v>3903</v>
      </c>
      <c r="E508" s="59" t="s">
        <v>3904</v>
      </c>
      <c r="F508" s="59" t="s">
        <v>2299</v>
      </c>
      <c r="G508" s="59" t="s">
        <v>3905</v>
      </c>
      <c r="I508" s="59" t="s">
        <v>702</v>
      </c>
    </row>
    <row r="509" spans="1:9" ht="11.25" customHeight="1">
      <c r="A509" s="59" t="s">
        <v>2162</v>
      </c>
      <c r="B509" s="59" t="s">
        <v>14</v>
      </c>
      <c r="C509" s="59" t="s">
        <v>3906</v>
      </c>
      <c r="D509" s="59" t="s">
        <v>3907</v>
      </c>
      <c r="E509" s="59" t="s">
        <v>3908</v>
      </c>
      <c r="F509" s="59" t="s">
        <v>2391</v>
      </c>
      <c r="I509" s="59" t="s">
        <v>702</v>
      </c>
    </row>
    <row r="510" spans="1:9" ht="11.25" customHeight="1">
      <c r="A510" s="59" t="s">
        <v>2162</v>
      </c>
      <c r="B510" s="59" t="s">
        <v>14</v>
      </c>
      <c r="C510" s="59" t="s">
        <v>3909</v>
      </c>
      <c r="D510" s="59" t="s">
        <v>3910</v>
      </c>
      <c r="E510" s="59" t="s">
        <v>3911</v>
      </c>
      <c r="F510" s="59" t="s">
        <v>2233</v>
      </c>
      <c r="I510" s="59" t="s">
        <v>702</v>
      </c>
    </row>
    <row r="511" spans="1:9" ht="11.25" customHeight="1">
      <c r="A511" s="59" t="s">
        <v>2162</v>
      </c>
      <c r="B511" s="59" t="s">
        <v>14</v>
      </c>
      <c r="C511" s="59" t="s">
        <v>3912</v>
      </c>
      <c r="D511" s="59" t="s">
        <v>3913</v>
      </c>
      <c r="E511" s="59" t="s">
        <v>3914</v>
      </c>
      <c r="F511" s="59" t="s">
        <v>2391</v>
      </c>
      <c r="I511" s="59" t="s">
        <v>702</v>
      </c>
    </row>
    <row r="512" spans="1:9" ht="11.25" customHeight="1">
      <c r="A512" s="59" t="s">
        <v>2162</v>
      </c>
      <c r="B512" s="59" t="s">
        <v>14</v>
      </c>
      <c r="C512" s="59" t="s">
        <v>3915</v>
      </c>
      <c r="D512" s="59" t="s">
        <v>3916</v>
      </c>
      <c r="E512" s="59" t="s">
        <v>3917</v>
      </c>
      <c r="F512" s="59" t="s">
        <v>2166</v>
      </c>
      <c r="I512" s="59" t="s">
        <v>702</v>
      </c>
    </row>
    <row r="513" spans="1:9" ht="11.25" customHeight="1">
      <c r="A513" s="59" t="s">
        <v>2162</v>
      </c>
      <c r="B513" s="59" t="s">
        <v>14</v>
      </c>
      <c r="C513" s="59" t="s">
        <v>3918</v>
      </c>
      <c r="D513" s="59" t="s">
        <v>3919</v>
      </c>
      <c r="E513" s="59" t="s">
        <v>3920</v>
      </c>
      <c r="F513" s="59" t="s">
        <v>2299</v>
      </c>
      <c r="I513" s="59" t="s">
        <v>702</v>
      </c>
    </row>
    <row r="514" spans="1:9" ht="11.25" customHeight="1">
      <c r="A514" s="59" t="s">
        <v>2162</v>
      </c>
      <c r="B514" s="59" t="s">
        <v>14</v>
      </c>
      <c r="C514" s="59" t="s">
        <v>3921</v>
      </c>
      <c r="D514" s="59" t="s">
        <v>3922</v>
      </c>
      <c r="E514" s="59" t="s">
        <v>3923</v>
      </c>
      <c r="F514" s="59" t="s">
        <v>2625</v>
      </c>
      <c r="I514" s="59" t="s">
        <v>702</v>
      </c>
    </row>
    <row r="515" spans="1:9" ht="11.25" customHeight="1">
      <c r="A515" s="59" t="s">
        <v>2162</v>
      </c>
      <c r="B515" s="59" t="s">
        <v>14</v>
      </c>
      <c r="C515" s="59" t="s">
        <v>3924</v>
      </c>
      <c r="D515" s="59" t="s">
        <v>3925</v>
      </c>
      <c r="E515" s="59" t="s">
        <v>3926</v>
      </c>
      <c r="F515" s="59" t="s">
        <v>2252</v>
      </c>
      <c r="I515" s="59" t="s">
        <v>702</v>
      </c>
    </row>
    <row r="516" spans="1:9" ht="11.25" customHeight="1">
      <c r="A516" s="59" t="s">
        <v>2162</v>
      </c>
      <c r="B516" s="59" t="s">
        <v>14</v>
      </c>
      <c r="C516" s="59" t="s">
        <v>3927</v>
      </c>
      <c r="D516" s="59" t="s">
        <v>3928</v>
      </c>
      <c r="E516" s="59" t="s">
        <v>3367</v>
      </c>
      <c r="F516" s="59" t="s">
        <v>2391</v>
      </c>
      <c r="G516" s="59" t="s">
        <v>3929</v>
      </c>
      <c r="I516" s="59" t="s">
        <v>702</v>
      </c>
    </row>
    <row r="517" spans="1:9" ht="11.25" customHeight="1">
      <c r="A517" s="59" t="s">
        <v>2162</v>
      </c>
      <c r="B517" s="59" t="s">
        <v>14</v>
      </c>
      <c r="C517" s="59" t="s">
        <v>3930</v>
      </c>
      <c r="D517" s="59" t="s">
        <v>3931</v>
      </c>
      <c r="E517" s="59" t="s">
        <v>3932</v>
      </c>
      <c r="F517" s="59" t="s">
        <v>2391</v>
      </c>
      <c r="I517" s="59" t="s">
        <v>702</v>
      </c>
    </row>
    <row r="518" spans="1:9" ht="11.25" customHeight="1">
      <c r="A518" s="59" t="s">
        <v>2162</v>
      </c>
      <c r="B518" s="59" t="s">
        <v>14</v>
      </c>
      <c r="C518" s="59" t="s">
        <v>3933</v>
      </c>
      <c r="D518" s="59" t="s">
        <v>3934</v>
      </c>
      <c r="E518" s="59" t="s">
        <v>3935</v>
      </c>
      <c r="F518" s="59" t="s">
        <v>2478</v>
      </c>
      <c r="I518" s="59" t="s">
        <v>702</v>
      </c>
    </row>
    <row r="519" spans="1:9" ht="11.25" customHeight="1">
      <c r="A519" s="59" t="s">
        <v>2162</v>
      </c>
      <c r="B519" s="59" t="s">
        <v>14</v>
      </c>
      <c r="C519" s="59" t="s">
        <v>3936</v>
      </c>
      <c r="D519" s="59" t="s">
        <v>3937</v>
      </c>
      <c r="E519" s="59" t="s">
        <v>3938</v>
      </c>
      <c r="F519" s="59" t="s">
        <v>2391</v>
      </c>
      <c r="I519" s="59" t="s">
        <v>702</v>
      </c>
    </row>
    <row r="520" spans="1:9" ht="11.25" customHeight="1">
      <c r="A520" s="59" t="s">
        <v>2162</v>
      </c>
      <c r="B520" s="59" t="s">
        <v>14</v>
      </c>
      <c r="C520" s="59" t="s">
        <v>3939</v>
      </c>
      <c r="D520" s="59" t="s">
        <v>3940</v>
      </c>
      <c r="E520" s="59" t="s">
        <v>3941</v>
      </c>
      <c r="F520" s="59" t="s">
        <v>2210</v>
      </c>
      <c r="G520" s="59" t="s">
        <v>3942</v>
      </c>
      <c r="H520" s="59" t="s">
        <v>3943</v>
      </c>
      <c r="I520" s="59" t="s">
        <v>702</v>
      </c>
    </row>
    <row r="521" spans="1:9" ht="11.25" customHeight="1">
      <c r="A521" s="59" t="s">
        <v>2162</v>
      </c>
      <c r="B521" s="59" t="s">
        <v>14</v>
      </c>
      <c r="C521" s="59" t="s">
        <v>3944</v>
      </c>
      <c r="D521" s="59" t="s">
        <v>3945</v>
      </c>
      <c r="E521" s="59" t="s">
        <v>3946</v>
      </c>
      <c r="F521" s="59" t="s">
        <v>2248</v>
      </c>
      <c r="I521" s="59" t="s">
        <v>702</v>
      </c>
    </row>
    <row r="522" spans="1:9" ht="11.25" customHeight="1">
      <c r="A522" s="59" t="s">
        <v>2162</v>
      </c>
      <c r="B522" s="59" t="s">
        <v>14</v>
      </c>
      <c r="C522" s="59" t="s">
        <v>3947</v>
      </c>
      <c r="D522" s="59" t="s">
        <v>3948</v>
      </c>
      <c r="E522" s="59" t="s">
        <v>3949</v>
      </c>
      <c r="F522" s="59" t="s">
        <v>2775</v>
      </c>
      <c r="G522" s="59" t="s">
        <v>3950</v>
      </c>
      <c r="I522" s="59" t="s">
        <v>702</v>
      </c>
    </row>
    <row r="523" spans="1:9" ht="11.25" customHeight="1">
      <c r="A523" s="59" t="s">
        <v>2162</v>
      </c>
      <c r="B523" s="59" t="s">
        <v>14</v>
      </c>
      <c r="C523" s="59" t="s">
        <v>3951</v>
      </c>
      <c r="D523" s="59" t="s">
        <v>3952</v>
      </c>
      <c r="E523" s="59" t="s">
        <v>3953</v>
      </c>
      <c r="F523" s="59" t="s">
        <v>2775</v>
      </c>
      <c r="I523" s="59" t="s">
        <v>702</v>
      </c>
    </row>
    <row r="524" spans="1:9" ht="11.25" customHeight="1">
      <c r="A524" s="59" t="s">
        <v>2162</v>
      </c>
      <c r="B524" s="59" t="s">
        <v>14</v>
      </c>
      <c r="C524" s="59" t="s">
        <v>3954</v>
      </c>
      <c r="D524" s="59" t="s">
        <v>3955</v>
      </c>
      <c r="E524" s="59" t="s">
        <v>3956</v>
      </c>
      <c r="F524" s="59" t="s">
        <v>3957</v>
      </c>
      <c r="G524" s="59" t="s">
        <v>3958</v>
      </c>
      <c r="I524" s="59" t="s">
        <v>702</v>
      </c>
    </row>
    <row r="525" spans="1:9" ht="11.25" customHeight="1">
      <c r="A525" s="59" t="s">
        <v>2162</v>
      </c>
      <c r="B525" s="59" t="s">
        <v>14</v>
      </c>
      <c r="C525" s="59" t="s">
        <v>3959</v>
      </c>
      <c r="D525" s="59" t="s">
        <v>3960</v>
      </c>
      <c r="E525" s="59" t="s">
        <v>3961</v>
      </c>
      <c r="F525" s="59" t="s">
        <v>3962</v>
      </c>
      <c r="I525" s="59" t="s">
        <v>702</v>
      </c>
    </row>
    <row r="526" spans="1:9" ht="11.25" customHeight="1">
      <c r="A526" s="59" t="s">
        <v>2162</v>
      </c>
      <c r="B526" s="59" t="s">
        <v>14</v>
      </c>
      <c r="C526" s="59" t="s">
        <v>3963</v>
      </c>
      <c r="D526" s="59" t="s">
        <v>3964</v>
      </c>
      <c r="E526" s="59" t="s">
        <v>3513</v>
      </c>
      <c r="F526" s="59" t="s">
        <v>3965</v>
      </c>
      <c r="I526" s="59" t="s">
        <v>702</v>
      </c>
    </row>
    <row r="527" spans="1:9" ht="11.25" customHeight="1">
      <c r="A527" s="59" t="s">
        <v>2162</v>
      </c>
      <c r="B527" s="59" t="s">
        <v>14</v>
      </c>
      <c r="C527" s="59" t="s">
        <v>3966</v>
      </c>
      <c r="D527" s="59" t="s">
        <v>3967</v>
      </c>
      <c r="E527" s="59" t="s">
        <v>3968</v>
      </c>
      <c r="F527" s="59" t="s">
        <v>2266</v>
      </c>
      <c r="G527" s="59" t="s">
        <v>3969</v>
      </c>
      <c r="I527" s="59" t="s">
        <v>702</v>
      </c>
    </row>
    <row r="528" spans="1:9" ht="11.25" customHeight="1">
      <c r="A528" s="59" t="s">
        <v>2162</v>
      </c>
      <c r="B528" s="59" t="s">
        <v>14</v>
      </c>
      <c r="C528" s="59" t="s">
        <v>3970</v>
      </c>
      <c r="D528" s="59" t="s">
        <v>3971</v>
      </c>
      <c r="E528" s="59" t="s">
        <v>3972</v>
      </c>
      <c r="F528" s="59" t="s">
        <v>2210</v>
      </c>
      <c r="I528" s="59" t="s">
        <v>702</v>
      </c>
    </row>
    <row r="529" spans="1:9" ht="11.25" customHeight="1">
      <c r="A529" s="59" t="s">
        <v>2162</v>
      </c>
      <c r="B529" s="59" t="s">
        <v>14</v>
      </c>
      <c r="C529" s="59" t="s">
        <v>3973</v>
      </c>
      <c r="D529" s="59" t="s">
        <v>3974</v>
      </c>
      <c r="E529" s="59" t="s">
        <v>3975</v>
      </c>
      <c r="F529" s="59" t="s">
        <v>2210</v>
      </c>
      <c r="I529" s="59" t="s">
        <v>702</v>
      </c>
    </row>
    <row r="530" spans="1:9" ht="11.25" customHeight="1">
      <c r="A530" s="59" t="s">
        <v>2162</v>
      </c>
      <c r="B530" s="59" t="s">
        <v>14</v>
      </c>
      <c r="C530" s="59" t="s">
        <v>3976</v>
      </c>
      <c r="D530" s="59" t="s">
        <v>3977</v>
      </c>
      <c r="E530" s="59" t="s">
        <v>3978</v>
      </c>
      <c r="F530" s="59" t="s">
        <v>2166</v>
      </c>
      <c r="H530" s="59" t="s">
        <v>3979</v>
      </c>
      <c r="I530" s="59" t="s">
        <v>702</v>
      </c>
    </row>
    <row r="531" spans="1:9" ht="11.25" customHeight="1">
      <c r="A531" s="59" t="s">
        <v>2162</v>
      </c>
      <c r="B531" s="59" t="s">
        <v>14</v>
      </c>
      <c r="C531" s="59" t="s">
        <v>3980</v>
      </c>
      <c r="D531" s="59" t="s">
        <v>3981</v>
      </c>
      <c r="E531" s="59" t="s">
        <v>3982</v>
      </c>
      <c r="F531" s="59" t="s">
        <v>2233</v>
      </c>
      <c r="I531" s="59" t="s">
        <v>702</v>
      </c>
    </row>
    <row r="532" spans="1:9" ht="11.25" customHeight="1">
      <c r="A532" s="59" t="s">
        <v>2162</v>
      </c>
      <c r="B532" s="59" t="s">
        <v>14</v>
      </c>
      <c r="C532" s="59" t="s">
        <v>3983</v>
      </c>
      <c r="D532" s="59" t="s">
        <v>3984</v>
      </c>
      <c r="E532" s="59" t="s">
        <v>3985</v>
      </c>
      <c r="F532" s="59" t="s">
        <v>2308</v>
      </c>
      <c r="G532" s="59" t="s">
        <v>3986</v>
      </c>
      <c r="I532" s="59" t="s">
        <v>702</v>
      </c>
    </row>
    <row r="533" spans="1:9" ht="11.25" customHeight="1">
      <c r="A533" s="59" t="s">
        <v>2162</v>
      </c>
      <c r="B533" s="59" t="s">
        <v>14</v>
      </c>
      <c r="C533" s="59" t="s">
        <v>3987</v>
      </c>
      <c r="D533" s="59" t="s">
        <v>3988</v>
      </c>
      <c r="E533" s="59" t="s">
        <v>3989</v>
      </c>
      <c r="F533" s="59" t="s">
        <v>2391</v>
      </c>
      <c r="I533" s="59" t="s">
        <v>702</v>
      </c>
    </row>
    <row r="534" spans="1:9" ht="11.25" customHeight="1">
      <c r="A534" s="59" t="s">
        <v>2162</v>
      </c>
      <c r="B534" s="59" t="s">
        <v>14</v>
      </c>
      <c r="C534" s="59" t="s">
        <v>3990</v>
      </c>
      <c r="D534" s="59" t="s">
        <v>3991</v>
      </c>
      <c r="E534" s="59" t="s">
        <v>3992</v>
      </c>
      <c r="F534" s="59" t="s">
        <v>2248</v>
      </c>
      <c r="G534" s="59" t="s">
        <v>3993</v>
      </c>
      <c r="I534" s="59" t="s">
        <v>702</v>
      </c>
    </row>
    <row r="535" spans="1:9" ht="11.25" customHeight="1">
      <c r="A535" s="59" t="s">
        <v>2162</v>
      </c>
      <c r="B535" s="59" t="s">
        <v>14</v>
      </c>
      <c r="C535" s="59" t="s">
        <v>3994</v>
      </c>
      <c r="D535" s="59" t="s">
        <v>3995</v>
      </c>
      <c r="E535" s="59" t="s">
        <v>3996</v>
      </c>
      <c r="F535" s="59" t="s">
        <v>2299</v>
      </c>
      <c r="I535" s="59" t="s">
        <v>702</v>
      </c>
    </row>
    <row r="536" spans="1:9" ht="11.25" customHeight="1">
      <c r="A536" s="59" t="s">
        <v>2162</v>
      </c>
      <c r="B536" s="59" t="s">
        <v>14</v>
      </c>
      <c r="C536" s="59" t="s">
        <v>3997</v>
      </c>
      <c r="D536" s="59" t="s">
        <v>3998</v>
      </c>
      <c r="E536" s="59" t="s">
        <v>3999</v>
      </c>
      <c r="F536" s="59" t="s">
        <v>2486</v>
      </c>
      <c r="I536" s="59" t="s">
        <v>702</v>
      </c>
    </row>
    <row r="537" spans="1:9" ht="11.25" customHeight="1">
      <c r="A537" s="59" t="s">
        <v>2162</v>
      </c>
      <c r="B537" s="59" t="s">
        <v>14</v>
      </c>
      <c r="C537" s="59" t="s">
        <v>4000</v>
      </c>
      <c r="D537" s="59" t="s">
        <v>4001</v>
      </c>
      <c r="E537" s="59" t="s">
        <v>4002</v>
      </c>
      <c r="F537" s="59" t="s">
        <v>2677</v>
      </c>
      <c r="I537" s="59" t="s">
        <v>702</v>
      </c>
    </row>
    <row r="538" spans="1:9" ht="11.25" customHeight="1">
      <c r="A538" s="59" t="s">
        <v>2162</v>
      </c>
      <c r="B538" s="59" t="s">
        <v>14</v>
      </c>
      <c r="C538" s="59" t="s">
        <v>4003</v>
      </c>
      <c r="D538" s="59" t="s">
        <v>4004</v>
      </c>
      <c r="E538" s="59" t="s">
        <v>4005</v>
      </c>
      <c r="F538" s="59" t="s">
        <v>3086</v>
      </c>
      <c r="G538" s="59" t="s">
        <v>4006</v>
      </c>
      <c r="I538" s="59" t="s">
        <v>702</v>
      </c>
    </row>
    <row r="539" spans="1:9" ht="11.25" customHeight="1">
      <c r="A539" s="59" t="s">
        <v>2162</v>
      </c>
      <c r="B539" s="59" t="s">
        <v>14</v>
      </c>
      <c r="C539" s="59" t="s">
        <v>4007</v>
      </c>
      <c r="D539" s="59" t="s">
        <v>4008</v>
      </c>
      <c r="E539" s="59" t="s">
        <v>4009</v>
      </c>
      <c r="F539" s="59" t="s">
        <v>2486</v>
      </c>
      <c r="G539" s="59" t="s">
        <v>4010</v>
      </c>
      <c r="I539" s="59" t="s">
        <v>702</v>
      </c>
    </row>
    <row r="540" spans="1:9" ht="11.25" customHeight="1">
      <c r="A540" s="59" t="s">
        <v>2162</v>
      </c>
      <c r="B540" s="59" t="s">
        <v>14</v>
      </c>
      <c r="C540" s="59" t="s">
        <v>4011</v>
      </c>
      <c r="D540" s="59" t="s">
        <v>4012</v>
      </c>
      <c r="E540" s="59" t="s">
        <v>4013</v>
      </c>
      <c r="F540" s="59" t="s">
        <v>2220</v>
      </c>
      <c r="I540" s="59" t="s">
        <v>702</v>
      </c>
    </row>
    <row r="541" spans="1:9" ht="11.25" customHeight="1">
      <c r="A541" s="59" t="s">
        <v>2162</v>
      </c>
      <c r="B541" s="59" t="s">
        <v>14</v>
      </c>
      <c r="C541" s="59" t="s">
        <v>4014</v>
      </c>
      <c r="D541" s="59" t="s">
        <v>4015</v>
      </c>
      <c r="E541" s="59" t="s">
        <v>4016</v>
      </c>
      <c r="F541" s="59" t="s">
        <v>2257</v>
      </c>
      <c r="I541" s="59" t="s">
        <v>702</v>
      </c>
    </row>
    <row r="542" spans="1:9" ht="11.25" customHeight="1">
      <c r="A542" s="59" t="s">
        <v>2162</v>
      </c>
      <c r="B542" s="59" t="s">
        <v>14</v>
      </c>
      <c r="C542" s="59" t="s">
        <v>4017</v>
      </c>
      <c r="D542" s="59" t="s">
        <v>4018</v>
      </c>
      <c r="E542" s="59" t="s">
        <v>4019</v>
      </c>
      <c r="F542" s="59" t="s">
        <v>2391</v>
      </c>
      <c r="I542" s="59" t="s">
        <v>702</v>
      </c>
    </row>
    <row r="543" spans="1:9" ht="11.25" customHeight="1">
      <c r="A543" s="59" t="s">
        <v>2162</v>
      </c>
      <c r="B543" s="59" t="s">
        <v>14</v>
      </c>
      <c r="C543" s="59" t="s">
        <v>4020</v>
      </c>
      <c r="D543" s="59" t="s">
        <v>4021</v>
      </c>
      <c r="E543" s="59" t="s">
        <v>4022</v>
      </c>
      <c r="F543" s="59" t="s">
        <v>2750</v>
      </c>
      <c r="G543" s="59" t="s">
        <v>4023</v>
      </c>
      <c r="I543" s="59" t="s">
        <v>702</v>
      </c>
    </row>
    <row r="544" spans="1:9" ht="11.25" customHeight="1">
      <c r="A544" s="59" t="s">
        <v>2162</v>
      </c>
      <c r="B544" s="59" t="s">
        <v>14</v>
      </c>
      <c r="C544" s="59" t="s">
        <v>4024</v>
      </c>
      <c r="D544" s="59" t="s">
        <v>4025</v>
      </c>
      <c r="E544" s="59" t="s">
        <v>4026</v>
      </c>
      <c r="F544" s="59" t="s">
        <v>2478</v>
      </c>
      <c r="I544" s="59" t="s">
        <v>702</v>
      </c>
    </row>
    <row r="545" spans="1:9" ht="11.25" customHeight="1">
      <c r="A545" s="59" t="s">
        <v>2162</v>
      </c>
      <c r="B545" s="59" t="s">
        <v>14</v>
      </c>
      <c r="C545" s="59" t="s">
        <v>4027</v>
      </c>
      <c r="D545" s="59" t="s">
        <v>4028</v>
      </c>
      <c r="E545" s="59" t="s">
        <v>4029</v>
      </c>
      <c r="F545" s="59" t="s">
        <v>2277</v>
      </c>
      <c r="I545" s="59" t="s">
        <v>702</v>
      </c>
    </row>
    <row r="546" spans="1:9" ht="11.25" customHeight="1">
      <c r="A546" s="59" t="s">
        <v>2162</v>
      </c>
      <c r="B546" s="59" t="s">
        <v>14</v>
      </c>
      <c r="C546" s="59" t="s">
        <v>4030</v>
      </c>
      <c r="D546" s="59" t="s">
        <v>4031</v>
      </c>
      <c r="E546" s="59" t="s">
        <v>4032</v>
      </c>
      <c r="F546" s="59" t="s">
        <v>2677</v>
      </c>
      <c r="I546" s="59" t="s">
        <v>702</v>
      </c>
    </row>
    <row r="547" spans="1:9" ht="11.25" customHeight="1">
      <c r="A547" s="59" t="s">
        <v>2162</v>
      </c>
      <c r="B547" s="59" t="s">
        <v>14</v>
      </c>
      <c r="C547" s="59" t="s">
        <v>4033</v>
      </c>
      <c r="D547" s="59" t="s">
        <v>4034</v>
      </c>
      <c r="E547" s="59" t="s">
        <v>4035</v>
      </c>
      <c r="F547" s="59" t="s">
        <v>2299</v>
      </c>
      <c r="I547" s="59" t="s">
        <v>702</v>
      </c>
    </row>
    <row r="548" spans="1:9" ht="11.25" customHeight="1">
      <c r="A548" s="59" t="s">
        <v>2162</v>
      </c>
      <c r="B548" s="59" t="s">
        <v>14</v>
      </c>
      <c r="C548" s="59" t="s">
        <v>4036</v>
      </c>
      <c r="D548" s="59" t="s">
        <v>4037</v>
      </c>
      <c r="E548" s="59" t="s">
        <v>4038</v>
      </c>
      <c r="F548" s="59" t="s">
        <v>2669</v>
      </c>
      <c r="I548" s="59" t="s">
        <v>702</v>
      </c>
    </row>
    <row r="549" spans="1:9" ht="11.25" customHeight="1">
      <c r="A549" s="59" t="s">
        <v>2162</v>
      </c>
      <c r="B549" s="59" t="s">
        <v>14</v>
      </c>
      <c r="C549" s="59" t="s">
        <v>4039</v>
      </c>
      <c r="D549" s="59" t="s">
        <v>4040</v>
      </c>
      <c r="E549" s="59" t="s">
        <v>4041</v>
      </c>
      <c r="F549" s="59" t="s">
        <v>4042</v>
      </c>
      <c r="I549" s="59" t="s">
        <v>702</v>
      </c>
    </row>
    <row r="550" spans="1:9" ht="11.25" customHeight="1">
      <c r="A550" s="59" t="s">
        <v>2162</v>
      </c>
      <c r="B550" s="59" t="s">
        <v>14</v>
      </c>
      <c r="C550" s="59" t="s">
        <v>4043</v>
      </c>
      <c r="D550" s="59" t="s">
        <v>4044</v>
      </c>
      <c r="E550" s="59" t="s">
        <v>4045</v>
      </c>
      <c r="F550" s="59" t="s">
        <v>2228</v>
      </c>
      <c r="G550" s="59" t="s">
        <v>3112</v>
      </c>
      <c r="I550" s="59" t="s">
        <v>702</v>
      </c>
    </row>
    <row r="551" spans="1:9" ht="11.25" customHeight="1">
      <c r="A551" s="59" t="s">
        <v>2162</v>
      </c>
      <c r="B551" s="59" t="s">
        <v>14</v>
      </c>
      <c r="C551" s="59" t="s">
        <v>4046</v>
      </c>
      <c r="D551" s="59" t="s">
        <v>4047</v>
      </c>
      <c r="E551" s="59" t="s">
        <v>4048</v>
      </c>
      <c r="F551" s="59" t="s">
        <v>2299</v>
      </c>
      <c r="G551" s="59" t="s">
        <v>4049</v>
      </c>
      <c r="I551" s="59" t="s">
        <v>702</v>
      </c>
    </row>
    <row r="552" spans="1:9" ht="11.25" customHeight="1">
      <c r="A552" s="59" t="s">
        <v>2162</v>
      </c>
      <c r="B552" s="59" t="s">
        <v>14</v>
      </c>
      <c r="C552" s="59" t="s">
        <v>4050</v>
      </c>
      <c r="D552" s="59" t="s">
        <v>4051</v>
      </c>
      <c r="E552" s="59" t="s">
        <v>2444</v>
      </c>
      <c r="F552" s="59" t="s">
        <v>4052</v>
      </c>
      <c r="I552" s="59" t="s">
        <v>702</v>
      </c>
    </row>
    <row r="553" spans="1:9" ht="11.25" customHeight="1">
      <c r="A553" s="59" t="s">
        <v>2162</v>
      </c>
      <c r="B553" s="59" t="s">
        <v>14</v>
      </c>
      <c r="C553" s="59" t="s">
        <v>4053</v>
      </c>
      <c r="D553" s="59" t="s">
        <v>4054</v>
      </c>
      <c r="E553" s="59" t="s">
        <v>2444</v>
      </c>
      <c r="F553" s="59" t="s">
        <v>4055</v>
      </c>
      <c r="I553" s="59" t="s">
        <v>702</v>
      </c>
    </row>
    <row r="554" spans="1:9" ht="11.25" customHeight="1">
      <c r="A554" s="59" t="s">
        <v>2162</v>
      </c>
      <c r="B554" s="59" t="s">
        <v>14</v>
      </c>
      <c r="C554" s="59" t="s">
        <v>4056</v>
      </c>
      <c r="D554" s="59" t="s">
        <v>4057</v>
      </c>
      <c r="E554" s="59" t="s">
        <v>4058</v>
      </c>
      <c r="F554" s="59" t="s">
        <v>2486</v>
      </c>
      <c r="G554" s="59" t="s">
        <v>4059</v>
      </c>
      <c r="I554" s="59" t="s">
        <v>702</v>
      </c>
    </row>
    <row r="555" spans="1:9" ht="11.25" customHeight="1">
      <c r="A555" s="59" t="s">
        <v>2162</v>
      </c>
      <c r="B555" s="59" t="s">
        <v>14</v>
      </c>
      <c r="C555" s="59" t="s">
        <v>4060</v>
      </c>
      <c r="D555" s="59" t="s">
        <v>4061</v>
      </c>
      <c r="E555" s="59" t="s">
        <v>4062</v>
      </c>
      <c r="F555" s="59" t="s">
        <v>2210</v>
      </c>
      <c r="I555" s="59" t="s">
        <v>702</v>
      </c>
    </row>
    <row r="556" spans="1:9" ht="11.25" customHeight="1">
      <c r="A556" s="59" t="s">
        <v>2162</v>
      </c>
      <c r="B556" s="59" t="s">
        <v>14</v>
      </c>
      <c r="C556" s="59" t="s">
        <v>4063</v>
      </c>
      <c r="D556" s="59" t="s">
        <v>4064</v>
      </c>
      <c r="E556" s="59" t="s">
        <v>4065</v>
      </c>
      <c r="F556" s="59" t="s">
        <v>2653</v>
      </c>
      <c r="I556" s="59" t="s">
        <v>702</v>
      </c>
    </row>
    <row r="557" spans="1:9" ht="11.25" customHeight="1">
      <c r="A557" s="59" t="s">
        <v>2162</v>
      </c>
      <c r="B557" s="59" t="s">
        <v>14</v>
      </c>
      <c r="C557" s="59" t="s">
        <v>4066</v>
      </c>
      <c r="D557" s="59" t="s">
        <v>4067</v>
      </c>
      <c r="E557" s="59" t="s">
        <v>4068</v>
      </c>
      <c r="F557" s="59" t="s">
        <v>2266</v>
      </c>
      <c r="G557" s="59" t="s">
        <v>3656</v>
      </c>
      <c r="I557" s="59" t="s">
        <v>702</v>
      </c>
    </row>
    <row r="558" spans="1:9" ht="11.25" customHeight="1">
      <c r="A558" s="59" t="s">
        <v>2162</v>
      </c>
      <c r="B558" s="59" t="s">
        <v>14</v>
      </c>
      <c r="C558" s="59" t="s">
        <v>4069</v>
      </c>
      <c r="D558" s="59" t="s">
        <v>4070</v>
      </c>
      <c r="E558" s="59" t="s">
        <v>4071</v>
      </c>
      <c r="F558" s="59" t="s">
        <v>2486</v>
      </c>
      <c r="I558" s="59" t="s">
        <v>702</v>
      </c>
    </row>
    <row r="559" spans="1:9" ht="11.25" customHeight="1">
      <c r="A559" s="59" t="s">
        <v>2162</v>
      </c>
      <c r="B559" s="59" t="s">
        <v>14</v>
      </c>
      <c r="C559" s="59" t="s">
        <v>4072</v>
      </c>
      <c r="D559" s="59" t="s">
        <v>4073</v>
      </c>
      <c r="E559" s="59" t="s">
        <v>4074</v>
      </c>
      <c r="F559" s="59" t="s">
        <v>2632</v>
      </c>
      <c r="I559" s="59" t="s">
        <v>702</v>
      </c>
    </row>
    <row r="560" spans="1:9" ht="11.25" customHeight="1">
      <c r="A560" s="59" t="s">
        <v>2162</v>
      </c>
      <c r="B560" s="59" t="s">
        <v>14</v>
      </c>
      <c r="C560" s="59" t="s">
        <v>4075</v>
      </c>
      <c r="D560" s="59" t="s">
        <v>4076</v>
      </c>
      <c r="E560" s="59" t="s">
        <v>4077</v>
      </c>
      <c r="F560" s="59" t="s">
        <v>2166</v>
      </c>
      <c r="I560" s="59" t="s">
        <v>702</v>
      </c>
    </row>
    <row r="561" spans="1:9" ht="11.25" customHeight="1">
      <c r="A561" s="59" t="s">
        <v>2162</v>
      </c>
      <c r="B561" s="59" t="s">
        <v>14</v>
      </c>
      <c r="C561" s="59" t="s">
        <v>4078</v>
      </c>
      <c r="D561" s="59" t="s">
        <v>4079</v>
      </c>
      <c r="E561" s="59" t="s">
        <v>4080</v>
      </c>
      <c r="F561" s="59" t="s">
        <v>2257</v>
      </c>
      <c r="I561" s="59" t="s">
        <v>702</v>
      </c>
    </row>
    <row r="562" spans="1:9" ht="11.25" customHeight="1">
      <c r="A562" s="59" t="s">
        <v>2162</v>
      </c>
      <c r="B562" s="59" t="s">
        <v>14</v>
      </c>
      <c r="C562" s="59" t="s">
        <v>4081</v>
      </c>
      <c r="D562" s="59" t="s">
        <v>4082</v>
      </c>
      <c r="E562" s="59" t="s">
        <v>4083</v>
      </c>
      <c r="F562" s="59" t="s">
        <v>2808</v>
      </c>
      <c r="I562" s="59" t="s">
        <v>702</v>
      </c>
    </row>
    <row r="563" spans="1:9" ht="11.25" customHeight="1">
      <c r="A563" s="59" t="s">
        <v>2162</v>
      </c>
      <c r="B563" s="59" t="s">
        <v>14</v>
      </c>
      <c r="C563" s="59" t="s">
        <v>4084</v>
      </c>
      <c r="D563" s="59" t="s">
        <v>4085</v>
      </c>
      <c r="E563" s="59" t="s">
        <v>4086</v>
      </c>
      <c r="F563" s="59" t="s">
        <v>3086</v>
      </c>
      <c r="I563" s="59" t="s">
        <v>702</v>
      </c>
    </row>
    <row r="564" spans="1:9" ht="11.25" customHeight="1">
      <c r="A564" s="59" t="s">
        <v>2162</v>
      </c>
      <c r="B564" s="59" t="s">
        <v>14</v>
      </c>
      <c r="C564" s="59" t="s">
        <v>4087</v>
      </c>
      <c r="D564" s="59" t="s">
        <v>4088</v>
      </c>
      <c r="E564" s="59" t="s">
        <v>4089</v>
      </c>
      <c r="F564" s="59" t="s">
        <v>2391</v>
      </c>
      <c r="I564" s="59" t="s">
        <v>702</v>
      </c>
    </row>
    <row r="565" spans="1:9" ht="11.25" customHeight="1">
      <c r="A565" s="59" t="s">
        <v>2162</v>
      </c>
      <c r="B565" s="59" t="s">
        <v>14</v>
      </c>
      <c r="C565" s="59" t="s">
        <v>4090</v>
      </c>
      <c r="D565" s="59" t="s">
        <v>4091</v>
      </c>
      <c r="E565" s="59" t="s">
        <v>4092</v>
      </c>
      <c r="F565" s="59" t="s">
        <v>4093</v>
      </c>
      <c r="I565" s="59" t="s">
        <v>702</v>
      </c>
    </row>
    <row r="566" spans="1:9" ht="11.25" customHeight="1">
      <c r="A566" s="59" t="s">
        <v>2162</v>
      </c>
      <c r="B566" s="59" t="s">
        <v>14</v>
      </c>
      <c r="C566" s="59" t="s">
        <v>4094</v>
      </c>
      <c r="D566" s="59" t="s">
        <v>4095</v>
      </c>
      <c r="E566" s="59" t="s">
        <v>4096</v>
      </c>
      <c r="F566" s="59" t="s">
        <v>4097</v>
      </c>
      <c r="I566" s="59" t="s">
        <v>702</v>
      </c>
    </row>
    <row r="567" spans="1:9" ht="11.25" customHeight="1">
      <c r="A567" s="59" t="s">
        <v>2162</v>
      </c>
      <c r="B567" s="59" t="s">
        <v>14</v>
      </c>
      <c r="C567" s="59" t="s">
        <v>4098</v>
      </c>
      <c r="D567" s="59" t="s">
        <v>4099</v>
      </c>
      <c r="E567" s="59" t="s">
        <v>4100</v>
      </c>
      <c r="F567" s="59" t="s">
        <v>2478</v>
      </c>
      <c r="G567" s="59" t="s">
        <v>3656</v>
      </c>
      <c r="I567" s="59" t="s">
        <v>702</v>
      </c>
    </row>
    <row r="568" spans="1:9" ht="11.25" customHeight="1">
      <c r="A568" s="59" t="s">
        <v>2162</v>
      </c>
      <c r="B568" s="59" t="s">
        <v>14</v>
      </c>
      <c r="C568" s="59" t="s">
        <v>4101</v>
      </c>
      <c r="D568" s="59" t="s">
        <v>4102</v>
      </c>
      <c r="E568" s="59" t="s">
        <v>4103</v>
      </c>
      <c r="F568" s="59" t="s">
        <v>4104</v>
      </c>
      <c r="I568" s="59" t="s">
        <v>702</v>
      </c>
    </row>
    <row r="569" spans="1:9" ht="11.25" customHeight="1">
      <c r="A569" s="59" t="s">
        <v>2162</v>
      </c>
      <c r="B569" s="59" t="s">
        <v>14</v>
      </c>
      <c r="C569" s="59" t="s">
        <v>4105</v>
      </c>
      <c r="D569" s="59" t="s">
        <v>4106</v>
      </c>
      <c r="E569" s="59" t="s">
        <v>4107</v>
      </c>
      <c r="F569" s="59" t="s">
        <v>3957</v>
      </c>
      <c r="G569" s="59" t="s">
        <v>4108</v>
      </c>
      <c r="I569" s="59" t="s">
        <v>702</v>
      </c>
    </row>
    <row r="570" spans="1:9" ht="11.25" customHeight="1">
      <c r="A570" s="59" t="s">
        <v>2162</v>
      </c>
      <c r="B570" s="59" t="s">
        <v>14</v>
      </c>
      <c r="C570" s="59" t="s">
        <v>4109</v>
      </c>
      <c r="D570" s="59" t="s">
        <v>4110</v>
      </c>
      <c r="E570" s="59" t="s">
        <v>4111</v>
      </c>
      <c r="F570" s="59" t="s">
        <v>2291</v>
      </c>
      <c r="I570" s="59" t="s">
        <v>702</v>
      </c>
    </row>
    <row r="571" spans="1:9" ht="11.25" customHeight="1">
      <c r="A571" s="59" t="s">
        <v>2162</v>
      </c>
      <c r="B571" s="59" t="s">
        <v>14</v>
      </c>
      <c r="C571" s="59" t="s">
        <v>4112</v>
      </c>
      <c r="D571" s="59" t="s">
        <v>4113</v>
      </c>
      <c r="E571" s="59" t="s">
        <v>4114</v>
      </c>
      <c r="F571" s="59" t="s">
        <v>2228</v>
      </c>
      <c r="G571" s="59" t="s">
        <v>4115</v>
      </c>
      <c r="I571" s="59" t="s">
        <v>702</v>
      </c>
    </row>
    <row r="572" spans="1:9" ht="11.25" customHeight="1">
      <c r="A572" s="59" t="s">
        <v>2162</v>
      </c>
      <c r="B572" s="59" t="s">
        <v>14</v>
      </c>
      <c r="C572" s="59" t="s">
        <v>4116</v>
      </c>
      <c r="D572" s="59" t="s">
        <v>4117</v>
      </c>
      <c r="E572" s="59" t="s">
        <v>4118</v>
      </c>
      <c r="F572" s="59" t="s">
        <v>2228</v>
      </c>
      <c r="I572" s="59" t="s">
        <v>702</v>
      </c>
    </row>
    <row r="573" spans="1:9" ht="11.25" customHeight="1">
      <c r="A573" s="59" t="s">
        <v>2162</v>
      </c>
      <c r="B573" s="59" t="s">
        <v>14</v>
      </c>
      <c r="C573" s="59" t="s">
        <v>4119</v>
      </c>
      <c r="D573" s="59" t="s">
        <v>4120</v>
      </c>
      <c r="E573" s="59" t="s">
        <v>4121</v>
      </c>
      <c r="F573" s="59" t="s">
        <v>2625</v>
      </c>
      <c r="H573" s="59" t="s">
        <v>4122</v>
      </c>
      <c r="I573" s="59" t="s">
        <v>702</v>
      </c>
    </row>
    <row r="574" spans="1:9" ht="11.25" customHeight="1">
      <c r="A574" s="59" t="s">
        <v>2162</v>
      </c>
      <c r="B574" s="59" t="s">
        <v>14</v>
      </c>
      <c r="C574" s="59" t="s">
        <v>4123</v>
      </c>
      <c r="D574" s="59" t="s">
        <v>4124</v>
      </c>
      <c r="E574" s="59" t="s">
        <v>4125</v>
      </c>
      <c r="F574" s="59" t="s">
        <v>2625</v>
      </c>
      <c r="H574" s="59" t="s">
        <v>4122</v>
      </c>
      <c r="I574" s="59" t="s">
        <v>702</v>
      </c>
    </row>
    <row r="575" spans="1:9" ht="11.25" customHeight="1">
      <c r="A575" s="59" t="s">
        <v>2162</v>
      </c>
      <c r="B575" s="59" t="s">
        <v>14</v>
      </c>
      <c r="C575" s="59" t="s">
        <v>4126</v>
      </c>
      <c r="D575" s="59" t="s">
        <v>4127</v>
      </c>
      <c r="E575" s="59" t="s">
        <v>4128</v>
      </c>
      <c r="F575" s="59" t="s">
        <v>2277</v>
      </c>
      <c r="I575" s="59" t="s">
        <v>702</v>
      </c>
    </row>
    <row r="576" spans="1:9" ht="11.25" customHeight="1">
      <c r="A576" s="59" t="s">
        <v>2162</v>
      </c>
      <c r="B576" s="59" t="s">
        <v>14</v>
      </c>
      <c r="C576" s="59" t="s">
        <v>4129</v>
      </c>
      <c r="D576" s="59" t="s">
        <v>4130</v>
      </c>
      <c r="E576" s="59" t="s">
        <v>4131</v>
      </c>
      <c r="F576" s="59" t="s">
        <v>2220</v>
      </c>
      <c r="G576" s="59" t="s">
        <v>4132</v>
      </c>
      <c r="I576" s="59" t="s">
        <v>702</v>
      </c>
    </row>
    <row r="577" spans="1:9" ht="11.25" customHeight="1">
      <c r="A577" s="59" t="s">
        <v>2162</v>
      </c>
      <c r="B577" s="59" t="s">
        <v>14</v>
      </c>
      <c r="C577" s="59" t="s">
        <v>4133</v>
      </c>
      <c r="D577" s="59" t="s">
        <v>4134</v>
      </c>
      <c r="E577" s="59" t="s">
        <v>4135</v>
      </c>
      <c r="F577" s="59" t="s">
        <v>2248</v>
      </c>
      <c r="G577" s="59" t="s">
        <v>4136</v>
      </c>
      <c r="I577" s="59" t="s">
        <v>702</v>
      </c>
    </row>
    <row r="578" spans="1:9" ht="11.25" customHeight="1">
      <c r="A578" s="59" t="s">
        <v>2162</v>
      </c>
      <c r="B578" s="59" t="s">
        <v>14</v>
      </c>
      <c r="C578" s="59" t="s">
        <v>4137</v>
      </c>
      <c r="D578" s="59" t="s">
        <v>4138</v>
      </c>
      <c r="E578" s="59" t="s">
        <v>4139</v>
      </c>
      <c r="F578" s="59" t="s">
        <v>3154</v>
      </c>
      <c r="G578" s="59" t="s">
        <v>4140</v>
      </c>
      <c r="I578" s="59" t="s">
        <v>702</v>
      </c>
    </row>
    <row r="579" spans="1:9" ht="11.25" customHeight="1">
      <c r="A579" s="59" t="s">
        <v>2162</v>
      </c>
      <c r="B579" s="59" t="s">
        <v>14</v>
      </c>
      <c r="C579" s="59" t="s">
        <v>4141</v>
      </c>
      <c r="D579" s="59" t="s">
        <v>4142</v>
      </c>
      <c r="E579" s="59" t="s">
        <v>4143</v>
      </c>
      <c r="F579" s="59" t="s">
        <v>4144</v>
      </c>
      <c r="G579" s="59" t="s">
        <v>4145</v>
      </c>
      <c r="I579" s="59" t="s">
        <v>702</v>
      </c>
    </row>
    <row r="580" spans="1:9" ht="11.25" customHeight="1">
      <c r="A580" s="59" t="s">
        <v>2162</v>
      </c>
      <c r="B580" s="59" t="s">
        <v>14</v>
      </c>
      <c r="C580" s="59" t="s">
        <v>4146</v>
      </c>
      <c r="D580" s="59" t="s">
        <v>4147</v>
      </c>
      <c r="E580" s="59" t="s">
        <v>4148</v>
      </c>
      <c r="F580" s="59" t="s">
        <v>2202</v>
      </c>
      <c r="G580" s="59" t="s">
        <v>4149</v>
      </c>
      <c r="I580" s="59" t="s">
        <v>702</v>
      </c>
    </row>
    <row r="581" spans="1:9" ht="11.25" customHeight="1">
      <c r="A581" s="59" t="s">
        <v>2162</v>
      </c>
      <c r="B581" s="59" t="s">
        <v>14</v>
      </c>
      <c r="C581" s="59" t="s">
        <v>4150</v>
      </c>
      <c r="D581" s="59" t="s">
        <v>4151</v>
      </c>
      <c r="E581" s="59" t="s">
        <v>4152</v>
      </c>
      <c r="F581" s="59" t="s">
        <v>2299</v>
      </c>
      <c r="I581" s="59" t="s">
        <v>702</v>
      </c>
    </row>
    <row r="582" spans="1:9" ht="11.25" customHeight="1">
      <c r="A582" s="59" t="s">
        <v>2162</v>
      </c>
      <c r="B582" s="59" t="s">
        <v>14</v>
      </c>
      <c r="C582" s="59" t="s">
        <v>4153</v>
      </c>
      <c r="D582" s="59" t="s">
        <v>4154</v>
      </c>
      <c r="E582" s="59" t="s">
        <v>4111</v>
      </c>
      <c r="F582" s="59" t="s">
        <v>4155</v>
      </c>
      <c r="I582" s="59" t="s">
        <v>702</v>
      </c>
    </row>
    <row r="583" spans="1:9" ht="11.25" customHeight="1">
      <c r="A583" s="59" t="s">
        <v>2162</v>
      </c>
      <c r="B583" s="59" t="s">
        <v>14</v>
      </c>
      <c r="C583" s="59" t="s">
        <v>4156</v>
      </c>
      <c r="D583" s="59" t="s">
        <v>4157</v>
      </c>
      <c r="E583" s="59" t="s">
        <v>4111</v>
      </c>
      <c r="F583" s="59" t="s">
        <v>2743</v>
      </c>
      <c r="G583" s="59" t="s">
        <v>4158</v>
      </c>
      <c r="I583" s="59" t="s">
        <v>702</v>
      </c>
    </row>
    <row r="584" spans="1:9" ht="11.25" customHeight="1">
      <c r="A584" s="59" t="s">
        <v>2162</v>
      </c>
      <c r="B584" s="59" t="s">
        <v>14</v>
      </c>
      <c r="C584" s="59" t="s">
        <v>4159</v>
      </c>
      <c r="D584" s="59" t="s">
        <v>4160</v>
      </c>
      <c r="E584" s="59" t="s">
        <v>4161</v>
      </c>
      <c r="F584" s="59" t="s">
        <v>2441</v>
      </c>
      <c r="I584" s="59" t="s">
        <v>702</v>
      </c>
    </row>
    <row r="585" spans="1:9" ht="11.25" customHeight="1">
      <c r="A585" s="59" t="s">
        <v>2162</v>
      </c>
      <c r="B585" s="59" t="s">
        <v>14</v>
      </c>
      <c r="D585" s="59" t="s">
        <v>4162</v>
      </c>
      <c r="E585" s="59" t="s">
        <v>4163</v>
      </c>
      <c r="F585" s="59" t="s">
        <v>2291</v>
      </c>
      <c r="I585" s="59" t="s">
        <v>702</v>
      </c>
    </row>
    <row r="586" spans="1:9" ht="11.25" customHeight="1">
      <c r="A586" s="59" t="s">
        <v>2162</v>
      </c>
      <c r="B586" s="59" t="s">
        <v>14</v>
      </c>
      <c r="C586" s="59" t="s">
        <v>4164</v>
      </c>
      <c r="D586" s="59" t="s">
        <v>4165</v>
      </c>
      <c r="E586" s="59" t="s">
        <v>4166</v>
      </c>
      <c r="F586" s="59" t="s">
        <v>2193</v>
      </c>
      <c r="G586" s="59" t="s">
        <v>4167</v>
      </c>
      <c r="I586" s="59" t="s">
        <v>702</v>
      </c>
    </row>
    <row r="587" spans="1:9" ht="11.25" customHeight="1">
      <c r="A587" s="59" t="s">
        <v>2162</v>
      </c>
      <c r="B587" s="59" t="s">
        <v>14</v>
      </c>
      <c r="C587" s="59" t="s">
        <v>4168</v>
      </c>
      <c r="D587" s="59" t="s">
        <v>4169</v>
      </c>
      <c r="E587" s="59" t="s">
        <v>4170</v>
      </c>
      <c r="F587" s="59" t="s">
        <v>3146</v>
      </c>
      <c r="I587" s="59" t="s">
        <v>702</v>
      </c>
    </row>
    <row r="588" spans="1:9" ht="11.25" customHeight="1">
      <c r="A588" s="59" t="s">
        <v>2162</v>
      </c>
      <c r="B588" s="59" t="s">
        <v>14</v>
      </c>
      <c r="C588" s="59" t="s">
        <v>4171</v>
      </c>
      <c r="D588" s="59" t="s">
        <v>4172</v>
      </c>
      <c r="E588" s="59" t="s">
        <v>4173</v>
      </c>
      <c r="F588" s="59" t="s">
        <v>2632</v>
      </c>
      <c r="I588" s="59" t="s">
        <v>702</v>
      </c>
    </row>
    <row r="589" spans="1:9" ht="11.25" customHeight="1">
      <c r="A589" s="59" t="s">
        <v>2162</v>
      </c>
      <c r="B589" s="59" t="s">
        <v>14</v>
      </c>
      <c r="C589" s="59" t="s">
        <v>4174</v>
      </c>
      <c r="D589" s="59" t="s">
        <v>4175</v>
      </c>
      <c r="E589" s="59" t="s">
        <v>4176</v>
      </c>
      <c r="F589" s="59" t="s">
        <v>2166</v>
      </c>
      <c r="I589" s="59" t="s">
        <v>702</v>
      </c>
    </row>
    <row r="590" spans="1:9" ht="11.25" customHeight="1">
      <c r="A590" s="59" t="s">
        <v>2162</v>
      </c>
      <c r="B590" s="59" t="s">
        <v>14</v>
      </c>
      <c r="C590" s="59" t="s">
        <v>4177</v>
      </c>
      <c r="D590" s="59" t="s">
        <v>4178</v>
      </c>
      <c r="E590" s="59" t="s">
        <v>4179</v>
      </c>
      <c r="F590" s="59" t="s">
        <v>3506</v>
      </c>
      <c r="I590" s="59" t="s">
        <v>702</v>
      </c>
    </row>
    <row r="591" spans="1:9" ht="11.25" customHeight="1">
      <c r="A591" s="59" t="s">
        <v>2162</v>
      </c>
      <c r="B591" s="59" t="s">
        <v>14</v>
      </c>
      <c r="C591" s="59" t="s">
        <v>4180</v>
      </c>
      <c r="D591" s="59" t="s">
        <v>4181</v>
      </c>
      <c r="E591" s="59" t="s">
        <v>4182</v>
      </c>
      <c r="F591" s="59" t="s">
        <v>2248</v>
      </c>
      <c r="I591" s="59" t="s">
        <v>702</v>
      </c>
    </row>
    <row r="592" spans="1:9" ht="11.25" customHeight="1">
      <c r="A592" s="59" t="s">
        <v>2162</v>
      </c>
      <c r="B592" s="59" t="s">
        <v>14</v>
      </c>
      <c r="C592" s="59" t="s">
        <v>4183</v>
      </c>
      <c r="D592" s="59" t="s">
        <v>4184</v>
      </c>
      <c r="E592" s="59" t="s">
        <v>4185</v>
      </c>
      <c r="F592" s="59" t="s">
        <v>2166</v>
      </c>
      <c r="G592" s="59" t="s">
        <v>4186</v>
      </c>
      <c r="I592" s="59" t="s">
        <v>702</v>
      </c>
    </row>
    <row r="593" spans="1:9" ht="11.25" customHeight="1">
      <c r="A593" s="59" t="s">
        <v>2162</v>
      </c>
      <c r="B593" s="59" t="s">
        <v>14</v>
      </c>
      <c r="C593" s="59" t="s">
        <v>4187</v>
      </c>
      <c r="D593" s="59" t="s">
        <v>4188</v>
      </c>
      <c r="E593" s="59" t="s">
        <v>4189</v>
      </c>
      <c r="F593" s="59" t="s">
        <v>4190</v>
      </c>
      <c r="I593" s="59" t="s">
        <v>702</v>
      </c>
    </row>
    <row r="594" spans="1:9" ht="11.25" customHeight="1">
      <c r="A594" s="59" t="s">
        <v>2162</v>
      </c>
      <c r="B594" s="59" t="s">
        <v>14</v>
      </c>
      <c r="C594" s="59" t="s">
        <v>4191</v>
      </c>
      <c r="D594" s="59" t="s">
        <v>4192</v>
      </c>
      <c r="E594" s="59" t="s">
        <v>4193</v>
      </c>
      <c r="F594" s="59" t="s">
        <v>4194</v>
      </c>
      <c r="G594" s="59" t="s">
        <v>4195</v>
      </c>
      <c r="I594" s="59" t="s">
        <v>702</v>
      </c>
    </row>
    <row r="595" spans="1:9" ht="11.25" customHeight="1">
      <c r="A595" s="59" t="s">
        <v>2162</v>
      </c>
      <c r="B595" s="59" t="s">
        <v>14</v>
      </c>
      <c r="C595" s="59" t="s">
        <v>4196</v>
      </c>
      <c r="D595" s="59" t="s">
        <v>4197</v>
      </c>
      <c r="E595" s="59" t="s">
        <v>4198</v>
      </c>
      <c r="F595" s="59" t="s">
        <v>4199</v>
      </c>
      <c r="I595" s="59" t="s">
        <v>702</v>
      </c>
    </row>
    <row r="596" spans="1:9" ht="11.25" customHeight="1">
      <c r="A596" s="59" t="s">
        <v>2162</v>
      </c>
      <c r="B596" s="59" t="s">
        <v>14</v>
      </c>
      <c r="C596" s="59" t="s">
        <v>4200</v>
      </c>
      <c r="D596" s="59" t="s">
        <v>4201</v>
      </c>
      <c r="E596" s="59" t="s">
        <v>4202</v>
      </c>
      <c r="F596" s="59" t="s">
        <v>2166</v>
      </c>
      <c r="I596" s="59" t="s">
        <v>702</v>
      </c>
    </row>
    <row r="597" spans="1:9" ht="11.25" customHeight="1">
      <c r="A597" s="59" t="s">
        <v>2162</v>
      </c>
      <c r="B597" s="59" t="s">
        <v>14</v>
      </c>
      <c r="C597" s="59" t="s">
        <v>4203</v>
      </c>
      <c r="D597" s="59" t="s">
        <v>4204</v>
      </c>
      <c r="E597" s="59" t="s">
        <v>4205</v>
      </c>
      <c r="F597" s="59" t="s">
        <v>2166</v>
      </c>
      <c r="G597" s="59" t="s">
        <v>4206</v>
      </c>
      <c r="I597" s="59" t="s">
        <v>702</v>
      </c>
    </row>
    <row r="598" spans="1:9" ht="11.25" customHeight="1">
      <c r="A598" s="59" t="s">
        <v>2162</v>
      </c>
      <c r="B598" s="59" t="s">
        <v>14</v>
      </c>
      <c r="C598" s="59" t="s">
        <v>4207</v>
      </c>
      <c r="D598" s="59" t="s">
        <v>4208</v>
      </c>
      <c r="E598" s="59" t="s">
        <v>4209</v>
      </c>
      <c r="F598" s="59" t="s">
        <v>2291</v>
      </c>
      <c r="I598" s="59" t="s">
        <v>702</v>
      </c>
    </row>
    <row r="599" spans="1:9" ht="11.25" customHeight="1">
      <c r="A599" s="59" t="s">
        <v>2162</v>
      </c>
      <c r="B599" s="59" t="s">
        <v>14</v>
      </c>
      <c r="C599" s="59" t="s">
        <v>4210</v>
      </c>
      <c r="D599" s="59" t="s">
        <v>4211</v>
      </c>
      <c r="E599" s="59" t="s">
        <v>4212</v>
      </c>
      <c r="F599" s="59" t="s">
        <v>4213</v>
      </c>
      <c r="I599" s="59" t="s">
        <v>702</v>
      </c>
    </row>
    <row r="600" spans="1:9" ht="11.25" customHeight="1">
      <c r="A600" s="59" t="s">
        <v>2162</v>
      </c>
      <c r="B600" s="59" t="s">
        <v>14</v>
      </c>
      <c r="C600" s="59" t="s">
        <v>4214</v>
      </c>
      <c r="D600" s="59" t="s">
        <v>4215</v>
      </c>
      <c r="E600" s="59" t="s">
        <v>4216</v>
      </c>
      <c r="F600" s="59" t="s">
        <v>2243</v>
      </c>
      <c r="I600" s="59" t="s">
        <v>702</v>
      </c>
    </row>
    <row r="601" spans="1:9" ht="11.25" customHeight="1">
      <c r="A601" s="59" t="s">
        <v>2162</v>
      </c>
      <c r="B601" s="59" t="s">
        <v>14</v>
      </c>
      <c r="C601" s="59" t="s">
        <v>4217</v>
      </c>
      <c r="D601" s="59" t="s">
        <v>4218</v>
      </c>
      <c r="E601" s="59" t="s">
        <v>4219</v>
      </c>
      <c r="F601" s="59" t="s">
        <v>2291</v>
      </c>
      <c r="I601" s="59" t="s">
        <v>702</v>
      </c>
    </row>
    <row r="602" spans="1:9" ht="11.25" customHeight="1">
      <c r="A602" s="59" t="s">
        <v>2162</v>
      </c>
      <c r="B602" s="59" t="s">
        <v>14</v>
      </c>
      <c r="C602" s="59" t="s">
        <v>4220</v>
      </c>
      <c r="D602" s="59" t="s">
        <v>4221</v>
      </c>
      <c r="E602" s="59" t="s">
        <v>4222</v>
      </c>
      <c r="F602" s="59" t="s">
        <v>2248</v>
      </c>
      <c r="I602" s="59" t="s">
        <v>702</v>
      </c>
    </row>
    <row r="603" spans="1:9" ht="11.25" customHeight="1">
      <c r="A603" s="59" t="s">
        <v>2162</v>
      </c>
      <c r="B603" s="59" t="s">
        <v>14</v>
      </c>
      <c r="C603" s="59" t="s">
        <v>4223</v>
      </c>
      <c r="D603" s="59" t="s">
        <v>4224</v>
      </c>
      <c r="E603" s="59" t="s">
        <v>4225</v>
      </c>
      <c r="F603" s="59" t="s">
        <v>2266</v>
      </c>
      <c r="G603" s="59" t="s">
        <v>4226</v>
      </c>
      <c r="I603" s="59" t="s">
        <v>702</v>
      </c>
    </row>
    <row r="604" spans="1:9" ht="11.25" customHeight="1">
      <c r="A604" s="59" t="s">
        <v>2162</v>
      </c>
      <c r="B604" s="59" t="s">
        <v>14</v>
      </c>
      <c r="C604" s="59" t="s">
        <v>4227</v>
      </c>
      <c r="D604" s="59" t="s">
        <v>4228</v>
      </c>
      <c r="E604" s="59" t="s">
        <v>4229</v>
      </c>
      <c r="F604" s="59" t="s">
        <v>2478</v>
      </c>
      <c r="I604" s="59" t="s">
        <v>702</v>
      </c>
    </row>
    <row r="605" spans="1:9" ht="11.25" customHeight="1">
      <c r="A605" s="59" t="s">
        <v>2162</v>
      </c>
      <c r="B605" s="59" t="s">
        <v>14</v>
      </c>
      <c r="C605" s="59" t="s">
        <v>4230</v>
      </c>
      <c r="D605" s="59" t="s">
        <v>4231</v>
      </c>
      <c r="E605" s="59" t="s">
        <v>4232</v>
      </c>
      <c r="F605" s="59" t="s">
        <v>3075</v>
      </c>
      <c r="I605" s="59" t="s">
        <v>702</v>
      </c>
    </row>
    <row r="606" spans="1:9" ht="11.25" customHeight="1">
      <c r="A606" s="59" t="s">
        <v>2162</v>
      </c>
      <c r="B606" s="59" t="s">
        <v>14</v>
      </c>
      <c r="C606" s="59" t="s">
        <v>4233</v>
      </c>
      <c r="D606" s="59" t="s">
        <v>4234</v>
      </c>
      <c r="E606" s="59" t="s">
        <v>4209</v>
      </c>
      <c r="F606" s="59" t="s">
        <v>2669</v>
      </c>
      <c r="G606" s="59" t="s">
        <v>4235</v>
      </c>
      <c r="I606" s="59" t="s">
        <v>702</v>
      </c>
    </row>
    <row r="607" spans="1:9" ht="11.25" customHeight="1">
      <c r="A607" s="59" t="s">
        <v>2162</v>
      </c>
      <c r="B607" s="59" t="s">
        <v>14</v>
      </c>
      <c r="C607" s="59" t="s">
        <v>4236</v>
      </c>
      <c r="D607" s="59" t="s">
        <v>4237</v>
      </c>
      <c r="E607" s="59" t="s">
        <v>4238</v>
      </c>
      <c r="F607" s="59" t="s">
        <v>3154</v>
      </c>
      <c r="I607" s="59" t="s">
        <v>702</v>
      </c>
    </row>
    <row r="608" spans="1:9" ht="11.25" customHeight="1">
      <c r="A608" s="59" t="s">
        <v>2162</v>
      </c>
      <c r="B608" s="59" t="s">
        <v>14</v>
      </c>
      <c r="C608" s="59" t="s">
        <v>4239</v>
      </c>
      <c r="D608" s="59" t="s">
        <v>4240</v>
      </c>
      <c r="E608" s="59" t="s">
        <v>4143</v>
      </c>
      <c r="F608" s="59" t="s">
        <v>4241</v>
      </c>
      <c r="G608" s="59" t="s">
        <v>4242</v>
      </c>
      <c r="I608" s="59" t="s">
        <v>702</v>
      </c>
    </row>
    <row r="609" spans="1:9" ht="11.25" customHeight="1">
      <c r="A609" s="59" t="s">
        <v>2162</v>
      </c>
      <c r="B609" s="59" t="s">
        <v>14</v>
      </c>
      <c r="C609" s="59" t="s">
        <v>4243</v>
      </c>
      <c r="D609" s="59" t="s">
        <v>4244</v>
      </c>
      <c r="E609" s="59" t="s">
        <v>2477</v>
      </c>
      <c r="F609" s="59" t="s">
        <v>4245</v>
      </c>
      <c r="I609" s="59" t="s">
        <v>702</v>
      </c>
    </row>
    <row r="610" spans="1:9" ht="11.25" customHeight="1">
      <c r="A610" s="59" t="s">
        <v>2162</v>
      </c>
      <c r="B610" s="59" t="s">
        <v>14</v>
      </c>
      <c r="C610" s="59" t="s">
        <v>4246</v>
      </c>
      <c r="D610" s="59" t="s">
        <v>4247</v>
      </c>
      <c r="E610" s="59" t="s">
        <v>2477</v>
      </c>
      <c r="F610" s="59" t="s">
        <v>2573</v>
      </c>
      <c r="G610" s="59" t="s">
        <v>4248</v>
      </c>
      <c r="I610" s="59" t="s">
        <v>702</v>
      </c>
    </row>
    <row r="611" spans="1:9" ht="11.25" customHeight="1">
      <c r="A611" s="59" t="s">
        <v>2162</v>
      </c>
      <c r="B611" s="59" t="s">
        <v>14</v>
      </c>
      <c r="C611" s="59" t="s">
        <v>4249</v>
      </c>
      <c r="D611" s="59" t="s">
        <v>4250</v>
      </c>
      <c r="E611" s="59" t="s">
        <v>2390</v>
      </c>
      <c r="F611" s="59" t="s">
        <v>4251</v>
      </c>
      <c r="I611" s="59" t="s">
        <v>702</v>
      </c>
    </row>
    <row r="612" spans="1:9" ht="11.25" customHeight="1">
      <c r="A612" s="59" t="s">
        <v>2162</v>
      </c>
      <c r="B612" s="59" t="s">
        <v>14</v>
      </c>
      <c r="C612" s="59" t="s">
        <v>4252</v>
      </c>
      <c r="D612" s="59" t="s">
        <v>43</v>
      </c>
      <c r="E612" s="59" t="s">
        <v>46</v>
      </c>
      <c r="F612" s="59" t="s">
        <v>48</v>
      </c>
      <c r="G612" s="59" t="s">
        <v>4253</v>
      </c>
      <c r="I612" s="59" t="s">
        <v>702</v>
      </c>
    </row>
    <row r="613" spans="1:9" ht="11.25" customHeight="1">
      <c r="A613" s="59" t="s">
        <v>2162</v>
      </c>
      <c r="B613" s="59" t="s">
        <v>14</v>
      </c>
      <c r="C613" s="59" t="s">
        <v>4254</v>
      </c>
      <c r="D613" s="59" t="s">
        <v>4255</v>
      </c>
      <c r="E613" s="59" t="s">
        <v>4256</v>
      </c>
      <c r="F613" s="59" t="s">
        <v>4257</v>
      </c>
      <c r="I613" s="59" t="s">
        <v>702</v>
      </c>
    </row>
    <row r="614" spans="1:9" ht="11.25" customHeight="1">
      <c r="A614" s="59" t="s">
        <v>2162</v>
      </c>
      <c r="B614" s="59" t="s">
        <v>14</v>
      </c>
      <c r="C614" s="59" t="s">
        <v>4258</v>
      </c>
      <c r="D614" s="59" t="s">
        <v>4259</v>
      </c>
      <c r="E614" s="59" t="s">
        <v>2284</v>
      </c>
      <c r="F614" s="59" t="s">
        <v>4260</v>
      </c>
      <c r="I614" s="59" t="s">
        <v>702</v>
      </c>
    </row>
    <row r="615" spans="1:9" ht="11.25" customHeight="1">
      <c r="A615" s="59" t="s">
        <v>2162</v>
      </c>
      <c r="B615" s="59" t="s">
        <v>14</v>
      </c>
      <c r="C615" s="59" t="s">
        <v>4261</v>
      </c>
      <c r="D615" s="59" t="s">
        <v>4262</v>
      </c>
      <c r="E615" s="59" t="s">
        <v>4263</v>
      </c>
      <c r="F615" s="59" t="s">
        <v>4264</v>
      </c>
      <c r="I615" s="59" t="s">
        <v>702</v>
      </c>
    </row>
    <row r="616" spans="1:9" ht="11.25" customHeight="1">
      <c r="A616" s="59" t="s">
        <v>2162</v>
      </c>
      <c r="B616" s="59" t="s">
        <v>14</v>
      </c>
      <c r="C616" s="59" t="s">
        <v>2163</v>
      </c>
      <c r="D616" s="59" t="s">
        <v>2164</v>
      </c>
      <c r="E616" s="59" t="s">
        <v>2165</v>
      </c>
      <c r="F616" s="59" t="s">
        <v>2166</v>
      </c>
      <c r="G616" s="59" t="s">
        <v>2167</v>
      </c>
      <c r="I616" s="59" t="s">
        <v>786</v>
      </c>
    </row>
    <row r="617" spans="1:9" ht="11.25" customHeight="1">
      <c r="A617" s="59" t="s">
        <v>2162</v>
      </c>
      <c r="B617" s="59" t="s">
        <v>14</v>
      </c>
      <c r="C617" s="59" t="s">
        <v>2172</v>
      </c>
      <c r="D617" s="59" t="s">
        <v>2173</v>
      </c>
      <c r="E617" s="59" t="s">
        <v>2174</v>
      </c>
      <c r="F617" s="59" t="s">
        <v>2175</v>
      </c>
      <c r="G617" s="59" t="s">
        <v>2176</v>
      </c>
      <c r="I617" s="59" t="s">
        <v>786</v>
      </c>
    </row>
    <row r="618" spans="1:9" ht="11.25" customHeight="1">
      <c r="A618" s="59" t="s">
        <v>2162</v>
      </c>
      <c r="B618" s="59" t="s">
        <v>14</v>
      </c>
      <c r="C618" s="59" t="s">
        <v>2181</v>
      </c>
      <c r="D618" s="59" t="s">
        <v>2182</v>
      </c>
      <c r="E618" s="59" t="s">
        <v>2183</v>
      </c>
      <c r="F618" s="59" t="s">
        <v>2184</v>
      </c>
      <c r="I618" s="59" t="s">
        <v>786</v>
      </c>
    </row>
    <row r="619" spans="1:9" ht="11.25" customHeight="1">
      <c r="A619" s="59" t="s">
        <v>2162</v>
      </c>
      <c r="B619" s="59" t="s">
        <v>14</v>
      </c>
      <c r="C619" s="59" t="s">
        <v>2207</v>
      </c>
      <c r="D619" s="59" t="s">
        <v>2208</v>
      </c>
      <c r="E619" s="59" t="s">
        <v>2209</v>
      </c>
      <c r="F619" s="59" t="s">
        <v>2210</v>
      </c>
      <c r="I619" s="59" t="s">
        <v>786</v>
      </c>
    </row>
    <row r="620" spans="1:9" ht="11.25" customHeight="1">
      <c r="A620" s="59" t="s">
        <v>2162</v>
      </c>
      <c r="B620" s="59" t="s">
        <v>14</v>
      </c>
      <c r="C620" s="59" t="s">
        <v>2218</v>
      </c>
      <c r="D620" s="59" t="s">
        <v>2219</v>
      </c>
      <c r="E620" s="59" t="s">
        <v>2216</v>
      </c>
      <c r="F620" s="59" t="s">
        <v>2220</v>
      </c>
      <c r="G620" s="59" t="s">
        <v>2221</v>
      </c>
      <c r="I620" s="59" t="s">
        <v>786</v>
      </c>
    </row>
    <row r="621" spans="1:9" ht="11.25" customHeight="1">
      <c r="A621" s="59" t="s">
        <v>2162</v>
      </c>
      <c r="B621" s="59" t="s">
        <v>14</v>
      </c>
      <c r="C621" s="59" t="s">
        <v>2222</v>
      </c>
      <c r="D621" s="59" t="s">
        <v>2223</v>
      </c>
      <c r="E621" s="59" t="s">
        <v>2224</v>
      </c>
      <c r="F621" s="59" t="s">
        <v>2180</v>
      </c>
      <c r="I621" s="59" t="s">
        <v>786</v>
      </c>
    </row>
    <row r="622" spans="1:9" ht="11.25" customHeight="1">
      <c r="A622" s="59" t="s">
        <v>2162</v>
      </c>
      <c r="B622" s="59" t="s">
        <v>14</v>
      </c>
      <c r="C622" s="59" t="s">
        <v>2225</v>
      </c>
      <c r="D622" s="59" t="s">
        <v>2226</v>
      </c>
      <c r="E622" s="59" t="s">
        <v>2227</v>
      </c>
      <c r="F622" s="59" t="s">
        <v>2228</v>
      </c>
      <c r="G622" s="59" t="s">
        <v>2229</v>
      </c>
      <c r="I622" s="59" t="s">
        <v>786</v>
      </c>
    </row>
    <row r="623" spans="1:9" ht="11.25" customHeight="1">
      <c r="A623" s="59" t="s">
        <v>2162</v>
      </c>
      <c r="B623" s="59" t="s">
        <v>14</v>
      </c>
      <c r="C623" s="59" t="s">
        <v>2237</v>
      </c>
      <c r="D623" s="59" t="s">
        <v>2238</v>
      </c>
      <c r="E623" s="59" t="s">
        <v>2239</v>
      </c>
      <c r="F623" s="59" t="s">
        <v>2210</v>
      </c>
      <c r="I623" s="59" t="s">
        <v>786</v>
      </c>
    </row>
    <row r="624" spans="1:9" ht="11.25" customHeight="1">
      <c r="A624" s="59" t="s">
        <v>2162</v>
      </c>
      <c r="B624" s="59" t="s">
        <v>14</v>
      </c>
      <c r="C624" s="59" t="s">
        <v>2282</v>
      </c>
      <c r="D624" s="59" t="s">
        <v>2283</v>
      </c>
      <c r="E624" s="59" t="s">
        <v>2284</v>
      </c>
      <c r="F624" s="59" t="s">
        <v>2202</v>
      </c>
      <c r="I624" s="59" t="s">
        <v>786</v>
      </c>
    </row>
    <row r="625" spans="1:9" ht="11.25" customHeight="1">
      <c r="A625" s="59" t="s">
        <v>2162</v>
      </c>
      <c r="B625" s="59" t="s">
        <v>14</v>
      </c>
      <c r="C625" s="59" t="s">
        <v>2288</v>
      </c>
      <c r="D625" s="59" t="s">
        <v>2289</v>
      </c>
      <c r="E625" s="59" t="s">
        <v>2290</v>
      </c>
      <c r="F625" s="59" t="s">
        <v>2291</v>
      </c>
      <c r="I625" s="59" t="s">
        <v>786</v>
      </c>
    </row>
    <row r="626" spans="1:9" ht="11.25" customHeight="1">
      <c r="A626" s="59" t="s">
        <v>2162</v>
      </c>
      <c r="B626" s="59" t="s">
        <v>14</v>
      </c>
      <c r="C626" s="59" t="s">
        <v>2296</v>
      </c>
      <c r="D626" s="59" t="s">
        <v>2297</v>
      </c>
      <c r="E626" s="59" t="s">
        <v>2298</v>
      </c>
      <c r="F626" s="59" t="s">
        <v>2299</v>
      </c>
      <c r="G626" s="59" t="s">
        <v>2300</v>
      </c>
      <c r="I626" s="59" t="s">
        <v>786</v>
      </c>
    </row>
    <row r="627" spans="1:9" ht="11.25" customHeight="1">
      <c r="A627" s="59" t="s">
        <v>2162</v>
      </c>
      <c r="B627" s="59" t="s">
        <v>14</v>
      </c>
      <c r="C627" s="59" t="s">
        <v>2301</v>
      </c>
      <c r="D627" s="59" t="s">
        <v>2302</v>
      </c>
      <c r="E627" s="59" t="s">
        <v>2179</v>
      </c>
      <c r="F627" s="59" t="s">
        <v>2303</v>
      </c>
      <c r="G627" s="59" t="s">
        <v>2304</v>
      </c>
      <c r="I627" s="59" t="s">
        <v>786</v>
      </c>
    </row>
    <row r="628" spans="1:9" ht="11.25" customHeight="1">
      <c r="A628" s="59" t="s">
        <v>2162</v>
      </c>
      <c r="B628" s="59" t="s">
        <v>14</v>
      </c>
      <c r="C628" s="59" t="s">
        <v>2310</v>
      </c>
      <c r="D628" s="59" t="s">
        <v>2311</v>
      </c>
      <c r="E628" s="59" t="s">
        <v>2312</v>
      </c>
      <c r="F628" s="59" t="s">
        <v>2308</v>
      </c>
      <c r="G628" s="59" t="s">
        <v>2313</v>
      </c>
      <c r="I628" s="59" t="s">
        <v>786</v>
      </c>
    </row>
    <row r="629" spans="1:9" ht="11.25" customHeight="1">
      <c r="A629" s="59" t="s">
        <v>2162</v>
      </c>
      <c r="B629" s="59" t="s">
        <v>14</v>
      </c>
      <c r="C629" s="59" t="s">
        <v>2331</v>
      </c>
      <c r="D629" s="59" t="s">
        <v>2332</v>
      </c>
      <c r="E629" s="59" t="s">
        <v>2333</v>
      </c>
      <c r="F629" s="59" t="s">
        <v>2291</v>
      </c>
      <c r="G629" s="59" t="s">
        <v>2334</v>
      </c>
      <c r="I629" s="59" t="s">
        <v>786</v>
      </c>
    </row>
    <row r="630" spans="1:9" ht="11.25" customHeight="1">
      <c r="A630" s="59" t="s">
        <v>2162</v>
      </c>
      <c r="B630" s="59" t="s">
        <v>14</v>
      </c>
      <c r="C630" s="59" t="s">
        <v>2335</v>
      </c>
      <c r="D630" s="59" t="s">
        <v>2336</v>
      </c>
      <c r="E630" s="59" t="s">
        <v>2333</v>
      </c>
      <c r="F630" s="59" t="s">
        <v>2337</v>
      </c>
      <c r="I630" s="59" t="s">
        <v>786</v>
      </c>
    </row>
    <row r="631" spans="1:9" ht="11.25" customHeight="1">
      <c r="A631" s="59" t="s">
        <v>2162</v>
      </c>
      <c r="B631" s="59" t="s">
        <v>14</v>
      </c>
      <c r="C631" s="59" t="s">
        <v>2338</v>
      </c>
      <c r="D631" s="59" t="s">
        <v>2339</v>
      </c>
      <c r="E631" s="59" t="s">
        <v>2333</v>
      </c>
      <c r="F631" s="59" t="s">
        <v>2340</v>
      </c>
      <c r="I631" s="59" t="s">
        <v>786</v>
      </c>
    </row>
    <row r="632" spans="1:9" ht="11.25" customHeight="1">
      <c r="A632" s="59" t="s">
        <v>2162</v>
      </c>
      <c r="B632" s="59" t="s">
        <v>14</v>
      </c>
      <c r="C632" s="59" t="s">
        <v>2344</v>
      </c>
      <c r="D632" s="59" t="s">
        <v>2345</v>
      </c>
      <c r="E632" s="59" t="s">
        <v>2333</v>
      </c>
      <c r="F632" s="59" t="s">
        <v>2346</v>
      </c>
      <c r="I632" s="59" t="s">
        <v>786</v>
      </c>
    </row>
    <row r="633" spans="1:9" ht="11.25" customHeight="1">
      <c r="A633" s="59" t="s">
        <v>2162</v>
      </c>
      <c r="B633" s="59" t="s">
        <v>14</v>
      </c>
      <c r="C633" s="59" t="s">
        <v>2353</v>
      </c>
      <c r="D633" s="59" t="s">
        <v>2354</v>
      </c>
      <c r="E633" s="59" t="s">
        <v>2333</v>
      </c>
      <c r="F633" s="59" t="s">
        <v>2355</v>
      </c>
      <c r="I633" s="59" t="s">
        <v>786</v>
      </c>
    </row>
    <row r="634" spans="1:9" ht="11.25" customHeight="1">
      <c r="A634" s="59" t="s">
        <v>2162</v>
      </c>
      <c r="B634" s="59" t="s">
        <v>14</v>
      </c>
      <c r="C634" s="59" t="s">
        <v>2359</v>
      </c>
      <c r="D634" s="59" t="s">
        <v>2360</v>
      </c>
      <c r="E634" s="59" t="s">
        <v>2333</v>
      </c>
      <c r="F634" s="59" t="s">
        <v>2361</v>
      </c>
      <c r="I634" s="59" t="s">
        <v>786</v>
      </c>
    </row>
    <row r="635" spans="1:9" ht="11.25" customHeight="1">
      <c r="A635" s="59" t="s">
        <v>2162</v>
      </c>
      <c r="B635" s="59" t="s">
        <v>14</v>
      </c>
      <c r="C635" s="59" t="s">
        <v>2371</v>
      </c>
      <c r="D635" s="59" t="s">
        <v>2372</v>
      </c>
      <c r="E635" s="59" t="s">
        <v>2333</v>
      </c>
      <c r="F635" s="59" t="s">
        <v>2373</v>
      </c>
      <c r="I635" s="59" t="s">
        <v>786</v>
      </c>
    </row>
    <row r="636" spans="1:9" ht="11.25" customHeight="1">
      <c r="A636" s="59" t="s">
        <v>2162</v>
      </c>
      <c r="B636" s="59" t="s">
        <v>14</v>
      </c>
      <c r="C636" s="59" t="s">
        <v>2378</v>
      </c>
      <c r="D636" s="59" t="s">
        <v>2379</v>
      </c>
      <c r="E636" s="59" t="s">
        <v>2380</v>
      </c>
      <c r="F636" s="59" t="s">
        <v>2166</v>
      </c>
      <c r="G636" s="59" t="s">
        <v>2253</v>
      </c>
      <c r="I636" s="59" t="s">
        <v>786</v>
      </c>
    </row>
    <row r="637" spans="1:9" ht="11.25" customHeight="1">
      <c r="A637" s="59" t="s">
        <v>2162</v>
      </c>
      <c r="B637" s="59" t="s">
        <v>14</v>
      </c>
      <c r="C637" s="59" t="s">
        <v>2381</v>
      </c>
      <c r="D637" s="59" t="s">
        <v>2382</v>
      </c>
      <c r="E637" s="59" t="s">
        <v>2383</v>
      </c>
      <c r="F637" s="59" t="s">
        <v>2166</v>
      </c>
      <c r="I637" s="59" t="s">
        <v>786</v>
      </c>
    </row>
    <row r="638" spans="1:9" ht="11.25" customHeight="1">
      <c r="A638" s="59" t="s">
        <v>2162</v>
      </c>
      <c r="B638" s="59" t="s">
        <v>14</v>
      </c>
      <c r="C638" s="59" t="s">
        <v>2384</v>
      </c>
      <c r="D638" s="59" t="s">
        <v>2385</v>
      </c>
      <c r="E638" s="59" t="s">
        <v>2386</v>
      </c>
      <c r="F638" s="59" t="s">
        <v>2228</v>
      </c>
      <c r="G638" s="59" t="s">
        <v>2387</v>
      </c>
      <c r="I638" s="59" t="s">
        <v>786</v>
      </c>
    </row>
    <row r="639" spans="1:9" ht="11.25" customHeight="1">
      <c r="A639" s="59" t="s">
        <v>2162</v>
      </c>
      <c r="B639" s="59" t="s">
        <v>14</v>
      </c>
      <c r="C639" s="59" t="s">
        <v>2388</v>
      </c>
      <c r="D639" s="59" t="s">
        <v>2389</v>
      </c>
      <c r="E639" s="59" t="s">
        <v>2390</v>
      </c>
      <c r="F639" s="59" t="s">
        <v>2391</v>
      </c>
      <c r="I639" s="59" t="s">
        <v>786</v>
      </c>
    </row>
    <row r="640" spans="1:9" ht="11.25" customHeight="1">
      <c r="A640" s="59" t="s">
        <v>2162</v>
      </c>
      <c r="B640" s="59" t="s">
        <v>14</v>
      </c>
      <c r="C640" s="59" t="s">
        <v>2397</v>
      </c>
      <c r="D640" s="59" t="s">
        <v>2398</v>
      </c>
      <c r="E640" s="59" t="s">
        <v>2390</v>
      </c>
      <c r="F640" s="59" t="s">
        <v>2399</v>
      </c>
      <c r="I640" s="59" t="s">
        <v>786</v>
      </c>
    </row>
    <row r="641" spans="1:9" ht="11.25" customHeight="1">
      <c r="A641" s="59" t="s">
        <v>2162</v>
      </c>
      <c r="B641" s="59" t="s">
        <v>14</v>
      </c>
      <c r="C641" s="59" t="s">
        <v>2403</v>
      </c>
      <c r="D641" s="59" t="s">
        <v>2404</v>
      </c>
      <c r="E641" s="59" t="s">
        <v>2390</v>
      </c>
      <c r="F641" s="59" t="s">
        <v>2405</v>
      </c>
      <c r="I641" s="59" t="s">
        <v>786</v>
      </c>
    </row>
    <row r="642" spans="1:9" ht="11.25" customHeight="1">
      <c r="A642" s="59" t="s">
        <v>2162</v>
      </c>
      <c r="B642" s="59" t="s">
        <v>14</v>
      </c>
      <c r="C642" s="59" t="s">
        <v>2409</v>
      </c>
      <c r="D642" s="59" t="s">
        <v>2410</v>
      </c>
      <c r="E642" s="59" t="s">
        <v>2390</v>
      </c>
      <c r="F642" s="59" t="s">
        <v>2411</v>
      </c>
      <c r="I642" s="59" t="s">
        <v>786</v>
      </c>
    </row>
    <row r="643" spans="1:9" ht="11.25" customHeight="1">
      <c r="A643" s="59" t="s">
        <v>2162</v>
      </c>
      <c r="B643" s="59" t="s">
        <v>14</v>
      </c>
      <c r="C643" s="59" t="s">
        <v>2415</v>
      </c>
      <c r="D643" s="59" t="s">
        <v>2416</v>
      </c>
      <c r="E643" s="59" t="s">
        <v>2390</v>
      </c>
      <c r="F643" s="59" t="s">
        <v>2417</v>
      </c>
      <c r="I643" s="59" t="s">
        <v>786</v>
      </c>
    </row>
    <row r="644" spans="1:9" ht="11.25" customHeight="1">
      <c r="A644" s="59" t="s">
        <v>2162</v>
      </c>
      <c r="B644" s="59" t="s">
        <v>14</v>
      </c>
      <c r="C644" s="59" t="s">
        <v>2418</v>
      </c>
      <c r="D644" s="59" t="s">
        <v>2419</v>
      </c>
      <c r="E644" s="59" t="s">
        <v>2390</v>
      </c>
      <c r="F644" s="59" t="s">
        <v>2420</v>
      </c>
      <c r="I644" s="59" t="s">
        <v>786</v>
      </c>
    </row>
    <row r="645" spans="1:9" ht="11.25" customHeight="1">
      <c r="A645" s="59" t="s">
        <v>2162</v>
      </c>
      <c r="B645" s="59" t="s">
        <v>14</v>
      </c>
      <c r="C645" s="59" t="s">
        <v>2421</v>
      </c>
      <c r="D645" s="59" t="s">
        <v>2422</v>
      </c>
      <c r="E645" s="59" t="s">
        <v>2390</v>
      </c>
      <c r="F645" s="59" t="s">
        <v>2423</v>
      </c>
      <c r="I645" s="59" t="s">
        <v>786</v>
      </c>
    </row>
    <row r="646" spans="1:9" ht="11.25" customHeight="1">
      <c r="A646" s="59" t="s">
        <v>2162</v>
      </c>
      <c r="B646" s="59" t="s">
        <v>14</v>
      </c>
      <c r="C646" s="59" t="s">
        <v>2424</v>
      </c>
      <c r="D646" s="59" t="s">
        <v>2425</v>
      </c>
      <c r="E646" s="59" t="s">
        <v>2390</v>
      </c>
      <c r="F646" s="59" t="s">
        <v>2426</v>
      </c>
      <c r="I646" s="59" t="s">
        <v>786</v>
      </c>
    </row>
    <row r="647" spans="1:9" ht="11.25" customHeight="1">
      <c r="A647" s="59" t="s">
        <v>2162</v>
      </c>
      <c r="B647" s="59" t="s">
        <v>14</v>
      </c>
      <c r="C647" s="59" t="s">
        <v>2427</v>
      </c>
      <c r="D647" s="59" t="s">
        <v>2428</v>
      </c>
      <c r="E647" s="59" t="s">
        <v>2390</v>
      </c>
      <c r="F647" s="59" t="s">
        <v>2429</v>
      </c>
      <c r="I647" s="59" t="s">
        <v>786</v>
      </c>
    </row>
    <row r="648" spans="1:9" ht="11.25" customHeight="1">
      <c r="A648" s="59" t="s">
        <v>2162</v>
      </c>
      <c r="B648" s="59" t="s">
        <v>14</v>
      </c>
      <c r="C648" s="59" t="s">
        <v>2430</v>
      </c>
      <c r="D648" s="59" t="s">
        <v>2431</v>
      </c>
      <c r="E648" s="59" t="s">
        <v>2390</v>
      </c>
      <c r="F648" s="59" t="s">
        <v>2432</v>
      </c>
      <c r="I648" s="59" t="s">
        <v>786</v>
      </c>
    </row>
    <row r="649" spans="1:9" ht="11.25" customHeight="1">
      <c r="A649" s="59" t="s">
        <v>2162</v>
      </c>
      <c r="B649" s="59" t="s">
        <v>14</v>
      </c>
      <c r="C649" s="59" t="s">
        <v>2433</v>
      </c>
      <c r="D649" s="59" t="s">
        <v>2434</v>
      </c>
      <c r="E649" s="59" t="s">
        <v>2390</v>
      </c>
      <c r="F649" s="59" t="s">
        <v>2435</v>
      </c>
      <c r="I649" s="59" t="s">
        <v>786</v>
      </c>
    </row>
    <row r="650" spans="1:9" ht="11.25" customHeight="1">
      <c r="A650" s="59" t="s">
        <v>2162</v>
      </c>
      <c r="B650" s="59" t="s">
        <v>14</v>
      </c>
      <c r="C650" s="59" t="s">
        <v>2436</v>
      </c>
      <c r="D650" s="59" t="s">
        <v>2437</v>
      </c>
      <c r="E650" s="59" t="s">
        <v>2390</v>
      </c>
      <c r="F650" s="59" t="s">
        <v>2438</v>
      </c>
      <c r="I650" s="59" t="s">
        <v>786</v>
      </c>
    </row>
    <row r="651" spans="1:9" ht="11.25" customHeight="1">
      <c r="A651" s="59" t="s">
        <v>2162</v>
      </c>
      <c r="B651" s="59" t="s">
        <v>14</v>
      </c>
      <c r="C651" s="59" t="s">
        <v>2439</v>
      </c>
      <c r="D651" s="59" t="s">
        <v>2440</v>
      </c>
      <c r="E651" s="59" t="s">
        <v>2224</v>
      </c>
      <c r="F651" s="59" t="s">
        <v>2441</v>
      </c>
      <c r="I651" s="59" t="s">
        <v>786</v>
      </c>
    </row>
    <row r="652" spans="1:9" ht="11.25" customHeight="1">
      <c r="A652" s="59" t="s">
        <v>2162</v>
      </c>
      <c r="B652" s="59" t="s">
        <v>14</v>
      </c>
      <c r="C652" s="59" t="s">
        <v>2442</v>
      </c>
      <c r="D652" s="59" t="s">
        <v>2443</v>
      </c>
      <c r="E652" s="59" t="s">
        <v>2444</v>
      </c>
      <c r="F652" s="59" t="s">
        <v>2445</v>
      </c>
      <c r="I652" s="59" t="s">
        <v>786</v>
      </c>
    </row>
    <row r="653" spans="1:9" ht="11.25" customHeight="1">
      <c r="A653" s="59" t="s">
        <v>2162</v>
      </c>
      <c r="B653" s="59" t="s">
        <v>14</v>
      </c>
      <c r="C653" s="59" t="s">
        <v>2446</v>
      </c>
      <c r="D653" s="59" t="s">
        <v>2447</v>
      </c>
      <c r="E653" s="59" t="s">
        <v>2448</v>
      </c>
      <c r="F653" s="59" t="s">
        <v>2449</v>
      </c>
      <c r="I653" s="59" t="s">
        <v>786</v>
      </c>
    </row>
    <row r="654" spans="1:9" ht="11.25" customHeight="1">
      <c r="A654" s="59" t="s">
        <v>2162</v>
      </c>
      <c r="B654" s="59" t="s">
        <v>14</v>
      </c>
      <c r="C654" s="59" t="s">
        <v>2450</v>
      </c>
      <c r="D654" s="59" t="s">
        <v>2451</v>
      </c>
      <c r="E654" s="59" t="s">
        <v>2452</v>
      </c>
      <c r="F654" s="59" t="s">
        <v>2210</v>
      </c>
      <c r="I654" s="59" t="s">
        <v>786</v>
      </c>
    </row>
    <row r="655" spans="1:9" ht="11.25" customHeight="1">
      <c r="A655" s="59" t="s">
        <v>2162</v>
      </c>
      <c r="B655" s="59" t="s">
        <v>14</v>
      </c>
      <c r="C655" s="59" t="s">
        <v>2456</v>
      </c>
      <c r="D655" s="59" t="s">
        <v>2457</v>
      </c>
      <c r="E655" s="59" t="s">
        <v>2458</v>
      </c>
      <c r="F655" s="59" t="s">
        <v>2291</v>
      </c>
      <c r="I655" s="59" t="s">
        <v>786</v>
      </c>
    </row>
    <row r="656" spans="1:9" ht="11.25" customHeight="1">
      <c r="A656" s="59" t="s">
        <v>2162</v>
      </c>
      <c r="B656" s="59" t="s">
        <v>14</v>
      </c>
      <c r="C656" s="59" t="s">
        <v>2459</v>
      </c>
      <c r="D656" s="59" t="s">
        <v>2460</v>
      </c>
      <c r="E656" s="59" t="s">
        <v>2461</v>
      </c>
      <c r="F656" s="59" t="s">
        <v>2299</v>
      </c>
      <c r="I656" s="59" t="s">
        <v>786</v>
      </c>
    </row>
    <row r="657" spans="1:9" ht="11.25" customHeight="1">
      <c r="A657" s="59" t="s">
        <v>2162</v>
      </c>
      <c r="B657" s="59" t="s">
        <v>14</v>
      </c>
      <c r="C657" s="59" t="s">
        <v>2465</v>
      </c>
      <c r="D657" s="59" t="s">
        <v>2466</v>
      </c>
      <c r="E657" s="59" t="s">
        <v>2467</v>
      </c>
      <c r="F657" s="59" t="s">
        <v>2299</v>
      </c>
      <c r="G657" s="59" t="s">
        <v>2468</v>
      </c>
      <c r="I657" s="59" t="s">
        <v>786</v>
      </c>
    </row>
    <row r="658" spans="1:9" ht="11.25" customHeight="1">
      <c r="A658" s="59" t="s">
        <v>2162</v>
      </c>
      <c r="B658" s="59" t="s">
        <v>14</v>
      </c>
      <c r="C658" s="59" t="s">
        <v>2479</v>
      </c>
      <c r="D658" s="59" t="s">
        <v>2480</v>
      </c>
      <c r="E658" s="59" t="s">
        <v>2481</v>
      </c>
      <c r="F658" s="59" t="s">
        <v>2478</v>
      </c>
      <c r="G658" s="59" t="s">
        <v>2482</v>
      </c>
      <c r="I658" s="59" t="s">
        <v>786</v>
      </c>
    </row>
    <row r="659" spans="1:9" ht="11.25" customHeight="1">
      <c r="A659" s="59" t="s">
        <v>2162</v>
      </c>
      <c r="B659" s="59" t="s">
        <v>14</v>
      </c>
      <c r="C659" s="59" t="s">
        <v>2488</v>
      </c>
      <c r="D659" s="59" t="s">
        <v>2489</v>
      </c>
      <c r="E659" s="59" t="s">
        <v>2490</v>
      </c>
      <c r="F659" s="59" t="s">
        <v>2299</v>
      </c>
      <c r="G659" s="59" t="s">
        <v>2491</v>
      </c>
      <c r="I659" s="59" t="s">
        <v>786</v>
      </c>
    </row>
    <row r="660" spans="1:9" ht="11.25" customHeight="1">
      <c r="A660" s="59" t="s">
        <v>2162</v>
      </c>
      <c r="B660" s="59" t="s">
        <v>14</v>
      </c>
      <c r="C660" s="59" t="s">
        <v>2492</v>
      </c>
      <c r="D660" s="59" t="s">
        <v>2493</v>
      </c>
      <c r="E660" s="59" t="s">
        <v>2494</v>
      </c>
      <c r="F660" s="59" t="s">
        <v>2248</v>
      </c>
      <c r="G660" s="59" t="s">
        <v>2495</v>
      </c>
      <c r="I660" s="59" t="s">
        <v>786</v>
      </c>
    </row>
    <row r="661" spans="1:9" ht="11.25" customHeight="1">
      <c r="A661" s="59" t="s">
        <v>2162</v>
      </c>
      <c r="B661" s="59" t="s">
        <v>14</v>
      </c>
      <c r="C661" s="59" t="s">
        <v>2499</v>
      </c>
      <c r="D661" s="59" t="s">
        <v>2500</v>
      </c>
      <c r="E661" s="59" t="s">
        <v>2501</v>
      </c>
      <c r="F661" s="59" t="s">
        <v>2248</v>
      </c>
      <c r="I661" s="59" t="s">
        <v>786</v>
      </c>
    </row>
    <row r="662" spans="1:9" ht="11.25" customHeight="1">
      <c r="A662" s="59" t="s">
        <v>2162</v>
      </c>
      <c r="B662" s="59" t="s">
        <v>14</v>
      </c>
      <c r="C662" s="59" t="s">
        <v>2502</v>
      </c>
      <c r="D662" s="59" t="s">
        <v>2503</v>
      </c>
      <c r="E662" s="59" t="s">
        <v>2504</v>
      </c>
      <c r="F662" s="59" t="s">
        <v>2210</v>
      </c>
      <c r="I662" s="59" t="s">
        <v>786</v>
      </c>
    </row>
    <row r="663" spans="1:9" ht="11.25" customHeight="1">
      <c r="A663" s="59" t="s">
        <v>2162</v>
      </c>
      <c r="B663" s="59" t="s">
        <v>14</v>
      </c>
      <c r="C663" s="59" t="s">
        <v>2512</v>
      </c>
      <c r="D663" s="59" t="s">
        <v>2513</v>
      </c>
      <c r="E663" s="59" t="s">
        <v>2514</v>
      </c>
      <c r="F663" s="59" t="s">
        <v>2233</v>
      </c>
      <c r="I663" s="59" t="s">
        <v>786</v>
      </c>
    </row>
    <row r="664" spans="1:9" ht="11.25" customHeight="1">
      <c r="A664" s="59" t="s">
        <v>2162</v>
      </c>
      <c r="B664" s="59" t="s">
        <v>14</v>
      </c>
      <c r="C664" s="59" t="s">
        <v>2524</v>
      </c>
      <c r="D664" s="59" t="s">
        <v>2525</v>
      </c>
      <c r="E664" s="59" t="s">
        <v>2526</v>
      </c>
      <c r="F664" s="59" t="s">
        <v>2233</v>
      </c>
      <c r="I664" s="59" t="s">
        <v>786</v>
      </c>
    </row>
    <row r="665" spans="1:9" ht="11.25" customHeight="1">
      <c r="A665" s="59" t="s">
        <v>2162</v>
      </c>
      <c r="B665" s="59" t="s">
        <v>14</v>
      </c>
      <c r="C665" s="59" t="s">
        <v>2527</v>
      </c>
      <c r="D665" s="59" t="s">
        <v>2528</v>
      </c>
      <c r="E665" s="59" t="s">
        <v>2529</v>
      </c>
      <c r="F665" s="59" t="s">
        <v>2530</v>
      </c>
      <c r="G665" s="59" t="s">
        <v>2531</v>
      </c>
      <c r="I665" s="59" t="s">
        <v>786</v>
      </c>
    </row>
    <row r="666" spans="1:9" ht="11.25" customHeight="1">
      <c r="A666" s="59" t="s">
        <v>2162</v>
      </c>
      <c r="B666" s="59" t="s">
        <v>14</v>
      </c>
      <c r="C666" s="59" t="s">
        <v>2532</v>
      </c>
      <c r="D666" s="59" t="s">
        <v>2533</v>
      </c>
      <c r="E666" s="59" t="s">
        <v>2534</v>
      </c>
      <c r="F666" s="59" t="s">
        <v>2233</v>
      </c>
      <c r="I666" s="59" t="s">
        <v>786</v>
      </c>
    </row>
    <row r="667" spans="1:9" ht="11.25" customHeight="1">
      <c r="A667" s="59" t="s">
        <v>2162</v>
      </c>
      <c r="B667" s="59" t="s">
        <v>14</v>
      </c>
      <c r="C667" s="59" t="s">
        <v>2539</v>
      </c>
      <c r="D667" s="59" t="s">
        <v>2540</v>
      </c>
      <c r="E667" s="59" t="s">
        <v>2537</v>
      </c>
      <c r="F667" s="59" t="s">
        <v>2248</v>
      </c>
      <c r="G667" s="59" t="s">
        <v>2387</v>
      </c>
      <c r="I667" s="59" t="s">
        <v>786</v>
      </c>
    </row>
    <row r="668" spans="1:9" ht="11.25" customHeight="1">
      <c r="A668" s="59" t="s">
        <v>2162</v>
      </c>
      <c r="B668" s="59" t="s">
        <v>14</v>
      </c>
      <c r="C668" s="59" t="s">
        <v>2545</v>
      </c>
      <c r="D668" s="59" t="s">
        <v>2546</v>
      </c>
      <c r="E668" s="59" t="s">
        <v>2547</v>
      </c>
      <c r="F668" s="59" t="s">
        <v>2202</v>
      </c>
      <c r="G668" s="59" t="s">
        <v>2548</v>
      </c>
      <c r="I668" s="59" t="s">
        <v>786</v>
      </c>
    </row>
    <row r="669" spans="1:9" ht="11.25" customHeight="1">
      <c r="A669" s="59" t="s">
        <v>2162</v>
      </c>
      <c r="B669" s="59" t="s">
        <v>14</v>
      </c>
      <c r="C669" s="59" t="s">
        <v>2549</v>
      </c>
      <c r="D669" s="59" t="s">
        <v>2550</v>
      </c>
      <c r="E669" s="59" t="s">
        <v>2551</v>
      </c>
      <c r="F669" s="59" t="s">
        <v>2210</v>
      </c>
      <c r="I669" s="59" t="s">
        <v>786</v>
      </c>
    </row>
    <row r="670" spans="1:9" ht="11.25" customHeight="1">
      <c r="A670" s="59" t="s">
        <v>2162</v>
      </c>
      <c r="B670" s="59" t="s">
        <v>14</v>
      </c>
      <c r="C670" s="59" t="s">
        <v>2555</v>
      </c>
      <c r="D670" s="59" t="s">
        <v>2556</v>
      </c>
      <c r="E670" s="59" t="s">
        <v>2557</v>
      </c>
      <c r="F670" s="59" t="s">
        <v>2391</v>
      </c>
      <c r="G670" s="59" t="s">
        <v>2558</v>
      </c>
      <c r="I670" s="59" t="s">
        <v>786</v>
      </c>
    </row>
    <row r="671" spans="1:9" ht="11.25" customHeight="1">
      <c r="A671" s="59" t="s">
        <v>2162</v>
      </c>
      <c r="B671" s="59" t="s">
        <v>14</v>
      </c>
      <c r="C671" s="59" t="s">
        <v>2559</v>
      </c>
      <c r="D671" s="59" t="s">
        <v>2560</v>
      </c>
      <c r="E671" s="59" t="s">
        <v>2561</v>
      </c>
      <c r="F671" s="59" t="s">
        <v>2562</v>
      </c>
      <c r="G671" s="59" t="s">
        <v>2563</v>
      </c>
      <c r="I671" s="59" t="s">
        <v>786</v>
      </c>
    </row>
    <row r="672" spans="1:9" ht="11.25" customHeight="1">
      <c r="A672" s="59" t="s">
        <v>2162</v>
      </c>
      <c r="B672" s="59" t="s">
        <v>14</v>
      </c>
      <c r="C672" s="59" t="s">
        <v>2586</v>
      </c>
      <c r="D672" s="59" t="s">
        <v>2587</v>
      </c>
      <c r="E672" s="59" t="s">
        <v>2588</v>
      </c>
      <c r="F672" s="59" t="s">
        <v>2248</v>
      </c>
      <c r="I672" s="59" t="s">
        <v>786</v>
      </c>
    </row>
    <row r="673" spans="1:9" ht="11.25" customHeight="1">
      <c r="A673" s="59" t="s">
        <v>2162</v>
      </c>
      <c r="B673" s="59" t="s">
        <v>14</v>
      </c>
      <c r="C673" s="59" t="s">
        <v>2596</v>
      </c>
      <c r="D673" s="59" t="s">
        <v>2597</v>
      </c>
      <c r="E673" s="59" t="s">
        <v>2598</v>
      </c>
      <c r="F673" s="59" t="s">
        <v>2592</v>
      </c>
      <c r="I673" s="59" t="s">
        <v>786</v>
      </c>
    </row>
    <row r="674" spans="1:9" ht="11.25" customHeight="1">
      <c r="A674" s="59" t="s">
        <v>2162</v>
      </c>
      <c r="B674" s="59" t="s">
        <v>14</v>
      </c>
      <c r="C674" s="59" t="s">
        <v>2602</v>
      </c>
      <c r="D674" s="59" t="s">
        <v>2603</v>
      </c>
      <c r="E674" s="59" t="s">
        <v>2604</v>
      </c>
      <c r="F674" s="59" t="s">
        <v>2299</v>
      </c>
      <c r="I674" s="59" t="s">
        <v>786</v>
      </c>
    </row>
    <row r="675" spans="1:9" ht="11.25" customHeight="1">
      <c r="A675" s="59" t="s">
        <v>2162</v>
      </c>
      <c r="B675" s="59" t="s">
        <v>14</v>
      </c>
      <c r="C675" s="59" t="s">
        <v>2605</v>
      </c>
      <c r="D675" s="59" t="s">
        <v>2606</v>
      </c>
      <c r="E675" s="59" t="s">
        <v>2607</v>
      </c>
      <c r="F675" s="59" t="s">
        <v>2166</v>
      </c>
      <c r="G675" s="59" t="s">
        <v>2608</v>
      </c>
      <c r="I675" s="59" t="s">
        <v>786</v>
      </c>
    </row>
    <row r="676" spans="1:9" ht="11.25" customHeight="1">
      <c r="A676" s="59" t="s">
        <v>2162</v>
      </c>
      <c r="B676" s="59" t="s">
        <v>14</v>
      </c>
      <c r="C676" s="59" t="s">
        <v>2616</v>
      </c>
      <c r="D676" s="59" t="s">
        <v>2617</v>
      </c>
      <c r="E676" s="59" t="s">
        <v>2618</v>
      </c>
      <c r="F676" s="59" t="s">
        <v>2193</v>
      </c>
      <c r="I676" s="59" t="s">
        <v>786</v>
      </c>
    </row>
    <row r="677" spans="1:9" ht="11.25" customHeight="1">
      <c r="A677" s="59" t="s">
        <v>2162</v>
      </c>
      <c r="B677" s="59" t="s">
        <v>14</v>
      </c>
      <c r="C677" s="59" t="s">
        <v>2644</v>
      </c>
      <c r="D677" s="59" t="s">
        <v>2645</v>
      </c>
      <c r="E677" s="59" t="s">
        <v>2646</v>
      </c>
      <c r="F677" s="59" t="s">
        <v>2248</v>
      </c>
      <c r="I677" s="59" t="s">
        <v>786</v>
      </c>
    </row>
    <row r="678" spans="1:9" ht="11.25" customHeight="1">
      <c r="A678" s="59" t="s">
        <v>2162</v>
      </c>
      <c r="B678" s="59" t="s">
        <v>14</v>
      </c>
      <c r="C678" s="59" t="s">
        <v>2670</v>
      </c>
      <c r="D678" s="59" t="s">
        <v>2671</v>
      </c>
      <c r="E678" s="59" t="s">
        <v>2672</v>
      </c>
      <c r="F678" s="59" t="s">
        <v>2210</v>
      </c>
      <c r="G678" s="59" t="s">
        <v>2673</v>
      </c>
      <c r="I678" s="59" t="s">
        <v>786</v>
      </c>
    </row>
    <row r="679" spans="1:9" ht="11.25" customHeight="1">
      <c r="A679" s="59" t="s">
        <v>2162</v>
      </c>
      <c r="B679" s="59" t="s">
        <v>14</v>
      </c>
      <c r="C679" s="59" t="s">
        <v>2681</v>
      </c>
      <c r="D679" s="59" t="s">
        <v>2682</v>
      </c>
      <c r="E679" s="59" t="s">
        <v>2683</v>
      </c>
      <c r="F679" s="59" t="s">
        <v>2291</v>
      </c>
      <c r="G679" s="59" t="s">
        <v>2684</v>
      </c>
      <c r="I679" s="59" t="s">
        <v>786</v>
      </c>
    </row>
    <row r="680" spans="1:9" ht="11.25" customHeight="1">
      <c r="A680" s="59" t="s">
        <v>2162</v>
      </c>
      <c r="B680" s="59" t="s">
        <v>14</v>
      </c>
      <c r="C680" s="59" t="s">
        <v>2694</v>
      </c>
      <c r="D680" s="59" t="s">
        <v>2695</v>
      </c>
      <c r="E680" s="59" t="s">
        <v>2696</v>
      </c>
      <c r="F680" s="59" t="s">
        <v>555</v>
      </c>
      <c r="I680" s="59" t="s">
        <v>786</v>
      </c>
    </row>
    <row r="681" spans="1:9" ht="11.25" customHeight="1">
      <c r="A681" s="59" t="s">
        <v>2162</v>
      </c>
      <c r="B681" s="59" t="s">
        <v>14</v>
      </c>
      <c r="C681" s="59" t="s">
        <v>2709</v>
      </c>
      <c r="D681" s="59" t="s">
        <v>2710</v>
      </c>
      <c r="E681" s="59" t="s">
        <v>2711</v>
      </c>
      <c r="F681" s="59" t="s">
        <v>555</v>
      </c>
      <c r="I681" s="59" t="s">
        <v>786</v>
      </c>
    </row>
    <row r="682" spans="1:9" ht="11.25" customHeight="1">
      <c r="A682" s="59" t="s">
        <v>2162</v>
      </c>
      <c r="B682" s="59" t="s">
        <v>14</v>
      </c>
      <c r="C682" s="59" t="s">
        <v>2757</v>
      </c>
      <c r="D682" s="59" t="s">
        <v>2758</v>
      </c>
      <c r="E682" s="59" t="s">
        <v>2759</v>
      </c>
      <c r="F682" s="59" t="s">
        <v>2202</v>
      </c>
      <c r="I682" s="59" t="s">
        <v>786</v>
      </c>
    </row>
    <row r="683" spans="1:9" ht="11.25" customHeight="1">
      <c r="A683" s="59" t="s">
        <v>2162</v>
      </c>
      <c r="B683" s="59" t="s">
        <v>14</v>
      </c>
      <c r="C683" s="59" t="s">
        <v>2760</v>
      </c>
      <c r="D683" s="59" t="s">
        <v>2761</v>
      </c>
      <c r="E683" s="59" t="s">
        <v>2762</v>
      </c>
      <c r="F683" s="59" t="s">
        <v>2266</v>
      </c>
      <c r="I683" s="59" t="s">
        <v>786</v>
      </c>
    </row>
    <row r="684" spans="1:9" ht="11.25" customHeight="1">
      <c r="A684" s="59" t="s">
        <v>2162</v>
      </c>
      <c r="B684" s="59" t="s">
        <v>14</v>
      </c>
      <c r="C684" s="59" t="s">
        <v>2766</v>
      </c>
      <c r="D684" s="59" t="s">
        <v>2767</v>
      </c>
      <c r="E684" s="59" t="s">
        <v>2768</v>
      </c>
      <c r="F684" s="59" t="s">
        <v>2202</v>
      </c>
      <c r="I684" s="59" t="s">
        <v>786</v>
      </c>
    </row>
    <row r="685" spans="1:9" ht="11.25" customHeight="1">
      <c r="A685" s="59" t="s">
        <v>2162</v>
      </c>
      <c r="B685" s="59" t="s">
        <v>14</v>
      </c>
      <c r="C685" s="59" t="s">
        <v>2769</v>
      </c>
      <c r="D685" s="59" t="s">
        <v>2770</v>
      </c>
      <c r="E685" s="59" t="s">
        <v>2771</v>
      </c>
      <c r="F685" s="59" t="s">
        <v>2202</v>
      </c>
      <c r="I685" s="59" t="s">
        <v>786</v>
      </c>
    </row>
    <row r="686" spans="1:9" ht="11.25" customHeight="1">
      <c r="A686" s="59" t="s">
        <v>2162</v>
      </c>
      <c r="B686" s="59" t="s">
        <v>14</v>
      </c>
      <c r="C686" s="59" t="s">
        <v>2772</v>
      </c>
      <c r="D686" s="59" t="s">
        <v>2773</v>
      </c>
      <c r="E686" s="59" t="s">
        <v>2774</v>
      </c>
      <c r="F686" s="59" t="s">
        <v>2775</v>
      </c>
      <c r="I686" s="59" t="s">
        <v>786</v>
      </c>
    </row>
    <row r="687" spans="1:9" ht="11.25" customHeight="1">
      <c r="A687" s="59" t="s">
        <v>2162</v>
      </c>
      <c r="B687" s="59" t="s">
        <v>14</v>
      </c>
      <c r="C687" s="59" t="s">
        <v>2776</v>
      </c>
      <c r="D687" s="59" t="s">
        <v>2777</v>
      </c>
      <c r="E687" s="59" t="s">
        <v>2778</v>
      </c>
      <c r="F687" s="59" t="s">
        <v>2261</v>
      </c>
      <c r="I687" s="59" t="s">
        <v>786</v>
      </c>
    </row>
    <row r="688" spans="1:9" ht="11.25" customHeight="1">
      <c r="A688" s="59" t="s">
        <v>2162</v>
      </c>
      <c r="B688" s="59" t="s">
        <v>14</v>
      </c>
      <c r="C688" s="59" t="s">
        <v>2779</v>
      </c>
      <c r="D688" s="59" t="s">
        <v>2780</v>
      </c>
      <c r="E688" s="59" t="s">
        <v>2781</v>
      </c>
      <c r="F688" s="59" t="s">
        <v>2486</v>
      </c>
      <c r="I688" s="59" t="s">
        <v>786</v>
      </c>
    </row>
    <row r="689" spans="1:9" ht="11.25" customHeight="1">
      <c r="A689" s="59" t="s">
        <v>2162</v>
      </c>
      <c r="B689" s="59" t="s">
        <v>14</v>
      </c>
      <c r="C689" s="59" t="s">
        <v>2782</v>
      </c>
      <c r="D689" s="59" t="s">
        <v>2783</v>
      </c>
      <c r="E689" s="59" t="s">
        <v>2784</v>
      </c>
      <c r="F689" s="59" t="s">
        <v>2775</v>
      </c>
      <c r="I689" s="59" t="s">
        <v>786</v>
      </c>
    </row>
    <row r="690" spans="1:9" ht="11.25" customHeight="1">
      <c r="A690" s="59" t="s">
        <v>2162</v>
      </c>
      <c r="B690" s="59" t="s">
        <v>14</v>
      </c>
      <c r="C690" s="59" t="s">
        <v>2785</v>
      </c>
      <c r="D690" s="59" t="s">
        <v>2786</v>
      </c>
      <c r="E690" s="59" t="s">
        <v>2787</v>
      </c>
      <c r="F690" s="59" t="s">
        <v>2266</v>
      </c>
      <c r="I690" s="59" t="s">
        <v>786</v>
      </c>
    </row>
    <row r="691" spans="1:9" ht="11.25" customHeight="1">
      <c r="A691" s="59" t="s">
        <v>2162</v>
      </c>
      <c r="B691" s="59" t="s">
        <v>14</v>
      </c>
      <c r="C691" s="59" t="s">
        <v>2788</v>
      </c>
      <c r="D691" s="59" t="s">
        <v>2789</v>
      </c>
      <c r="E691" s="59" t="s">
        <v>2790</v>
      </c>
      <c r="F691" s="59" t="s">
        <v>2636</v>
      </c>
      <c r="G691" s="59" t="s">
        <v>2791</v>
      </c>
      <c r="I691" s="59" t="s">
        <v>786</v>
      </c>
    </row>
    <row r="692" spans="1:9" ht="11.25" customHeight="1">
      <c r="A692" s="59" t="s">
        <v>2162</v>
      </c>
      <c r="B692" s="59" t="s">
        <v>14</v>
      </c>
      <c r="C692" s="59" t="s">
        <v>2795</v>
      </c>
      <c r="D692" s="59" t="s">
        <v>2796</v>
      </c>
      <c r="E692" s="59" t="s">
        <v>2797</v>
      </c>
      <c r="F692" s="59" t="s">
        <v>2478</v>
      </c>
      <c r="I692" s="59" t="s">
        <v>786</v>
      </c>
    </row>
    <row r="693" spans="1:9" ht="11.25" customHeight="1">
      <c r="A693" s="59" t="s">
        <v>2162</v>
      </c>
      <c r="B693" s="59" t="s">
        <v>14</v>
      </c>
      <c r="C693" s="59" t="s">
        <v>2798</v>
      </c>
      <c r="D693" s="59" t="s">
        <v>2799</v>
      </c>
      <c r="E693" s="59" t="s">
        <v>2800</v>
      </c>
      <c r="F693" s="59" t="s">
        <v>2193</v>
      </c>
      <c r="I693" s="59" t="s">
        <v>786</v>
      </c>
    </row>
    <row r="694" spans="1:9" ht="11.25" customHeight="1">
      <c r="A694" s="59" t="s">
        <v>2162</v>
      </c>
      <c r="B694" s="59" t="s">
        <v>14</v>
      </c>
      <c r="C694" s="59" t="s">
        <v>2845</v>
      </c>
      <c r="D694" s="59" t="s">
        <v>2846</v>
      </c>
      <c r="E694" s="59" t="s">
        <v>2847</v>
      </c>
      <c r="F694" s="59" t="s">
        <v>2775</v>
      </c>
      <c r="G694" s="59" t="s">
        <v>2848</v>
      </c>
      <c r="I694" s="59" t="s">
        <v>786</v>
      </c>
    </row>
    <row r="695" spans="1:9" ht="11.25" customHeight="1">
      <c r="A695" s="59" t="s">
        <v>2162</v>
      </c>
      <c r="B695" s="59" t="s">
        <v>14</v>
      </c>
      <c r="C695" s="59" t="s">
        <v>2849</v>
      </c>
      <c r="D695" s="59" t="s">
        <v>2850</v>
      </c>
      <c r="E695" s="59" t="s">
        <v>2851</v>
      </c>
      <c r="F695" s="59" t="s">
        <v>2775</v>
      </c>
      <c r="I695" s="59" t="s">
        <v>786</v>
      </c>
    </row>
    <row r="696" spans="1:9" ht="11.25" customHeight="1">
      <c r="A696" s="59" t="s">
        <v>2162</v>
      </c>
      <c r="B696" s="59" t="s">
        <v>14</v>
      </c>
      <c r="C696" s="59" t="s">
        <v>2852</v>
      </c>
      <c r="D696" s="59" t="s">
        <v>2853</v>
      </c>
      <c r="E696" s="59" t="s">
        <v>2854</v>
      </c>
      <c r="F696" s="59" t="s">
        <v>2166</v>
      </c>
      <c r="G696" s="59" t="s">
        <v>2855</v>
      </c>
      <c r="I696" s="59" t="s">
        <v>786</v>
      </c>
    </row>
    <row r="697" spans="1:9" ht="11.25" customHeight="1">
      <c r="A697" s="59" t="s">
        <v>2162</v>
      </c>
      <c r="B697" s="59" t="s">
        <v>14</v>
      </c>
      <c r="C697" s="59" t="s">
        <v>2856</v>
      </c>
      <c r="D697" s="59" t="s">
        <v>2857</v>
      </c>
      <c r="E697" s="59" t="s">
        <v>2858</v>
      </c>
      <c r="F697" s="59" t="s">
        <v>2486</v>
      </c>
      <c r="I697" s="59" t="s">
        <v>786</v>
      </c>
    </row>
    <row r="698" spans="1:9" ht="11.25" customHeight="1">
      <c r="A698" s="59" t="s">
        <v>2162</v>
      </c>
      <c r="B698" s="59" t="s">
        <v>14</v>
      </c>
      <c r="C698" s="59" t="s">
        <v>2859</v>
      </c>
      <c r="D698" s="59" t="s">
        <v>2860</v>
      </c>
      <c r="E698" s="59" t="s">
        <v>2861</v>
      </c>
      <c r="F698" s="59" t="s">
        <v>2261</v>
      </c>
      <c r="G698" s="59" t="s">
        <v>2862</v>
      </c>
      <c r="I698" s="59" t="s">
        <v>786</v>
      </c>
    </row>
    <row r="699" spans="1:9" ht="11.25" customHeight="1">
      <c r="A699" s="59" t="s">
        <v>2162</v>
      </c>
      <c r="B699" s="59" t="s">
        <v>14</v>
      </c>
      <c r="C699" s="59" t="s">
        <v>2866</v>
      </c>
      <c r="D699" s="59" t="s">
        <v>2867</v>
      </c>
      <c r="E699" s="59" t="s">
        <v>2868</v>
      </c>
      <c r="F699" s="59" t="s">
        <v>2202</v>
      </c>
      <c r="G699" s="59" t="s">
        <v>2869</v>
      </c>
      <c r="I699" s="59" t="s">
        <v>786</v>
      </c>
    </row>
    <row r="700" spans="1:9" ht="11.25" customHeight="1">
      <c r="A700" s="59" t="s">
        <v>2162</v>
      </c>
      <c r="B700" s="59" t="s">
        <v>14</v>
      </c>
      <c r="C700" s="59" t="s">
        <v>2870</v>
      </c>
      <c r="D700" s="59" t="s">
        <v>2871</v>
      </c>
      <c r="E700" s="59" t="s">
        <v>2872</v>
      </c>
      <c r="F700" s="59" t="s">
        <v>2775</v>
      </c>
      <c r="G700" s="59" t="s">
        <v>2873</v>
      </c>
      <c r="I700" s="59" t="s">
        <v>786</v>
      </c>
    </row>
    <row r="701" spans="1:9" ht="11.25" customHeight="1">
      <c r="A701" s="59" t="s">
        <v>2162</v>
      </c>
      <c r="B701" s="59" t="s">
        <v>14</v>
      </c>
      <c r="C701" s="59" t="s">
        <v>2878</v>
      </c>
      <c r="D701" s="59" t="s">
        <v>2879</v>
      </c>
      <c r="E701" s="59" t="s">
        <v>2880</v>
      </c>
      <c r="F701" s="59" t="s">
        <v>2391</v>
      </c>
      <c r="G701" s="59" t="s">
        <v>2881</v>
      </c>
      <c r="I701" s="59" t="s">
        <v>786</v>
      </c>
    </row>
    <row r="702" spans="1:9" ht="11.25" customHeight="1">
      <c r="A702" s="59" t="s">
        <v>2162</v>
      </c>
      <c r="B702" s="59" t="s">
        <v>14</v>
      </c>
      <c r="C702" s="59" t="s">
        <v>2895</v>
      </c>
      <c r="D702" s="59" t="s">
        <v>2896</v>
      </c>
      <c r="E702" s="59" t="s">
        <v>2897</v>
      </c>
      <c r="F702" s="59" t="s">
        <v>2252</v>
      </c>
      <c r="G702" s="59" t="s">
        <v>2898</v>
      </c>
      <c r="I702" s="59" t="s">
        <v>786</v>
      </c>
    </row>
    <row r="703" spans="1:9" ht="11.25" customHeight="1">
      <c r="A703" s="59" t="s">
        <v>2162</v>
      </c>
      <c r="B703" s="59" t="s">
        <v>14</v>
      </c>
      <c r="C703" s="59" t="s">
        <v>2902</v>
      </c>
      <c r="D703" s="59" t="s">
        <v>2903</v>
      </c>
      <c r="E703" s="59" t="s">
        <v>2904</v>
      </c>
      <c r="F703" s="59" t="s">
        <v>2257</v>
      </c>
      <c r="I703" s="59" t="s">
        <v>786</v>
      </c>
    </row>
    <row r="704" spans="1:9" ht="11.25" customHeight="1">
      <c r="A704" s="59" t="s">
        <v>2162</v>
      </c>
      <c r="B704" s="59" t="s">
        <v>14</v>
      </c>
      <c r="C704" s="59" t="s">
        <v>2910</v>
      </c>
      <c r="D704" s="59" t="s">
        <v>2911</v>
      </c>
      <c r="E704" s="59" t="s">
        <v>2912</v>
      </c>
      <c r="F704" s="59" t="s">
        <v>2486</v>
      </c>
      <c r="G704" s="59" t="s">
        <v>2913</v>
      </c>
      <c r="I704" s="59" t="s">
        <v>786</v>
      </c>
    </row>
    <row r="705" spans="1:9" ht="11.25" customHeight="1">
      <c r="A705" s="59" t="s">
        <v>2162</v>
      </c>
      <c r="B705" s="59" t="s">
        <v>14</v>
      </c>
      <c r="C705" s="59" t="s">
        <v>2918</v>
      </c>
      <c r="D705" s="59" t="s">
        <v>2919</v>
      </c>
      <c r="E705" s="59" t="s">
        <v>2920</v>
      </c>
      <c r="F705" s="59" t="s">
        <v>2478</v>
      </c>
      <c r="I705" s="59" t="s">
        <v>786</v>
      </c>
    </row>
    <row r="706" spans="1:9" ht="11.25" customHeight="1">
      <c r="A706" s="59" t="s">
        <v>2162</v>
      </c>
      <c r="B706" s="59" t="s">
        <v>14</v>
      </c>
      <c r="C706" s="59" t="s">
        <v>2925</v>
      </c>
      <c r="D706" s="59" t="s">
        <v>2926</v>
      </c>
      <c r="E706" s="59" t="s">
        <v>2927</v>
      </c>
      <c r="F706" s="59" t="s">
        <v>2261</v>
      </c>
      <c r="G706" s="59" t="s">
        <v>2928</v>
      </c>
      <c r="I706" s="59" t="s">
        <v>786</v>
      </c>
    </row>
    <row r="707" spans="1:9" ht="11.25" customHeight="1">
      <c r="A707" s="59" t="s">
        <v>2162</v>
      </c>
      <c r="B707" s="59" t="s">
        <v>14</v>
      </c>
      <c r="C707" s="59" t="s">
        <v>2939</v>
      </c>
      <c r="D707" s="59" t="s">
        <v>2940</v>
      </c>
      <c r="E707" s="59" t="s">
        <v>2941</v>
      </c>
      <c r="F707" s="59" t="s">
        <v>2202</v>
      </c>
      <c r="G707" s="59" t="s">
        <v>2942</v>
      </c>
      <c r="I707" s="59" t="s">
        <v>786</v>
      </c>
    </row>
    <row r="708" spans="1:9" ht="11.25" customHeight="1">
      <c r="A708" s="59" t="s">
        <v>2162</v>
      </c>
      <c r="B708" s="59" t="s">
        <v>14</v>
      </c>
      <c r="C708" s="59" t="s">
        <v>2943</v>
      </c>
      <c r="D708" s="59" t="s">
        <v>2944</v>
      </c>
      <c r="E708" s="59" t="s">
        <v>2945</v>
      </c>
      <c r="F708" s="59" t="s">
        <v>2261</v>
      </c>
      <c r="G708" s="59" t="s">
        <v>2946</v>
      </c>
      <c r="I708" s="59" t="s">
        <v>786</v>
      </c>
    </row>
    <row r="709" spans="1:9" ht="11.25" customHeight="1">
      <c r="A709" s="59" t="s">
        <v>2162</v>
      </c>
      <c r="B709" s="59" t="s">
        <v>14</v>
      </c>
      <c r="C709" s="59" t="s">
        <v>2947</v>
      </c>
      <c r="D709" s="59" t="s">
        <v>2948</v>
      </c>
      <c r="E709" s="59" t="s">
        <v>2949</v>
      </c>
      <c r="F709" s="59" t="s">
        <v>2486</v>
      </c>
      <c r="G709" s="59" t="s">
        <v>2950</v>
      </c>
      <c r="I709" s="59" t="s">
        <v>786</v>
      </c>
    </row>
    <row r="710" spans="1:9" ht="11.25" customHeight="1">
      <c r="A710" s="59" t="s">
        <v>2162</v>
      </c>
      <c r="B710" s="59" t="s">
        <v>14</v>
      </c>
      <c r="C710" s="59" t="s">
        <v>2951</v>
      </c>
      <c r="D710" s="59" t="s">
        <v>2952</v>
      </c>
      <c r="E710" s="59" t="s">
        <v>2953</v>
      </c>
      <c r="F710" s="59" t="s">
        <v>2202</v>
      </c>
      <c r="G710" s="59" t="s">
        <v>2954</v>
      </c>
      <c r="I710" s="59" t="s">
        <v>786</v>
      </c>
    </row>
    <row r="711" spans="1:9" ht="11.25" customHeight="1">
      <c r="A711" s="59" t="s">
        <v>2162</v>
      </c>
      <c r="B711" s="59" t="s">
        <v>14</v>
      </c>
      <c r="C711" s="59" t="s">
        <v>2966</v>
      </c>
      <c r="D711" s="59" t="s">
        <v>2967</v>
      </c>
      <c r="E711" s="59" t="s">
        <v>2968</v>
      </c>
      <c r="F711" s="59" t="s">
        <v>2202</v>
      </c>
      <c r="I711" s="59" t="s">
        <v>786</v>
      </c>
    </row>
    <row r="712" spans="1:9" ht="11.25" customHeight="1">
      <c r="A712" s="59" t="s">
        <v>2162</v>
      </c>
      <c r="B712" s="59" t="s">
        <v>14</v>
      </c>
      <c r="C712" s="59" t="s">
        <v>2969</v>
      </c>
      <c r="D712" s="59" t="s">
        <v>2970</v>
      </c>
      <c r="E712" s="59" t="s">
        <v>2971</v>
      </c>
      <c r="F712" s="59" t="s">
        <v>2261</v>
      </c>
      <c r="G712" s="59" t="s">
        <v>2972</v>
      </c>
      <c r="I712" s="59" t="s">
        <v>786</v>
      </c>
    </row>
    <row r="713" spans="1:9" ht="11.25" customHeight="1">
      <c r="A713" s="59" t="s">
        <v>2162</v>
      </c>
      <c r="B713" s="59" t="s">
        <v>14</v>
      </c>
      <c r="C713" s="59" t="s">
        <v>2977</v>
      </c>
      <c r="D713" s="59" t="s">
        <v>2978</v>
      </c>
      <c r="E713" s="59" t="s">
        <v>2979</v>
      </c>
      <c r="F713" s="59" t="s">
        <v>2257</v>
      </c>
      <c r="G713" s="59" t="s">
        <v>2980</v>
      </c>
      <c r="I713" s="59" t="s">
        <v>786</v>
      </c>
    </row>
    <row r="714" spans="1:9" ht="11.25" customHeight="1">
      <c r="A714" s="59" t="s">
        <v>2162</v>
      </c>
      <c r="B714" s="59" t="s">
        <v>14</v>
      </c>
      <c r="C714" s="59" t="s">
        <v>2989</v>
      </c>
      <c r="D714" s="59" t="s">
        <v>2990</v>
      </c>
      <c r="E714" s="59" t="s">
        <v>2991</v>
      </c>
      <c r="F714" s="59" t="s">
        <v>2228</v>
      </c>
      <c r="G714" s="59" t="s">
        <v>2992</v>
      </c>
      <c r="I714" s="59" t="s">
        <v>786</v>
      </c>
    </row>
    <row r="715" spans="1:9" ht="11.25" customHeight="1">
      <c r="A715" s="59" t="s">
        <v>2162</v>
      </c>
      <c r="B715" s="59" t="s">
        <v>14</v>
      </c>
      <c r="C715" s="59" t="s">
        <v>2996</v>
      </c>
      <c r="D715" s="59" t="s">
        <v>2997</v>
      </c>
      <c r="E715" s="59" t="s">
        <v>2998</v>
      </c>
      <c r="F715" s="59" t="s">
        <v>2308</v>
      </c>
      <c r="G715" s="59" t="s">
        <v>2999</v>
      </c>
      <c r="I715" s="59" t="s">
        <v>786</v>
      </c>
    </row>
    <row r="716" spans="1:9" ht="11.25" customHeight="1">
      <c r="A716" s="59" t="s">
        <v>2162</v>
      </c>
      <c r="B716" s="59" t="s">
        <v>14</v>
      </c>
      <c r="C716" s="59" t="s">
        <v>3000</v>
      </c>
      <c r="D716" s="59" t="s">
        <v>3001</v>
      </c>
      <c r="E716" s="59" t="s">
        <v>3002</v>
      </c>
      <c r="F716" s="59" t="s">
        <v>3003</v>
      </c>
      <c r="G716" s="59" t="s">
        <v>3004</v>
      </c>
      <c r="I716" s="59" t="s">
        <v>786</v>
      </c>
    </row>
    <row r="717" spans="1:9" ht="11.25" customHeight="1">
      <c r="A717" s="59" t="s">
        <v>2162</v>
      </c>
      <c r="B717" s="59" t="s">
        <v>14</v>
      </c>
      <c r="C717" s="59" t="s">
        <v>3008</v>
      </c>
      <c r="D717" s="59" t="s">
        <v>3009</v>
      </c>
      <c r="E717" s="59" t="s">
        <v>3010</v>
      </c>
      <c r="F717" s="59" t="s">
        <v>2261</v>
      </c>
      <c r="G717" s="59" t="s">
        <v>3011</v>
      </c>
      <c r="I717" s="59" t="s">
        <v>786</v>
      </c>
    </row>
    <row r="718" spans="1:9" ht="11.25" customHeight="1">
      <c r="A718" s="59" t="s">
        <v>2162</v>
      </c>
      <c r="B718" s="59" t="s">
        <v>14</v>
      </c>
      <c r="C718" s="59" t="s">
        <v>3012</v>
      </c>
      <c r="D718" s="59" t="s">
        <v>3013</v>
      </c>
      <c r="E718" s="59" t="s">
        <v>3014</v>
      </c>
      <c r="F718" s="59" t="s">
        <v>2257</v>
      </c>
      <c r="G718" s="59" t="s">
        <v>3015</v>
      </c>
      <c r="I718" s="59" t="s">
        <v>786</v>
      </c>
    </row>
    <row r="719" spans="1:9" ht="11.25" customHeight="1">
      <c r="A719" s="59" t="s">
        <v>2162</v>
      </c>
      <c r="B719" s="59" t="s">
        <v>14</v>
      </c>
      <c r="C719" s="59" t="s">
        <v>3016</v>
      </c>
      <c r="D719" s="59" t="s">
        <v>3017</v>
      </c>
      <c r="E719" s="59" t="s">
        <v>3018</v>
      </c>
      <c r="F719" s="59" t="s">
        <v>2257</v>
      </c>
      <c r="G719" s="59" t="s">
        <v>3019</v>
      </c>
      <c r="I719" s="59" t="s">
        <v>786</v>
      </c>
    </row>
    <row r="720" spans="1:9" ht="11.25" customHeight="1">
      <c r="A720" s="59" t="s">
        <v>2162</v>
      </c>
      <c r="B720" s="59" t="s">
        <v>14</v>
      </c>
      <c r="C720" s="59" t="s">
        <v>3026</v>
      </c>
      <c r="D720" s="59" t="s">
        <v>3027</v>
      </c>
      <c r="E720" s="59" t="s">
        <v>3028</v>
      </c>
      <c r="F720" s="59" t="s">
        <v>2592</v>
      </c>
      <c r="I720" s="59" t="s">
        <v>786</v>
      </c>
    </row>
    <row r="721" spans="1:9" ht="11.25" customHeight="1">
      <c r="A721" s="59" t="s">
        <v>2162</v>
      </c>
      <c r="B721" s="59" t="s">
        <v>14</v>
      </c>
      <c r="C721" s="59" t="s">
        <v>3029</v>
      </c>
      <c r="D721" s="59" t="s">
        <v>3030</v>
      </c>
      <c r="E721" s="59" t="s">
        <v>3031</v>
      </c>
      <c r="F721" s="59" t="s">
        <v>2592</v>
      </c>
      <c r="I721" s="59" t="s">
        <v>786</v>
      </c>
    </row>
    <row r="722" spans="1:9" ht="11.25" customHeight="1">
      <c r="A722" s="59" t="s">
        <v>2162</v>
      </c>
      <c r="B722" s="59" t="s">
        <v>14</v>
      </c>
      <c r="C722" s="59" t="s">
        <v>3032</v>
      </c>
      <c r="D722" s="59" t="s">
        <v>3033</v>
      </c>
      <c r="E722" s="59" t="s">
        <v>3034</v>
      </c>
      <c r="F722" s="59" t="s">
        <v>2592</v>
      </c>
      <c r="G722" s="59" t="s">
        <v>3035</v>
      </c>
      <c r="I722" s="59" t="s">
        <v>786</v>
      </c>
    </row>
    <row r="723" spans="1:9" ht="11.25" customHeight="1">
      <c r="A723" s="59" t="s">
        <v>2162</v>
      </c>
      <c r="B723" s="59" t="s">
        <v>14</v>
      </c>
      <c r="C723" s="59" t="s">
        <v>3036</v>
      </c>
      <c r="D723" s="59" t="s">
        <v>3037</v>
      </c>
      <c r="E723" s="59" t="s">
        <v>3038</v>
      </c>
      <c r="F723" s="59" t="s">
        <v>2592</v>
      </c>
      <c r="G723" s="59" t="s">
        <v>3039</v>
      </c>
      <c r="I723" s="59" t="s">
        <v>786</v>
      </c>
    </row>
    <row r="724" spans="1:9" ht="11.25" customHeight="1">
      <c r="A724" s="59" t="s">
        <v>2162</v>
      </c>
      <c r="B724" s="59" t="s">
        <v>14</v>
      </c>
      <c r="C724" s="59" t="s">
        <v>3054</v>
      </c>
      <c r="D724" s="59" t="s">
        <v>3055</v>
      </c>
      <c r="E724" s="59" t="s">
        <v>3056</v>
      </c>
      <c r="F724" s="59" t="s">
        <v>3057</v>
      </c>
      <c r="I724" s="59" t="s">
        <v>786</v>
      </c>
    </row>
    <row r="725" spans="1:9" ht="11.25" customHeight="1">
      <c r="A725" s="59" t="s">
        <v>2162</v>
      </c>
      <c r="B725" s="59" t="s">
        <v>14</v>
      </c>
      <c r="C725" s="59" t="s">
        <v>3058</v>
      </c>
      <c r="D725" s="59" t="s">
        <v>3059</v>
      </c>
      <c r="E725" s="59" t="s">
        <v>3060</v>
      </c>
      <c r="F725" s="59" t="s">
        <v>2308</v>
      </c>
      <c r="I725" s="59" t="s">
        <v>786</v>
      </c>
    </row>
    <row r="726" spans="1:9" ht="11.25" customHeight="1">
      <c r="A726" s="59" t="s">
        <v>2162</v>
      </c>
      <c r="B726" s="59" t="s">
        <v>14</v>
      </c>
      <c r="C726" s="59" t="s">
        <v>3061</v>
      </c>
      <c r="D726" s="59" t="s">
        <v>3062</v>
      </c>
      <c r="E726" s="59" t="s">
        <v>3063</v>
      </c>
      <c r="F726" s="59" t="s">
        <v>2299</v>
      </c>
      <c r="G726" s="59" t="s">
        <v>2924</v>
      </c>
      <c r="H726" s="59" t="s">
        <v>3064</v>
      </c>
      <c r="I726" s="59" t="s">
        <v>786</v>
      </c>
    </row>
    <row r="727" spans="1:9" ht="11.25" customHeight="1">
      <c r="A727" s="59" t="s">
        <v>2162</v>
      </c>
      <c r="B727" s="59" t="s">
        <v>14</v>
      </c>
      <c r="C727" s="59" t="s">
        <v>3065</v>
      </c>
      <c r="D727" s="59" t="s">
        <v>3066</v>
      </c>
      <c r="E727" s="59" t="s">
        <v>3067</v>
      </c>
      <c r="F727" s="59" t="s">
        <v>2486</v>
      </c>
      <c r="I727" s="59" t="s">
        <v>786</v>
      </c>
    </row>
    <row r="728" spans="1:9" ht="11.25" customHeight="1">
      <c r="A728" s="59" t="s">
        <v>2162</v>
      </c>
      <c r="B728" s="59" t="s">
        <v>14</v>
      </c>
      <c r="C728" s="59" t="s">
        <v>3068</v>
      </c>
      <c r="D728" s="59" t="s">
        <v>3069</v>
      </c>
      <c r="E728" s="59" t="s">
        <v>3070</v>
      </c>
      <c r="F728" s="59" t="s">
        <v>2592</v>
      </c>
      <c r="G728" s="59" t="s">
        <v>3071</v>
      </c>
      <c r="I728" s="59" t="s">
        <v>786</v>
      </c>
    </row>
    <row r="729" spans="1:9" ht="11.25" customHeight="1">
      <c r="A729" s="59" t="s">
        <v>2162</v>
      </c>
      <c r="B729" s="59" t="s">
        <v>14</v>
      </c>
      <c r="C729" s="59" t="s">
        <v>3076</v>
      </c>
      <c r="D729" s="59" t="s">
        <v>3077</v>
      </c>
      <c r="E729" s="59" t="s">
        <v>3078</v>
      </c>
      <c r="F729" s="59" t="s">
        <v>2486</v>
      </c>
      <c r="I729" s="59" t="s">
        <v>786</v>
      </c>
    </row>
    <row r="730" spans="1:9" ht="11.25" customHeight="1">
      <c r="A730" s="59" t="s">
        <v>2162</v>
      </c>
      <c r="B730" s="59" t="s">
        <v>14</v>
      </c>
      <c r="C730" s="59" t="s">
        <v>3079</v>
      </c>
      <c r="D730" s="59" t="s">
        <v>3080</v>
      </c>
      <c r="E730" s="59" t="s">
        <v>3081</v>
      </c>
      <c r="F730" s="59" t="s">
        <v>2486</v>
      </c>
      <c r="G730" s="59" t="s">
        <v>3082</v>
      </c>
      <c r="I730" s="59" t="s">
        <v>786</v>
      </c>
    </row>
    <row r="731" spans="1:9" ht="11.25" customHeight="1">
      <c r="A731" s="59" t="s">
        <v>2162</v>
      </c>
      <c r="B731" s="59" t="s">
        <v>14</v>
      </c>
      <c r="C731" s="59" t="s">
        <v>3091</v>
      </c>
      <c r="D731" s="59" t="s">
        <v>3092</v>
      </c>
      <c r="E731" s="59" t="s">
        <v>3093</v>
      </c>
      <c r="F731" s="59" t="s">
        <v>2775</v>
      </c>
      <c r="G731" s="59" t="s">
        <v>3094</v>
      </c>
      <c r="I731" s="59" t="s">
        <v>786</v>
      </c>
    </row>
    <row r="732" spans="1:9" ht="11.25" customHeight="1">
      <c r="A732" s="59" t="s">
        <v>2162</v>
      </c>
      <c r="B732" s="59" t="s">
        <v>14</v>
      </c>
      <c r="C732" s="59" t="s">
        <v>3095</v>
      </c>
      <c r="D732" s="59" t="s">
        <v>3096</v>
      </c>
      <c r="E732" s="59" t="s">
        <v>3097</v>
      </c>
      <c r="F732" s="59" t="s">
        <v>2202</v>
      </c>
      <c r="I732" s="59" t="s">
        <v>786</v>
      </c>
    </row>
    <row r="733" spans="1:9" ht="11.25" customHeight="1">
      <c r="A733" s="59" t="s">
        <v>2162</v>
      </c>
      <c r="B733" s="59" t="s">
        <v>14</v>
      </c>
      <c r="C733" s="59" t="s">
        <v>3101</v>
      </c>
      <c r="D733" s="59" t="s">
        <v>3102</v>
      </c>
      <c r="E733" s="59" t="s">
        <v>3103</v>
      </c>
      <c r="F733" s="59" t="s">
        <v>2166</v>
      </c>
      <c r="G733" s="59" t="s">
        <v>3104</v>
      </c>
      <c r="I733" s="59" t="s">
        <v>786</v>
      </c>
    </row>
    <row r="734" spans="1:9" ht="11.25" customHeight="1">
      <c r="A734" s="59" t="s">
        <v>2162</v>
      </c>
      <c r="B734" s="59" t="s">
        <v>14</v>
      </c>
      <c r="C734" s="59" t="s">
        <v>3105</v>
      </c>
      <c r="D734" s="59" t="s">
        <v>3106</v>
      </c>
      <c r="E734" s="59" t="s">
        <v>3107</v>
      </c>
      <c r="F734" s="59" t="s">
        <v>2202</v>
      </c>
      <c r="G734" s="59" t="s">
        <v>3108</v>
      </c>
      <c r="I734" s="59" t="s">
        <v>786</v>
      </c>
    </row>
    <row r="735" spans="1:9" ht="11.25" customHeight="1">
      <c r="A735" s="59" t="s">
        <v>2162</v>
      </c>
      <c r="B735" s="59" t="s">
        <v>14</v>
      </c>
      <c r="C735" s="59" t="s">
        <v>3109</v>
      </c>
      <c r="D735" s="59" t="s">
        <v>3110</v>
      </c>
      <c r="E735" s="59" t="s">
        <v>3111</v>
      </c>
      <c r="F735" s="59" t="s">
        <v>2166</v>
      </c>
      <c r="G735" s="59" t="s">
        <v>3112</v>
      </c>
      <c r="I735" s="59" t="s">
        <v>786</v>
      </c>
    </row>
    <row r="736" spans="1:9" ht="11.25" customHeight="1">
      <c r="A736" s="59" t="s">
        <v>2162</v>
      </c>
      <c r="B736" s="59" t="s">
        <v>14</v>
      </c>
      <c r="C736" s="59" t="s">
        <v>3120</v>
      </c>
      <c r="D736" s="59" t="s">
        <v>3121</v>
      </c>
      <c r="E736" s="59" t="s">
        <v>3122</v>
      </c>
      <c r="F736" s="59" t="s">
        <v>2193</v>
      </c>
      <c r="I736" s="59" t="s">
        <v>786</v>
      </c>
    </row>
    <row r="737" spans="1:9" ht="11.25" customHeight="1">
      <c r="A737" s="59" t="s">
        <v>2162</v>
      </c>
      <c r="B737" s="59" t="s">
        <v>14</v>
      </c>
      <c r="C737" s="59" t="s">
        <v>3131</v>
      </c>
      <c r="D737" s="59" t="s">
        <v>3132</v>
      </c>
      <c r="E737" s="59" t="s">
        <v>3133</v>
      </c>
      <c r="F737" s="59" t="s">
        <v>2166</v>
      </c>
      <c r="G737" s="59" t="s">
        <v>3134</v>
      </c>
      <c r="I737" s="59" t="s">
        <v>786</v>
      </c>
    </row>
    <row r="738" spans="1:9" ht="11.25" customHeight="1">
      <c r="A738" s="59" t="s">
        <v>2162</v>
      </c>
      <c r="B738" s="59" t="s">
        <v>14</v>
      </c>
      <c r="C738" s="59" t="s">
        <v>3135</v>
      </c>
      <c r="D738" s="59" t="s">
        <v>3136</v>
      </c>
      <c r="E738" s="59" t="s">
        <v>3137</v>
      </c>
      <c r="F738" s="59" t="s">
        <v>2257</v>
      </c>
      <c r="G738" s="59" t="s">
        <v>3138</v>
      </c>
      <c r="I738" s="59" t="s">
        <v>786</v>
      </c>
    </row>
    <row r="739" spans="1:9" ht="11.25" customHeight="1">
      <c r="A739" s="59" t="s">
        <v>2162</v>
      </c>
      <c r="B739" s="59" t="s">
        <v>14</v>
      </c>
      <c r="C739" s="59" t="s">
        <v>3143</v>
      </c>
      <c r="D739" s="59" t="s">
        <v>3144</v>
      </c>
      <c r="E739" s="59" t="s">
        <v>3145</v>
      </c>
      <c r="F739" s="59" t="s">
        <v>3146</v>
      </c>
      <c r="G739" s="59" t="s">
        <v>3147</v>
      </c>
      <c r="I739" s="59" t="s">
        <v>786</v>
      </c>
    </row>
    <row r="740" spans="1:9" ht="11.25" customHeight="1">
      <c r="A740" s="59" t="s">
        <v>2162</v>
      </c>
      <c r="B740" s="59" t="s">
        <v>14</v>
      </c>
      <c r="C740" s="59" t="s">
        <v>3156</v>
      </c>
      <c r="D740" s="59" t="s">
        <v>3157</v>
      </c>
      <c r="E740" s="59" t="s">
        <v>3158</v>
      </c>
      <c r="F740" s="59" t="s">
        <v>2202</v>
      </c>
      <c r="I740" s="59" t="s">
        <v>786</v>
      </c>
    </row>
    <row r="741" spans="1:9" ht="11.25" customHeight="1">
      <c r="A741" s="59" t="s">
        <v>2162</v>
      </c>
      <c r="B741" s="59" t="s">
        <v>14</v>
      </c>
      <c r="C741" s="59" t="s">
        <v>3159</v>
      </c>
      <c r="D741" s="59" t="s">
        <v>3160</v>
      </c>
      <c r="E741" s="59" t="s">
        <v>3161</v>
      </c>
      <c r="F741" s="59" t="s">
        <v>2202</v>
      </c>
      <c r="I741" s="59" t="s">
        <v>786</v>
      </c>
    </row>
    <row r="742" spans="1:9" ht="11.25" customHeight="1">
      <c r="A742" s="59" t="s">
        <v>2162</v>
      </c>
      <c r="B742" s="59" t="s">
        <v>14</v>
      </c>
      <c r="C742" s="59" t="s">
        <v>3167</v>
      </c>
      <c r="D742" s="59" t="s">
        <v>3168</v>
      </c>
      <c r="E742" s="59" t="s">
        <v>3169</v>
      </c>
      <c r="F742" s="59" t="s">
        <v>2202</v>
      </c>
      <c r="I742" s="59" t="s">
        <v>786</v>
      </c>
    </row>
    <row r="743" spans="1:9" ht="11.25" customHeight="1">
      <c r="A743" s="59" t="s">
        <v>2162</v>
      </c>
      <c r="B743" s="59" t="s">
        <v>14</v>
      </c>
      <c r="C743" s="59" t="s">
        <v>3170</v>
      </c>
      <c r="D743" s="59" t="s">
        <v>3171</v>
      </c>
      <c r="E743" s="59" t="s">
        <v>3172</v>
      </c>
      <c r="F743" s="59" t="s">
        <v>3173</v>
      </c>
      <c r="I743" s="59" t="s">
        <v>786</v>
      </c>
    </row>
    <row r="744" spans="1:9" ht="11.25" customHeight="1">
      <c r="A744" s="59" t="s">
        <v>2162</v>
      </c>
      <c r="B744" s="59" t="s">
        <v>14</v>
      </c>
      <c r="C744" s="59" t="s">
        <v>3189</v>
      </c>
      <c r="D744" s="59" t="s">
        <v>3190</v>
      </c>
      <c r="E744" s="59" t="s">
        <v>3191</v>
      </c>
      <c r="F744" s="59" t="s">
        <v>3192</v>
      </c>
      <c r="I744" s="59" t="s">
        <v>786</v>
      </c>
    </row>
    <row r="745" spans="1:9" ht="11.25" customHeight="1">
      <c r="A745" s="59" t="s">
        <v>2162</v>
      </c>
      <c r="B745" s="59" t="s">
        <v>14</v>
      </c>
      <c r="C745" s="59" t="s">
        <v>3193</v>
      </c>
      <c r="D745" s="59" t="s">
        <v>3194</v>
      </c>
      <c r="E745" s="59" t="s">
        <v>3195</v>
      </c>
      <c r="F745" s="59" t="s">
        <v>2486</v>
      </c>
      <c r="I745" s="59" t="s">
        <v>786</v>
      </c>
    </row>
    <row r="746" spans="1:9" ht="11.25" customHeight="1">
      <c r="A746" s="59" t="s">
        <v>2162</v>
      </c>
      <c r="B746" s="59" t="s">
        <v>14</v>
      </c>
      <c r="C746" s="59" t="s">
        <v>3199</v>
      </c>
      <c r="D746" s="59" t="s">
        <v>3200</v>
      </c>
      <c r="E746" s="59" t="s">
        <v>3201</v>
      </c>
      <c r="F746" s="59" t="s">
        <v>3154</v>
      </c>
      <c r="I746" s="59" t="s">
        <v>786</v>
      </c>
    </row>
    <row r="747" spans="1:9" ht="11.25" customHeight="1">
      <c r="A747" s="59" t="s">
        <v>2162</v>
      </c>
      <c r="B747" s="59" t="s">
        <v>14</v>
      </c>
      <c r="C747" s="59" t="s">
        <v>3202</v>
      </c>
      <c r="D747" s="59" t="s">
        <v>3203</v>
      </c>
      <c r="E747" s="59" t="s">
        <v>3204</v>
      </c>
      <c r="F747" s="59" t="s">
        <v>2291</v>
      </c>
      <c r="I747" s="59" t="s">
        <v>786</v>
      </c>
    </row>
    <row r="748" spans="1:9" ht="11.25" customHeight="1">
      <c r="A748" s="59" t="s">
        <v>2162</v>
      </c>
      <c r="B748" s="59" t="s">
        <v>14</v>
      </c>
      <c r="C748" s="59" t="s">
        <v>3205</v>
      </c>
      <c r="D748" s="59" t="s">
        <v>3206</v>
      </c>
      <c r="E748" s="59" t="s">
        <v>3207</v>
      </c>
      <c r="F748" s="59" t="s">
        <v>2202</v>
      </c>
      <c r="I748" s="59" t="s">
        <v>786</v>
      </c>
    </row>
    <row r="749" spans="1:9" ht="11.25" customHeight="1">
      <c r="A749" s="59" t="s">
        <v>2162</v>
      </c>
      <c r="B749" s="59" t="s">
        <v>14</v>
      </c>
      <c r="C749" s="59" t="s">
        <v>3211</v>
      </c>
      <c r="D749" s="59" t="s">
        <v>3212</v>
      </c>
      <c r="E749" s="59" t="s">
        <v>3213</v>
      </c>
      <c r="F749" s="59" t="s">
        <v>2166</v>
      </c>
      <c r="I749" s="59" t="s">
        <v>786</v>
      </c>
    </row>
    <row r="750" spans="1:9" ht="11.25" customHeight="1">
      <c r="A750" s="59" t="s">
        <v>2162</v>
      </c>
      <c r="B750" s="59" t="s">
        <v>14</v>
      </c>
      <c r="C750" s="59" t="s">
        <v>3217</v>
      </c>
      <c r="D750" s="59" t="s">
        <v>3218</v>
      </c>
      <c r="E750" s="59" t="s">
        <v>3219</v>
      </c>
      <c r="F750" s="59" t="s">
        <v>2166</v>
      </c>
      <c r="I750" s="59" t="s">
        <v>786</v>
      </c>
    </row>
    <row r="751" spans="1:9" ht="11.25" customHeight="1">
      <c r="A751" s="59" t="s">
        <v>2162</v>
      </c>
      <c r="B751" s="59" t="s">
        <v>14</v>
      </c>
      <c r="C751" s="59" t="s">
        <v>3231</v>
      </c>
      <c r="D751" s="59" t="s">
        <v>3232</v>
      </c>
      <c r="E751" s="59" t="s">
        <v>3233</v>
      </c>
      <c r="F751" s="59" t="s">
        <v>2248</v>
      </c>
      <c r="I751" s="59" t="s">
        <v>786</v>
      </c>
    </row>
    <row r="752" spans="1:9" ht="11.25" customHeight="1">
      <c r="A752" s="59" t="s">
        <v>2162</v>
      </c>
      <c r="B752" s="59" t="s">
        <v>14</v>
      </c>
      <c r="C752" s="59" t="s">
        <v>3237</v>
      </c>
      <c r="D752" s="59" t="s">
        <v>3238</v>
      </c>
      <c r="E752" s="59" t="s">
        <v>3239</v>
      </c>
      <c r="F752" s="59" t="s">
        <v>3240</v>
      </c>
      <c r="I752" s="59" t="s">
        <v>786</v>
      </c>
    </row>
    <row r="753" spans="1:9" ht="11.25" customHeight="1">
      <c r="A753" s="59" t="s">
        <v>2162</v>
      </c>
      <c r="B753" s="59" t="s">
        <v>14</v>
      </c>
      <c r="C753" s="59" t="s">
        <v>3248</v>
      </c>
      <c r="D753" s="59" t="s">
        <v>3249</v>
      </c>
      <c r="E753" s="59" t="s">
        <v>3250</v>
      </c>
      <c r="F753" s="59" t="s">
        <v>3251</v>
      </c>
      <c r="I753" s="59" t="s">
        <v>786</v>
      </c>
    </row>
    <row r="754" spans="1:9" ht="11.25" customHeight="1">
      <c r="A754" s="59" t="s">
        <v>2162</v>
      </c>
      <c r="B754" s="59" t="s">
        <v>14</v>
      </c>
      <c r="C754" s="59" t="s">
        <v>3262</v>
      </c>
      <c r="D754" s="59" t="s">
        <v>3263</v>
      </c>
      <c r="E754" s="59" t="s">
        <v>3264</v>
      </c>
      <c r="F754" s="59" t="s">
        <v>2299</v>
      </c>
      <c r="I754" s="59" t="s">
        <v>786</v>
      </c>
    </row>
    <row r="755" spans="1:9" ht="11.25" customHeight="1">
      <c r="A755" s="59" t="s">
        <v>2162</v>
      </c>
      <c r="B755" s="59" t="s">
        <v>14</v>
      </c>
      <c r="C755" s="59" t="s">
        <v>3280</v>
      </c>
      <c r="D755" s="59" t="s">
        <v>3281</v>
      </c>
      <c r="E755" s="59" t="s">
        <v>3282</v>
      </c>
      <c r="F755" s="59" t="s">
        <v>2166</v>
      </c>
      <c r="I755" s="59" t="s">
        <v>786</v>
      </c>
    </row>
    <row r="756" spans="1:9" ht="11.25" customHeight="1">
      <c r="A756" s="59" t="s">
        <v>2162</v>
      </c>
      <c r="B756" s="59" t="s">
        <v>14</v>
      </c>
      <c r="C756" s="59" t="s">
        <v>3286</v>
      </c>
      <c r="D756" s="59" t="s">
        <v>3287</v>
      </c>
      <c r="E756" s="59" t="s">
        <v>3288</v>
      </c>
      <c r="F756" s="59" t="s">
        <v>2228</v>
      </c>
      <c r="I756" s="59" t="s">
        <v>786</v>
      </c>
    </row>
    <row r="757" spans="1:9" ht="11.25" customHeight="1">
      <c r="A757" s="59" t="s">
        <v>2162</v>
      </c>
      <c r="B757" s="59" t="s">
        <v>14</v>
      </c>
      <c r="C757" s="59" t="s">
        <v>3303</v>
      </c>
      <c r="D757" s="59" t="s">
        <v>3304</v>
      </c>
      <c r="E757" s="59" t="s">
        <v>3305</v>
      </c>
      <c r="F757" s="59" t="s">
        <v>2478</v>
      </c>
      <c r="I757" s="59" t="s">
        <v>786</v>
      </c>
    </row>
    <row r="758" spans="1:9" ht="11.25" customHeight="1">
      <c r="A758" s="59" t="s">
        <v>2162</v>
      </c>
      <c r="B758" s="59" t="s">
        <v>14</v>
      </c>
      <c r="C758" s="59" t="s">
        <v>3315</v>
      </c>
      <c r="D758" s="59" t="s">
        <v>3316</v>
      </c>
      <c r="E758" s="59" t="s">
        <v>3317</v>
      </c>
      <c r="F758" s="59" t="s">
        <v>2478</v>
      </c>
      <c r="I758" s="59" t="s">
        <v>786</v>
      </c>
    </row>
    <row r="759" spans="1:9" ht="11.25" customHeight="1">
      <c r="A759" s="59" t="s">
        <v>2162</v>
      </c>
      <c r="B759" s="59" t="s">
        <v>14</v>
      </c>
      <c r="C759" s="59" t="s">
        <v>3318</v>
      </c>
      <c r="D759" s="59" t="s">
        <v>3319</v>
      </c>
      <c r="E759" s="59" t="s">
        <v>3320</v>
      </c>
      <c r="F759" s="59" t="s">
        <v>2233</v>
      </c>
      <c r="I759" s="59" t="s">
        <v>786</v>
      </c>
    </row>
    <row r="760" spans="1:9" ht="11.25" customHeight="1">
      <c r="A760" s="59" t="s">
        <v>2162</v>
      </c>
      <c r="B760" s="59" t="s">
        <v>14</v>
      </c>
      <c r="C760" s="59" t="s">
        <v>4265</v>
      </c>
      <c r="D760" s="59" t="s">
        <v>4266</v>
      </c>
      <c r="E760" s="59" t="s">
        <v>4267</v>
      </c>
      <c r="F760" s="59" t="s">
        <v>2299</v>
      </c>
      <c r="I760" s="59" t="s">
        <v>786</v>
      </c>
    </row>
    <row r="761" spans="1:9" ht="11.25" customHeight="1">
      <c r="A761" s="59" t="s">
        <v>2162</v>
      </c>
      <c r="B761" s="59" t="s">
        <v>14</v>
      </c>
      <c r="C761" s="59" t="s">
        <v>3327</v>
      </c>
      <c r="D761" s="59" t="s">
        <v>3328</v>
      </c>
      <c r="E761" s="59" t="s">
        <v>3329</v>
      </c>
      <c r="F761" s="59" t="s">
        <v>2202</v>
      </c>
      <c r="I761" s="59" t="s">
        <v>786</v>
      </c>
    </row>
    <row r="762" spans="1:9" ht="11.25" customHeight="1">
      <c r="A762" s="59" t="s">
        <v>2162</v>
      </c>
      <c r="B762" s="59" t="s">
        <v>14</v>
      </c>
      <c r="C762" s="59" t="s">
        <v>3354</v>
      </c>
      <c r="D762" s="59" t="s">
        <v>3355</v>
      </c>
      <c r="E762" s="59" t="s">
        <v>3356</v>
      </c>
      <c r="F762" s="59" t="s">
        <v>3357</v>
      </c>
      <c r="I762" s="59" t="s">
        <v>786</v>
      </c>
    </row>
    <row r="763" spans="1:9" ht="11.25" customHeight="1">
      <c r="A763" s="59" t="s">
        <v>2162</v>
      </c>
      <c r="B763" s="59" t="s">
        <v>14</v>
      </c>
      <c r="C763" s="59" t="s">
        <v>3372</v>
      </c>
      <c r="D763" s="59" t="s">
        <v>3373</v>
      </c>
      <c r="E763" s="59" t="s">
        <v>3374</v>
      </c>
      <c r="F763" s="59" t="s">
        <v>2166</v>
      </c>
      <c r="I763" s="59" t="s">
        <v>786</v>
      </c>
    </row>
    <row r="764" spans="1:9" ht="11.25" customHeight="1">
      <c r="A764" s="59" t="s">
        <v>2162</v>
      </c>
      <c r="B764" s="59" t="s">
        <v>14</v>
      </c>
      <c r="C764" s="59" t="s">
        <v>3378</v>
      </c>
      <c r="D764" s="59" t="s">
        <v>3379</v>
      </c>
      <c r="E764" s="59" t="s">
        <v>3380</v>
      </c>
      <c r="F764" s="59" t="s">
        <v>2166</v>
      </c>
      <c r="I764" s="59" t="s">
        <v>786</v>
      </c>
    </row>
    <row r="765" spans="1:9" ht="11.25" customHeight="1">
      <c r="A765" s="59" t="s">
        <v>2162</v>
      </c>
      <c r="B765" s="59" t="s">
        <v>14</v>
      </c>
      <c r="C765" s="59" t="s">
        <v>3381</v>
      </c>
      <c r="D765" s="59" t="s">
        <v>3382</v>
      </c>
      <c r="E765" s="59" t="s">
        <v>3383</v>
      </c>
      <c r="F765" s="59" t="s">
        <v>2233</v>
      </c>
      <c r="I765" s="59" t="s">
        <v>786</v>
      </c>
    </row>
    <row r="766" spans="1:9" ht="11.25" customHeight="1">
      <c r="A766" s="59" t="s">
        <v>2162</v>
      </c>
      <c r="B766" s="59" t="s">
        <v>14</v>
      </c>
      <c r="C766" s="59" t="s">
        <v>3384</v>
      </c>
      <c r="D766" s="59" t="s">
        <v>3385</v>
      </c>
      <c r="E766" s="59" t="s">
        <v>3386</v>
      </c>
      <c r="F766" s="59" t="s">
        <v>2228</v>
      </c>
      <c r="I766" s="59" t="s">
        <v>786</v>
      </c>
    </row>
    <row r="767" spans="1:9" ht="11.25" customHeight="1">
      <c r="A767" s="59" t="s">
        <v>2162</v>
      </c>
      <c r="B767" s="59" t="s">
        <v>14</v>
      </c>
      <c r="C767" s="59" t="s">
        <v>3390</v>
      </c>
      <c r="D767" s="59" t="s">
        <v>3391</v>
      </c>
      <c r="E767" s="59" t="s">
        <v>3233</v>
      </c>
      <c r="F767" s="59" t="s">
        <v>2391</v>
      </c>
      <c r="I767" s="59" t="s">
        <v>786</v>
      </c>
    </row>
    <row r="768" spans="1:9" ht="11.25" customHeight="1">
      <c r="A768" s="59" t="s">
        <v>2162</v>
      </c>
      <c r="B768" s="59" t="s">
        <v>14</v>
      </c>
      <c r="C768" s="59" t="s">
        <v>3401</v>
      </c>
      <c r="D768" s="59" t="s">
        <v>3402</v>
      </c>
      <c r="E768" s="59" t="s">
        <v>3403</v>
      </c>
      <c r="F768" s="59" t="s">
        <v>2210</v>
      </c>
      <c r="I768" s="59" t="s">
        <v>786</v>
      </c>
    </row>
    <row r="769" spans="1:9" ht="11.25" customHeight="1">
      <c r="A769" s="59" t="s">
        <v>2162</v>
      </c>
      <c r="B769" s="59" t="s">
        <v>14</v>
      </c>
      <c r="C769" s="59" t="s">
        <v>3416</v>
      </c>
      <c r="D769" s="59" t="s">
        <v>3417</v>
      </c>
      <c r="E769" s="59" t="s">
        <v>3418</v>
      </c>
      <c r="F769" s="59" t="s">
        <v>2210</v>
      </c>
      <c r="I769" s="59" t="s">
        <v>786</v>
      </c>
    </row>
    <row r="770" spans="1:9" ht="11.25" customHeight="1">
      <c r="A770" s="59" t="s">
        <v>2162</v>
      </c>
      <c r="B770" s="59" t="s">
        <v>14</v>
      </c>
      <c r="C770" s="59" t="s">
        <v>3428</v>
      </c>
      <c r="D770" s="59" t="s">
        <v>3429</v>
      </c>
      <c r="E770" s="59" t="s">
        <v>2174</v>
      </c>
      <c r="F770" s="59" t="s">
        <v>2370</v>
      </c>
      <c r="I770" s="59" t="s">
        <v>786</v>
      </c>
    </row>
    <row r="771" spans="1:9" ht="11.25" customHeight="1">
      <c r="A771" s="59" t="s">
        <v>2162</v>
      </c>
      <c r="B771" s="59" t="s">
        <v>14</v>
      </c>
      <c r="C771" s="59" t="s">
        <v>3430</v>
      </c>
      <c r="D771" s="59" t="s">
        <v>3431</v>
      </c>
      <c r="E771" s="59" t="s">
        <v>2216</v>
      </c>
      <c r="F771" s="59" t="s">
        <v>3432</v>
      </c>
      <c r="G771" s="59" t="s">
        <v>2221</v>
      </c>
      <c r="I771" s="59" t="s">
        <v>786</v>
      </c>
    </row>
    <row r="772" spans="1:9" ht="11.25" customHeight="1">
      <c r="A772" s="59" t="s">
        <v>2162</v>
      </c>
      <c r="B772" s="59" t="s">
        <v>14</v>
      </c>
      <c r="C772" s="59" t="s">
        <v>3472</v>
      </c>
      <c r="D772" s="59" t="s">
        <v>3473</v>
      </c>
      <c r="E772" s="59" t="s">
        <v>3474</v>
      </c>
      <c r="F772" s="59" t="s">
        <v>2233</v>
      </c>
      <c r="I772" s="59" t="s">
        <v>786</v>
      </c>
    </row>
    <row r="773" spans="1:9" ht="11.25" customHeight="1">
      <c r="A773" s="59" t="s">
        <v>2162</v>
      </c>
      <c r="B773" s="59" t="s">
        <v>14</v>
      </c>
      <c r="C773" s="59" t="s">
        <v>3497</v>
      </c>
      <c r="D773" s="59" t="s">
        <v>3498</v>
      </c>
      <c r="E773" s="59" t="s">
        <v>3499</v>
      </c>
      <c r="F773" s="59" t="s">
        <v>2291</v>
      </c>
      <c r="I773" s="59" t="s">
        <v>786</v>
      </c>
    </row>
    <row r="774" spans="1:9" ht="11.25" customHeight="1">
      <c r="A774" s="59" t="s">
        <v>2162</v>
      </c>
      <c r="B774" s="59" t="s">
        <v>14</v>
      </c>
      <c r="C774" s="59" t="s">
        <v>3500</v>
      </c>
      <c r="D774" s="59" t="s">
        <v>3501</v>
      </c>
      <c r="E774" s="59" t="s">
        <v>3502</v>
      </c>
      <c r="F774" s="59" t="s">
        <v>2233</v>
      </c>
      <c r="I774" s="59" t="s">
        <v>786</v>
      </c>
    </row>
    <row r="775" spans="1:9" ht="11.25" customHeight="1">
      <c r="A775" s="59" t="s">
        <v>2162</v>
      </c>
      <c r="B775" s="59" t="s">
        <v>14</v>
      </c>
      <c r="C775" s="59" t="s">
        <v>3511</v>
      </c>
      <c r="D775" s="59" t="s">
        <v>3512</v>
      </c>
      <c r="E775" s="59" t="s">
        <v>3513</v>
      </c>
      <c r="F775" s="59" t="s">
        <v>3514</v>
      </c>
      <c r="I775" s="59" t="s">
        <v>786</v>
      </c>
    </row>
    <row r="776" spans="1:9" ht="11.25" customHeight="1">
      <c r="A776" s="59" t="s">
        <v>2162</v>
      </c>
      <c r="B776" s="59" t="s">
        <v>14</v>
      </c>
      <c r="C776" s="59" t="s">
        <v>3526</v>
      </c>
      <c r="D776" s="59" t="s">
        <v>3527</v>
      </c>
      <c r="E776" s="59" t="s">
        <v>3513</v>
      </c>
      <c r="F776" s="59" t="s">
        <v>3528</v>
      </c>
      <c r="I776" s="59" t="s">
        <v>786</v>
      </c>
    </row>
    <row r="777" spans="1:9" ht="11.25" customHeight="1">
      <c r="A777" s="59" t="s">
        <v>2162</v>
      </c>
      <c r="B777" s="59" t="s">
        <v>14</v>
      </c>
      <c r="C777" s="59" t="s">
        <v>3548</v>
      </c>
      <c r="D777" s="59" t="s">
        <v>3549</v>
      </c>
      <c r="E777" s="59" t="s">
        <v>3546</v>
      </c>
      <c r="F777" s="59" t="s">
        <v>3550</v>
      </c>
      <c r="G777" s="59" t="s">
        <v>3547</v>
      </c>
      <c r="I777" s="59" t="s">
        <v>786</v>
      </c>
    </row>
    <row r="778" spans="1:9" ht="11.25" customHeight="1">
      <c r="A778" s="59" t="s">
        <v>2162</v>
      </c>
      <c r="B778" s="59" t="s">
        <v>14</v>
      </c>
      <c r="C778" s="59" t="s">
        <v>3557</v>
      </c>
      <c r="D778" s="59" t="s">
        <v>3558</v>
      </c>
      <c r="E778" s="59" t="s">
        <v>3559</v>
      </c>
      <c r="F778" s="59" t="s">
        <v>2266</v>
      </c>
      <c r="G778" s="59" t="s">
        <v>3560</v>
      </c>
      <c r="I778" s="59" t="s">
        <v>786</v>
      </c>
    </row>
    <row r="779" spans="1:9" ht="11.25" customHeight="1">
      <c r="A779" s="59" t="s">
        <v>2162</v>
      </c>
      <c r="B779" s="59" t="s">
        <v>14</v>
      </c>
      <c r="C779" s="59" t="s">
        <v>3564</v>
      </c>
      <c r="D779" s="59" t="s">
        <v>3565</v>
      </c>
      <c r="E779" s="59" t="s">
        <v>3566</v>
      </c>
      <c r="F779" s="59" t="s">
        <v>3567</v>
      </c>
      <c r="I779" s="59" t="s">
        <v>786</v>
      </c>
    </row>
    <row r="780" spans="1:9" ht="11.25" customHeight="1">
      <c r="A780" s="59" t="s">
        <v>2162</v>
      </c>
      <c r="B780" s="59" t="s">
        <v>14</v>
      </c>
      <c r="C780" s="59" t="s">
        <v>3590</v>
      </c>
      <c r="D780" s="59" t="s">
        <v>3591</v>
      </c>
      <c r="E780" s="59" t="s">
        <v>3592</v>
      </c>
      <c r="F780" s="59" t="s">
        <v>2266</v>
      </c>
      <c r="I780" s="59" t="s">
        <v>786</v>
      </c>
    </row>
    <row r="781" spans="1:9" ht="11.25" customHeight="1">
      <c r="A781" s="59" t="s">
        <v>2162</v>
      </c>
      <c r="B781" s="59" t="s">
        <v>14</v>
      </c>
      <c r="C781" s="59" t="s">
        <v>3607</v>
      </c>
      <c r="D781" s="59" t="s">
        <v>3608</v>
      </c>
      <c r="E781" s="59" t="s">
        <v>3609</v>
      </c>
      <c r="F781" s="59" t="s">
        <v>2166</v>
      </c>
      <c r="I781" s="59" t="s">
        <v>786</v>
      </c>
    </row>
    <row r="782" spans="1:9" ht="11.25" customHeight="1">
      <c r="A782" s="59" t="s">
        <v>2162</v>
      </c>
      <c r="B782" s="59" t="s">
        <v>14</v>
      </c>
      <c r="C782" s="59" t="s">
        <v>3610</v>
      </c>
      <c r="D782" s="59" t="s">
        <v>3611</v>
      </c>
      <c r="E782" s="59" t="s">
        <v>3612</v>
      </c>
      <c r="F782" s="59" t="s">
        <v>2299</v>
      </c>
      <c r="G782" s="59" t="s">
        <v>3613</v>
      </c>
      <c r="I782" s="59" t="s">
        <v>786</v>
      </c>
    </row>
    <row r="783" spans="1:9" ht="11.25" customHeight="1">
      <c r="A783" s="59" t="s">
        <v>2162</v>
      </c>
      <c r="B783" s="59" t="s">
        <v>14</v>
      </c>
      <c r="C783" s="59" t="s">
        <v>3628</v>
      </c>
      <c r="D783" s="59" t="s">
        <v>3629</v>
      </c>
      <c r="E783" s="59" t="s">
        <v>3630</v>
      </c>
      <c r="F783" s="59" t="s">
        <v>2233</v>
      </c>
      <c r="I783" s="59" t="s">
        <v>786</v>
      </c>
    </row>
    <row r="784" spans="1:9" ht="11.25" customHeight="1">
      <c r="A784" s="59" t="s">
        <v>2162</v>
      </c>
      <c r="B784" s="59" t="s">
        <v>14</v>
      </c>
      <c r="C784" s="59" t="s">
        <v>3653</v>
      </c>
      <c r="D784" s="59" t="s">
        <v>3654</v>
      </c>
      <c r="E784" s="59" t="s">
        <v>3655</v>
      </c>
      <c r="F784" s="59" t="s">
        <v>2291</v>
      </c>
      <c r="G784" s="59" t="s">
        <v>3656</v>
      </c>
      <c r="I784" s="59" t="s">
        <v>786</v>
      </c>
    </row>
    <row r="785" spans="1:9" ht="11.25" customHeight="1">
      <c r="A785" s="59" t="s">
        <v>2162</v>
      </c>
      <c r="B785" s="59" t="s">
        <v>14</v>
      </c>
      <c r="C785" s="59" t="s">
        <v>3665</v>
      </c>
      <c r="D785" s="59" t="s">
        <v>3666</v>
      </c>
      <c r="E785" s="59" t="s">
        <v>3667</v>
      </c>
      <c r="F785" s="59" t="s">
        <v>2248</v>
      </c>
      <c r="I785" s="59" t="s">
        <v>786</v>
      </c>
    </row>
    <row r="786" spans="1:9" ht="11.25" customHeight="1">
      <c r="A786" s="59" t="s">
        <v>2162</v>
      </c>
      <c r="B786" s="59" t="s">
        <v>14</v>
      </c>
      <c r="C786" s="59" t="s">
        <v>3698</v>
      </c>
      <c r="D786" s="59" t="s">
        <v>3699</v>
      </c>
      <c r="E786" s="59" t="s">
        <v>3700</v>
      </c>
      <c r="F786" s="59" t="s">
        <v>2299</v>
      </c>
      <c r="I786" s="59" t="s">
        <v>786</v>
      </c>
    </row>
    <row r="787" spans="1:9" ht="11.25" customHeight="1">
      <c r="A787" s="59" t="s">
        <v>2162</v>
      </c>
      <c r="B787" s="59" t="s">
        <v>14</v>
      </c>
      <c r="C787" s="59" t="s">
        <v>3701</v>
      </c>
      <c r="D787" s="59" t="s">
        <v>3702</v>
      </c>
      <c r="E787" s="59" t="s">
        <v>3703</v>
      </c>
      <c r="F787" s="59" t="s">
        <v>2202</v>
      </c>
      <c r="I787" s="59" t="s">
        <v>786</v>
      </c>
    </row>
    <row r="788" spans="1:9" ht="11.25" customHeight="1">
      <c r="A788" s="59" t="s">
        <v>2162</v>
      </c>
      <c r="B788" s="59" t="s">
        <v>14</v>
      </c>
      <c r="C788" s="59" t="s">
        <v>3704</v>
      </c>
      <c r="D788" s="59" t="s">
        <v>3705</v>
      </c>
      <c r="E788" s="59" t="s">
        <v>3706</v>
      </c>
      <c r="F788" s="59" t="s">
        <v>3582</v>
      </c>
      <c r="G788" s="59" t="s">
        <v>3707</v>
      </c>
      <c r="H788" s="59" t="s">
        <v>3708</v>
      </c>
      <c r="I788" s="59" t="s">
        <v>786</v>
      </c>
    </row>
    <row r="789" spans="1:9" ht="11.25" customHeight="1">
      <c r="A789" s="59" t="s">
        <v>2162</v>
      </c>
      <c r="B789" s="59" t="s">
        <v>14</v>
      </c>
      <c r="C789" s="59" t="s">
        <v>3709</v>
      </c>
      <c r="D789" s="59" t="s">
        <v>3710</v>
      </c>
      <c r="E789" s="59" t="s">
        <v>3711</v>
      </c>
      <c r="F789" s="59" t="s">
        <v>2202</v>
      </c>
      <c r="G789" s="59" t="s">
        <v>3712</v>
      </c>
      <c r="I789" s="59" t="s">
        <v>786</v>
      </c>
    </row>
    <row r="790" spans="1:9" ht="11.25" customHeight="1">
      <c r="A790" s="59" t="s">
        <v>2162</v>
      </c>
      <c r="B790" s="59" t="s">
        <v>14</v>
      </c>
      <c r="C790" s="59" t="s">
        <v>3736</v>
      </c>
      <c r="D790" s="59" t="s">
        <v>3737</v>
      </c>
      <c r="E790" s="59" t="s">
        <v>3738</v>
      </c>
      <c r="F790" s="59" t="s">
        <v>2291</v>
      </c>
      <c r="I790" s="59" t="s">
        <v>786</v>
      </c>
    </row>
    <row r="791" spans="1:9" ht="11.25" customHeight="1">
      <c r="A791" s="59" t="s">
        <v>2162</v>
      </c>
      <c r="B791" s="59" t="s">
        <v>14</v>
      </c>
      <c r="C791" s="59" t="s">
        <v>3739</v>
      </c>
      <c r="D791" s="59" t="s">
        <v>3740</v>
      </c>
      <c r="E791" s="59" t="s">
        <v>3741</v>
      </c>
      <c r="F791" s="59" t="s">
        <v>2261</v>
      </c>
      <c r="G791" s="59" t="s">
        <v>2862</v>
      </c>
      <c r="I791" s="59" t="s">
        <v>786</v>
      </c>
    </row>
    <row r="792" spans="1:9" ht="11.25" customHeight="1">
      <c r="A792" s="59" t="s">
        <v>2162</v>
      </c>
      <c r="B792" s="59" t="s">
        <v>14</v>
      </c>
      <c r="C792" s="59" t="s">
        <v>3742</v>
      </c>
      <c r="D792" s="59" t="s">
        <v>3743</v>
      </c>
      <c r="E792" s="59" t="s">
        <v>3744</v>
      </c>
      <c r="F792" s="59" t="s">
        <v>3154</v>
      </c>
      <c r="G792" s="59" t="s">
        <v>3745</v>
      </c>
      <c r="I792" s="59" t="s">
        <v>786</v>
      </c>
    </row>
    <row r="793" spans="1:9" ht="11.25" customHeight="1">
      <c r="A793" s="59" t="s">
        <v>2162</v>
      </c>
      <c r="B793" s="59" t="s">
        <v>14</v>
      </c>
      <c r="C793" s="59" t="s">
        <v>3761</v>
      </c>
      <c r="D793" s="59" t="s">
        <v>3762</v>
      </c>
      <c r="E793" s="59" t="s">
        <v>3763</v>
      </c>
      <c r="F793" s="59" t="s">
        <v>2233</v>
      </c>
      <c r="G793" s="59" t="s">
        <v>3764</v>
      </c>
      <c r="I793" s="59" t="s">
        <v>786</v>
      </c>
    </row>
    <row r="794" spans="1:9" ht="11.25" customHeight="1">
      <c r="A794" s="59" t="s">
        <v>2162</v>
      </c>
      <c r="B794" s="59" t="s">
        <v>14</v>
      </c>
      <c r="C794" s="59" t="s">
        <v>3765</v>
      </c>
      <c r="D794" s="59" t="s">
        <v>3766</v>
      </c>
      <c r="E794" s="59" t="s">
        <v>3767</v>
      </c>
      <c r="F794" s="59" t="s">
        <v>2632</v>
      </c>
      <c r="I794" s="59" t="s">
        <v>786</v>
      </c>
    </row>
    <row r="795" spans="1:9" ht="11.25" customHeight="1">
      <c r="A795" s="59" t="s">
        <v>2162</v>
      </c>
      <c r="B795" s="59" t="s">
        <v>14</v>
      </c>
      <c r="C795" s="59" t="s">
        <v>3780</v>
      </c>
      <c r="D795" s="59" t="s">
        <v>3781</v>
      </c>
      <c r="E795" s="59" t="s">
        <v>3782</v>
      </c>
      <c r="F795" s="59" t="s">
        <v>2202</v>
      </c>
      <c r="G795" s="59" t="s">
        <v>3783</v>
      </c>
      <c r="I795" s="59" t="s">
        <v>786</v>
      </c>
    </row>
    <row r="796" spans="1:9" ht="11.25" customHeight="1">
      <c r="A796" s="59" t="s">
        <v>2162</v>
      </c>
      <c r="B796" s="59" t="s">
        <v>14</v>
      </c>
      <c r="C796" s="59" t="s">
        <v>3784</v>
      </c>
      <c r="D796" s="59" t="s">
        <v>3785</v>
      </c>
      <c r="E796" s="59" t="s">
        <v>3786</v>
      </c>
      <c r="F796" s="59" t="s">
        <v>2486</v>
      </c>
      <c r="G796" s="59" t="s">
        <v>3787</v>
      </c>
      <c r="I796" s="59" t="s">
        <v>786</v>
      </c>
    </row>
    <row r="797" spans="1:9" ht="11.25" customHeight="1">
      <c r="A797" s="59" t="s">
        <v>2162</v>
      </c>
      <c r="B797" s="59" t="s">
        <v>14</v>
      </c>
      <c r="C797" s="59" t="s">
        <v>3788</v>
      </c>
      <c r="D797" s="59" t="s">
        <v>3789</v>
      </c>
      <c r="E797" s="59" t="s">
        <v>3790</v>
      </c>
      <c r="F797" s="59" t="s">
        <v>2210</v>
      </c>
      <c r="H797" s="59" t="s">
        <v>3791</v>
      </c>
      <c r="I797" s="59" t="s">
        <v>786</v>
      </c>
    </row>
    <row r="798" spans="1:9" ht="11.25" customHeight="1">
      <c r="A798" s="59" t="s">
        <v>2162</v>
      </c>
      <c r="B798" s="59" t="s">
        <v>14</v>
      </c>
      <c r="C798" s="59" t="s">
        <v>3792</v>
      </c>
      <c r="D798" s="59" t="s">
        <v>3793</v>
      </c>
      <c r="E798" s="59" t="s">
        <v>3794</v>
      </c>
      <c r="F798" s="59" t="s">
        <v>2478</v>
      </c>
      <c r="I798" s="59" t="s">
        <v>786</v>
      </c>
    </row>
    <row r="799" spans="1:9" ht="11.25" customHeight="1">
      <c r="A799" s="59" t="s">
        <v>2162</v>
      </c>
      <c r="B799" s="59" t="s">
        <v>14</v>
      </c>
      <c r="C799" s="59" t="s">
        <v>3799</v>
      </c>
      <c r="D799" s="59" t="s">
        <v>3800</v>
      </c>
      <c r="E799" s="59" t="s">
        <v>3801</v>
      </c>
      <c r="F799" s="59" t="s">
        <v>2233</v>
      </c>
      <c r="G799" s="59" t="s">
        <v>3802</v>
      </c>
      <c r="I799" s="59" t="s">
        <v>786</v>
      </c>
    </row>
    <row r="800" spans="1:9" ht="11.25" customHeight="1">
      <c r="A800" s="59" t="s">
        <v>2162</v>
      </c>
      <c r="B800" s="59" t="s">
        <v>14</v>
      </c>
      <c r="C800" s="59" t="s">
        <v>3813</v>
      </c>
      <c r="D800" s="59" t="s">
        <v>3814</v>
      </c>
      <c r="E800" s="59" t="s">
        <v>3815</v>
      </c>
      <c r="F800" s="59" t="s">
        <v>2592</v>
      </c>
      <c r="I800" s="59" t="s">
        <v>786</v>
      </c>
    </row>
    <row r="801" spans="1:9" ht="11.25" customHeight="1">
      <c r="A801" s="59" t="s">
        <v>2162</v>
      </c>
      <c r="B801" s="59" t="s">
        <v>14</v>
      </c>
      <c r="C801" s="59" t="s">
        <v>3822</v>
      </c>
      <c r="D801" s="59" t="s">
        <v>3823</v>
      </c>
      <c r="E801" s="59" t="s">
        <v>3824</v>
      </c>
      <c r="F801" s="59" t="s">
        <v>2233</v>
      </c>
      <c r="G801" s="59" t="s">
        <v>2558</v>
      </c>
      <c r="I801" s="59" t="s">
        <v>786</v>
      </c>
    </row>
    <row r="802" spans="1:9" ht="11.25" customHeight="1">
      <c r="A802" s="59" t="s">
        <v>2162</v>
      </c>
      <c r="B802" s="59" t="s">
        <v>14</v>
      </c>
      <c r="C802" s="59" t="s">
        <v>3832</v>
      </c>
      <c r="D802" s="59" t="s">
        <v>3833</v>
      </c>
      <c r="E802" s="59" t="s">
        <v>3834</v>
      </c>
      <c r="F802" s="59" t="s">
        <v>2299</v>
      </c>
      <c r="I802" s="59" t="s">
        <v>786</v>
      </c>
    </row>
    <row r="803" spans="1:9" ht="11.25" customHeight="1">
      <c r="A803" s="59" t="s">
        <v>2162</v>
      </c>
      <c r="B803" s="59" t="s">
        <v>14</v>
      </c>
      <c r="C803" s="59" t="s">
        <v>3861</v>
      </c>
      <c r="D803" s="59" t="s">
        <v>3862</v>
      </c>
      <c r="E803" s="59" t="s">
        <v>3863</v>
      </c>
      <c r="F803" s="59" t="s">
        <v>2478</v>
      </c>
      <c r="G803" s="59" t="s">
        <v>3864</v>
      </c>
      <c r="I803" s="59" t="s">
        <v>786</v>
      </c>
    </row>
    <row r="804" spans="1:9" ht="11.25" customHeight="1">
      <c r="A804" s="59" t="s">
        <v>2162</v>
      </c>
      <c r="B804" s="59" t="s">
        <v>14</v>
      </c>
      <c r="C804" s="59" t="s">
        <v>3868</v>
      </c>
      <c r="D804" s="59" t="s">
        <v>3869</v>
      </c>
      <c r="E804" s="59" t="s">
        <v>3870</v>
      </c>
      <c r="F804" s="59" t="s">
        <v>2166</v>
      </c>
      <c r="I804" s="59" t="s">
        <v>786</v>
      </c>
    </row>
    <row r="805" spans="1:9" ht="11.25" customHeight="1">
      <c r="A805" s="59" t="s">
        <v>2162</v>
      </c>
      <c r="B805" s="59" t="s">
        <v>14</v>
      </c>
      <c r="C805" s="59" t="s">
        <v>3888</v>
      </c>
      <c r="D805" s="59" t="s">
        <v>3889</v>
      </c>
      <c r="E805" s="59" t="s">
        <v>3890</v>
      </c>
      <c r="F805" s="59" t="s">
        <v>3154</v>
      </c>
      <c r="I805" s="59" t="s">
        <v>786</v>
      </c>
    </row>
    <row r="806" spans="1:9" ht="11.25" customHeight="1">
      <c r="A806" s="59" t="s">
        <v>2162</v>
      </c>
      <c r="B806" s="59" t="s">
        <v>14</v>
      </c>
      <c r="C806" s="59" t="s">
        <v>3894</v>
      </c>
      <c r="D806" s="59" t="s">
        <v>3895</v>
      </c>
      <c r="E806" s="59" t="s">
        <v>3896</v>
      </c>
      <c r="F806" s="59" t="s">
        <v>2166</v>
      </c>
      <c r="G806" s="59" t="s">
        <v>3897</v>
      </c>
      <c r="I806" s="59" t="s">
        <v>786</v>
      </c>
    </row>
    <row r="807" spans="1:9" ht="11.25" customHeight="1">
      <c r="A807" s="59" t="s">
        <v>2162</v>
      </c>
      <c r="B807" s="59" t="s">
        <v>14</v>
      </c>
      <c r="C807" s="59" t="s">
        <v>3902</v>
      </c>
      <c r="D807" s="59" t="s">
        <v>3903</v>
      </c>
      <c r="E807" s="59" t="s">
        <v>3904</v>
      </c>
      <c r="F807" s="59" t="s">
        <v>2299</v>
      </c>
      <c r="G807" s="59" t="s">
        <v>3905</v>
      </c>
      <c r="I807" s="59" t="s">
        <v>786</v>
      </c>
    </row>
    <row r="808" spans="1:9" ht="11.25" customHeight="1">
      <c r="A808" s="59" t="s">
        <v>2162</v>
      </c>
      <c r="B808" s="59" t="s">
        <v>14</v>
      </c>
      <c r="C808" s="59" t="s">
        <v>3906</v>
      </c>
      <c r="D808" s="59" t="s">
        <v>3907</v>
      </c>
      <c r="E808" s="59" t="s">
        <v>3908</v>
      </c>
      <c r="F808" s="59" t="s">
        <v>2391</v>
      </c>
      <c r="I808" s="59" t="s">
        <v>786</v>
      </c>
    </row>
    <row r="809" spans="1:9" ht="11.25" customHeight="1">
      <c r="A809" s="59" t="s">
        <v>2162</v>
      </c>
      <c r="B809" s="59" t="s">
        <v>14</v>
      </c>
      <c r="C809" s="59" t="s">
        <v>3909</v>
      </c>
      <c r="D809" s="59" t="s">
        <v>3910</v>
      </c>
      <c r="E809" s="59" t="s">
        <v>3911</v>
      </c>
      <c r="F809" s="59" t="s">
        <v>2233</v>
      </c>
      <c r="I809" s="59" t="s">
        <v>786</v>
      </c>
    </row>
    <row r="810" spans="1:9" ht="11.25" customHeight="1">
      <c r="A810" s="59" t="s">
        <v>2162</v>
      </c>
      <c r="B810" s="59" t="s">
        <v>14</v>
      </c>
      <c r="C810" s="59" t="s">
        <v>3930</v>
      </c>
      <c r="D810" s="59" t="s">
        <v>3931</v>
      </c>
      <c r="E810" s="59" t="s">
        <v>3932</v>
      </c>
      <c r="F810" s="59" t="s">
        <v>2391</v>
      </c>
      <c r="I810" s="59" t="s">
        <v>786</v>
      </c>
    </row>
    <row r="811" spans="1:9" ht="11.25" customHeight="1">
      <c r="A811" s="59" t="s">
        <v>2162</v>
      </c>
      <c r="B811" s="59" t="s">
        <v>14</v>
      </c>
      <c r="C811" s="59" t="s">
        <v>3947</v>
      </c>
      <c r="D811" s="59" t="s">
        <v>3948</v>
      </c>
      <c r="E811" s="59" t="s">
        <v>3949</v>
      </c>
      <c r="F811" s="59" t="s">
        <v>2775</v>
      </c>
      <c r="G811" s="59" t="s">
        <v>3950</v>
      </c>
      <c r="I811" s="59" t="s">
        <v>786</v>
      </c>
    </row>
    <row r="812" spans="1:9" ht="11.25" customHeight="1">
      <c r="A812" s="59" t="s">
        <v>2162</v>
      </c>
      <c r="B812" s="59" t="s">
        <v>14</v>
      </c>
      <c r="C812" s="59" t="s">
        <v>3954</v>
      </c>
      <c r="D812" s="59" t="s">
        <v>3955</v>
      </c>
      <c r="E812" s="59" t="s">
        <v>3956</v>
      </c>
      <c r="F812" s="59" t="s">
        <v>3957</v>
      </c>
      <c r="G812" s="59" t="s">
        <v>3958</v>
      </c>
      <c r="I812" s="59" t="s">
        <v>786</v>
      </c>
    </row>
    <row r="813" spans="1:9" ht="11.25" customHeight="1">
      <c r="A813" s="59" t="s">
        <v>2162</v>
      </c>
      <c r="B813" s="59" t="s">
        <v>14</v>
      </c>
      <c r="C813" s="59" t="s">
        <v>3959</v>
      </c>
      <c r="D813" s="59" t="s">
        <v>3960</v>
      </c>
      <c r="E813" s="59" t="s">
        <v>3961</v>
      </c>
      <c r="F813" s="59" t="s">
        <v>3962</v>
      </c>
      <c r="I813" s="59" t="s">
        <v>786</v>
      </c>
    </row>
    <row r="814" spans="1:9" ht="11.25" customHeight="1">
      <c r="A814" s="59" t="s">
        <v>2162</v>
      </c>
      <c r="B814" s="59" t="s">
        <v>14</v>
      </c>
      <c r="C814" s="59" t="s">
        <v>3983</v>
      </c>
      <c r="D814" s="59" t="s">
        <v>3984</v>
      </c>
      <c r="E814" s="59" t="s">
        <v>3985</v>
      </c>
      <c r="F814" s="59" t="s">
        <v>2308</v>
      </c>
      <c r="G814" s="59" t="s">
        <v>3986</v>
      </c>
      <c r="I814" s="59" t="s">
        <v>786</v>
      </c>
    </row>
    <row r="815" spans="1:9" ht="11.25" customHeight="1">
      <c r="A815" s="59" t="s">
        <v>2162</v>
      </c>
      <c r="B815" s="59" t="s">
        <v>14</v>
      </c>
      <c r="C815" s="59" t="s">
        <v>3990</v>
      </c>
      <c r="D815" s="59" t="s">
        <v>3991</v>
      </c>
      <c r="E815" s="59" t="s">
        <v>3992</v>
      </c>
      <c r="F815" s="59" t="s">
        <v>2248</v>
      </c>
      <c r="G815" s="59" t="s">
        <v>3993</v>
      </c>
      <c r="I815" s="59" t="s">
        <v>786</v>
      </c>
    </row>
    <row r="816" spans="1:9" ht="11.25" customHeight="1">
      <c r="A816" s="59" t="s">
        <v>2162</v>
      </c>
      <c r="B816" s="59" t="s">
        <v>14</v>
      </c>
      <c r="C816" s="59" t="s">
        <v>4000</v>
      </c>
      <c r="D816" s="59" t="s">
        <v>4001</v>
      </c>
      <c r="E816" s="59" t="s">
        <v>4002</v>
      </c>
      <c r="F816" s="59" t="s">
        <v>2677</v>
      </c>
      <c r="I816" s="59" t="s">
        <v>786</v>
      </c>
    </row>
    <row r="817" spans="1:9" ht="11.25" customHeight="1">
      <c r="A817" s="59" t="s">
        <v>2162</v>
      </c>
      <c r="B817" s="59" t="s">
        <v>14</v>
      </c>
      <c r="C817" s="59" t="s">
        <v>4007</v>
      </c>
      <c r="D817" s="59" t="s">
        <v>4008</v>
      </c>
      <c r="E817" s="59" t="s">
        <v>4009</v>
      </c>
      <c r="F817" s="59" t="s">
        <v>2486</v>
      </c>
      <c r="G817" s="59" t="s">
        <v>4010</v>
      </c>
      <c r="I817" s="59" t="s">
        <v>786</v>
      </c>
    </row>
    <row r="818" spans="1:9" ht="11.25" customHeight="1">
      <c r="A818" s="59" t="s">
        <v>2162</v>
      </c>
      <c r="B818" s="59" t="s">
        <v>14</v>
      </c>
      <c r="C818" s="59" t="s">
        <v>4011</v>
      </c>
      <c r="D818" s="59" t="s">
        <v>4012</v>
      </c>
      <c r="E818" s="59" t="s">
        <v>4013</v>
      </c>
      <c r="F818" s="59" t="s">
        <v>2220</v>
      </c>
      <c r="I818" s="59" t="s">
        <v>786</v>
      </c>
    </row>
    <row r="819" spans="1:9" ht="11.25" customHeight="1">
      <c r="A819" s="59" t="s">
        <v>2162</v>
      </c>
      <c r="B819" s="59" t="s">
        <v>14</v>
      </c>
      <c r="C819" s="59" t="s">
        <v>4027</v>
      </c>
      <c r="D819" s="59" t="s">
        <v>4028</v>
      </c>
      <c r="E819" s="59" t="s">
        <v>4029</v>
      </c>
      <c r="F819" s="59" t="s">
        <v>2277</v>
      </c>
      <c r="I819" s="59" t="s">
        <v>786</v>
      </c>
    </row>
    <row r="820" spans="1:9" ht="11.25" customHeight="1">
      <c r="A820" s="59" t="s">
        <v>2162</v>
      </c>
      <c r="B820" s="59" t="s">
        <v>14</v>
      </c>
      <c r="C820" s="59" t="s">
        <v>4046</v>
      </c>
      <c r="D820" s="59" t="s">
        <v>4047</v>
      </c>
      <c r="E820" s="59" t="s">
        <v>4048</v>
      </c>
      <c r="F820" s="59" t="s">
        <v>2299</v>
      </c>
      <c r="G820" s="59" t="s">
        <v>4049</v>
      </c>
      <c r="I820" s="59" t="s">
        <v>786</v>
      </c>
    </row>
    <row r="821" spans="1:9" ht="11.25" customHeight="1">
      <c r="A821" s="59" t="s">
        <v>2162</v>
      </c>
      <c r="B821" s="59" t="s">
        <v>14</v>
      </c>
      <c r="C821" s="59" t="s">
        <v>4056</v>
      </c>
      <c r="D821" s="59" t="s">
        <v>4057</v>
      </c>
      <c r="E821" s="59" t="s">
        <v>4058</v>
      </c>
      <c r="F821" s="59" t="s">
        <v>2486</v>
      </c>
      <c r="G821" s="59" t="s">
        <v>4059</v>
      </c>
      <c r="I821" s="59" t="s">
        <v>786</v>
      </c>
    </row>
    <row r="822" spans="1:9" ht="11.25" customHeight="1">
      <c r="A822" s="59" t="s">
        <v>2162</v>
      </c>
      <c r="B822" s="59" t="s">
        <v>14</v>
      </c>
      <c r="C822" s="59" t="s">
        <v>4112</v>
      </c>
      <c r="D822" s="59" t="s">
        <v>4113</v>
      </c>
      <c r="E822" s="59" t="s">
        <v>4114</v>
      </c>
      <c r="F822" s="59" t="s">
        <v>2228</v>
      </c>
      <c r="G822" s="59" t="s">
        <v>4115</v>
      </c>
      <c r="I822" s="59" t="s">
        <v>786</v>
      </c>
    </row>
    <row r="823" spans="1:9" ht="11.25" customHeight="1">
      <c r="A823" s="59" t="s">
        <v>2162</v>
      </c>
      <c r="B823" s="59" t="s">
        <v>14</v>
      </c>
      <c r="C823" s="59" t="s">
        <v>4116</v>
      </c>
      <c r="D823" s="59" t="s">
        <v>4117</v>
      </c>
      <c r="E823" s="59" t="s">
        <v>4118</v>
      </c>
      <c r="F823" s="59" t="s">
        <v>2228</v>
      </c>
      <c r="I823" s="59" t="s">
        <v>786</v>
      </c>
    </row>
    <row r="824" spans="1:9" ht="11.25" customHeight="1">
      <c r="A824" s="59" t="s">
        <v>2162</v>
      </c>
      <c r="B824" s="59" t="s">
        <v>14</v>
      </c>
      <c r="C824" s="59" t="s">
        <v>4126</v>
      </c>
      <c r="D824" s="59" t="s">
        <v>4127</v>
      </c>
      <c r="E824" s="59" t="s">
        <v>4128</v>
      </c>
      <c r="F824" s="59" t="s">
        <v>2277</v>
      </c>
      <c r="I824" s="59" t="s">
        <v>786</v>
      </c>
    </row>
    <row r="825" spans="1:9" ht="11.25" customHeight="1">
      <c r="A825" s="59" t="s">
        <v>2162</v>
      </c>
      <c r="B825" s="59" t="s">
        <v>14</v>
      </c>
      <c r="C825" s="59" t="s">
        <v>4133</v>
      </c>
      <c r="D825" s="59" t="s">
        <v>4134</v>
      </c>
      <c r="E825" s="59" t="s">
        <v>4135</v>
      </c>
      <c r="F825" s="59" t="s">
        <v>2248</v>
      </c>
      <c r="G825" s="59" t="s">
        <v>4136</v>
      </c>
      <c r="I825" s="59" t="s">
        <v>786</v>
      </c>
    </row>
    <row r="826" spans="1:9" ht="11.25" customHeight="1">
      <c r="A826" s="59" t="s">
        <v>2162</v>
      </c>
      <c r="B826" s="59" t="s">
        <v>14</v>
      </c>
      <c r="C826" s="59" t="s">
        <v>4141</v>
      </c>
      <c r="D826" s="59" t="s">
        <v>4142</v>
      </c>
      <c r="E826" s="59" t="s">
        <v>4143</v>
      </c>
      <c r="F826" s="59" t="s">
        <v>4144</v>
      </c>
      <c r="G826" s="59" t="s">
        <v>4145</v>
      </c>
      <c r="I826" s="59" t="s">
        <v>786</v>
      </c>
    </row>
    <row r="827" spans="1:9" ht="11.25" customHeight="1">
      <c r="A827" s="59" t="s">
        <v>2162</v>
      </c>
      <c r="B827" s="59" t="s">
        <v>14</v>
      </c>
      <c r="C827" s="59" t="s">
        <v>4150</v>
      </c>
      <c r="D827" s="59" t="s">
        <v>4151</v>
      </c>
      <c r="E827" s="59" t="s">
        <v>4152</v>
      </c>
      <c r="F827" s="59" t="s">
        <v>2299</v>
      </c>
      <c r="I827" s="59" t="s">
        <v>786</v>
      </c>
    </row>
    <row r="828" spans="1:9" ht="11.25" customHeight="1">
      <c r="A828" s="59" t="s">
        <v>2162</v>
      </c>
      <c r="B828" s="59" t="s">
        <v>14</v>
      </c>
      <c r="C828" s="59" t="s">
        <v>4159</v>
      </c>
      <c r="D828" s="59" t="s">
        <v>4160</v>
      </c>
      <c r="E828" s="59" t="s">
        <v>4161</v>
      </c>
      <c r="F828" s="59" t="s">
        <v>2441</v>
      </c>
      <c r="I828" s="59" t="s">
        <v>786</v>
      </c>
    </row>
    <row r="829" spans="1:9" ht="11.25" customHeight="1">
      <c r="A829" s="59" t="s">
        <v>2162</v>
      </c>
      <c r="B829" s="59" t="s">
        <v>14</v>
      </c>
      <c r="D829" s="59" t="s">
        <v>4162</v>
      </c>
      <c r="E829" s="59" t="s">
        <v>4163</v>
      </c>
      <c r="F829" s="59" t="s">
        <v>2291</v>
      </c>
      <c r="I829" s="59" t="s">
        <v>786</v>
      </c>
    </row>
    <row r="830" spans="1:9" ht="11.25" customHeight="1">
      <c r="A830" s="59" t="s">
        <v>2162</v>
      </c>
      <c r="B830" s="59" t="s">
        <v>14</v>
      </c>
      <c r="C830" s="59" t="s">
        <v>4171</v>
      </c>
      <c r="D830" s="59" t="s">
        <v>4172</v>
      </c>
      <c r="E830" s="59" t="s">
        <v>4173</v>
      </c>
      <c r="F830" s="59" t="s">
        <v>2632</v>
      </c>
      <c r="I830" s="59" t="s">
        <v>786</v>
      </c>
    </row>
    <row r="831" spans="1:9" ht="11.25" customHeight="1">
      <c r="A831" s="59" t="s">
        <v>2162</v>
      </c>
      <c r="B831" s="59" t="s">
        <v>14</v>
      </c>
      <c r="C831" s="59" t="s">
        <v>4177</v>
      </c>
      <c r="D831" s="59" t="s">
        <v>4178</v>
      </c>
      <c r="E831" s="59" t="s">
        <v>4179</v>
      </c>
      <c r="F831" s="59" t="s">
        <v>3506</v>
      </c>
      <c r="I831" s="59" t="s">
        <v>786</v>
      </c>
    </row>
    <row r="832" spans="1:9" ht="11.25" customHeight="1">
      <c r="A832" s="59" t="s">
        <v>2162</v>
      </c>
      <c r="B832" s="59" t="s">
        <v>14</v>
      </c>
      <c r="C832" s="59" t="s">
        <v>4183</v>
      </c>
      <c r="D832" s="59" t="s">
        <v>4184</v>
      </c>
      <c r="E832" s="59" t="s">
        <v>4185</v>
      </c>
      <c r="F832" s="59" t="s">
        <v>2166</v>
      </c>
      <c r="G832" s="59" t="s">
        <v>4186</v>
      </c>
      <c r="I832" s="59" t="s">
        <v>786</v>
      </c>
    </row>
    <row r="833" spans="1:9" ht="11.25" customHeight="1">
      <c r="A833" s="59" t="s">
        <v>2162</v>
      </c>
      <c r="B833" s="59" t="s">
        <v>14</v>
      </c>
      <c r="C833" s="59" t="s">
        <v>4191</v>
      </c>
      <c r="D833" s="59" t="s">
        <v>4192</v>
      </c>
      <c r="E833" s="59" t="s">
        <v>4193</v>
      </c>
      <c r="F833" s="59" t="s">
        <v>4194</v>
      </c>
      <c r="G833" s="59" t="s">
        <v>4195</v>
      </c>
      <c r="I833" s="59" t="s">
        <v>786</v>
      </c>
    </row>
    <row r="834" spans="1:9" ht="11.25" customHeight="1">
      <c r="A834" s="59" t="s">
        <v>2162</v>
      </c>
      <c r="B834" s="59" t="s">
        <v>14</v>
      </c>
      <c r="C834" s="59" t="s">
        <v>4196</v>
      </c>
      <c r="D834" s="59" t="s">
        <v>4197</v>
      </c>
      <c r="E834" s="59" t="s">
        <v>4198</v>
      </c>
      <c r="F834" s="59" t="s">
        <v>4199</v>
      </c>
      <c r="I834" s="59" t="s">
        <v>786</v>
      </c>
    </row>
    <row r="835" spans="1:9" ht="11.25" customHeight="1">
      <c r="A835" s="59" t="s">
        <v>2162</v>
      </c>
      <c r="B835" s="59" t="s">
        <v>14</v>
      </c>
      <c r="C835" s="59" t="s">
        <v>4203</v>
      </c>
      <c r="D835" s="59" t="s">
        <v>4204</v>
      </c>
      <c r="E835" s="59" t="s">
        <v>4205</v>
      </c>
      <c r="F835" s="59" t="s">
        <v>2166</v>
      </c>
      <c r="G835" s="59" t="s">
        <v>4206</v>
      </c>
      <c r="I835" s="59" t="s">
        <v>786</v>
      </c>
    </row>
    <row r="836" spans="1:9" ht="11.25" customHeight="1">
      <c r="A836" s="59" t="s">
        <v>2162</v>
      </c>
      <c r="B836" s="59" t="s">
        <v>14</v>
      </c>
      <c r="C836" s="59" t="s">
        <v>4207</v>
      </c>
      <c r="D836" s="59" t="s">
        <v>4208</v>
      </c>
      <c r="E836" s="59" t="s">
        <v>4209</v>
      </c>
      <c r="F836" s="59" t="s">
        <v>2291</v>
      </c>
      <c r="I836" s="59" t="s">
        <v>786</v>
      </c>
    </row>
    <row r="837" spans="1:9" ht="11.25" customHeight="1">
      <c r="A837" s="59" t="s">
        <v>2162</v>
      </c>
      <c r="B837" s="59" t="s">
        <v>14</v>
      </c>
      <c r="C837" s="59" t="s">
        <v>4220</v>
      </c>
      <c r="D837" s="59" t="s">
        <v>4221</v>
      </c>
      <c r="E837" s="59" t="s">
        <v>4222</v>
      </c>
      <c r="F837" s="59" t="s">
        <v>2248</v>
      </c>
      <c r="I837" s="59" t="s">
        <v>786</v>
      </c>
    </row>
    <row r="838" spans="1:9" ht="11.25" customHeight="1">
      <c r="A838" s="59" t="s">
        <v>2162</v>
      </c>
      <c r="B838" s="59" t="s">
        <v>14</v>
      </c>
      <c r="C838" s="59" t="s">
        <v>4223</v>
      </c>
      <c r="D838" s="59" t="s">
        <v>4224</v>
      </c>
      <c r="E838" s="59" t="s">
        <v>4225</v>
      </c>
      <c r="F838" s="59" t="s">
        <v>2266</v>
      </c>
      <c r="G838" s="59" t="s">
        <v>4226</v>
      </c>
      <c r="I838" s="59" t="s">
        <v>786</v>
      </c>
    </row>
    <row r="839" spans="1:9" ht="11.25" customHeight="1">
      <c r="A839" s="59" t="s">
        <v>2162</v>
      </c>
      <c r="B839" s="59" t="s">
        <v>14</v>
      </c>
      <c r="C839" s="59" t="s">
        <v>4227</v>
      </c>
      <c r="D839" s="59" t="s">
        <v>4228</v>
      </c>
      <c r="E839" s="59" t="s">
        <v>4229</v>
      </c>
      <c r="F839" s="59" t="s">
        <v>2478</v>
      </c>
      <c r="I839" s="59" t="s">
        <v>786</v>
      </c>
    </row>
    <row r="840" spans="1:9" ht="11.25" customHeight="1">
      <c r="A840" s="59" t="s">
        <v>2162</v>
      </c>
      <c r="B840" s="59" t="s">
        <v>14</v>
      </c>
      <c r="C840" s="59" t="s">
        <v>4233</v>
      </c>
      <c r="D840" s="59" t="s">
        <v>4234</v>
      </c>
      <c r="E840" s="59" t="s">
        <v>4209</v>
      </c>
      <c r="F840" s="59" t="s">
        <v>2669</v>
      </c>
      <c r="G840" s="59" t="s">
        <v>4235</v>
      </c>
      <c r="I840" s="59" t="s">
        <v>786</v>
      </c>
    </row>
    <row r="841" spans="1:9" ht="11.25" customHeight="1">
      <c r="A841" s="59" t="s">
        <v>2162</v>
      </c>
      <c r="B841" s="59" t="s">
        <v>14</v>
      </c>
      <c r="C841" s="59" t="s">
        <v>4239</v>
      </c>
      <c r="D841" s="59" t="s">
        <v>4240</v>
      </c>
      <c r="E841" s="59" t="s">
        <v>4143</v>
      </c>
      <c r="F841" s="59" t="s">
        <v>4241</v>
      </c>
      <c r="G841" s="59" t="s">
        <v>4242</v>
      </c>
      <c r="I841" s="59" t="s">
        <v>786</v>
      </c>
    </row>
    <row r="842" spans="1:9" ht="11.25" customHeight="1">
      <c r="A842" s="59" t="s">
        <v>2162</v>
      </c>
      <c r="B842" s="59" t="s">
        <v>14</v>
      </c>
      <c r="C842" s="59" t="s">
        <v>4243</v>
      </c>
      <c r="D842" s="59" t="s">
        <v>4244</v>
      </c>
      <c r="E842" s="59" t="s">
        <v>2477</v>
      </c>
      <c r="F842" s="59" t="s">
        <v>4245</v>
      </c>
      <c r="I842" s="59" t="s">
        <v>786</v>
      </c>
    </row>
    <row r="843" spans="1:9" ht="11.25" customHeight="1">
      <c r="A843" s="59" t="s">
        <v>2162</v>
      </c>
      <c r="B843" s="59" t="s">
        <v>14</v>
      </c>
      <c r="C843" s="59" t="s">
        <v>4254</v>
      </c>
      <c r="D843" s="59" t="s">
        <v>4255</v>
      </c>
      <c r="E843" s="59" t="s">
        <v>4256</v>
      </c>
      <c r="F843" s="59" t="s">
        <v>4257</v>
      </c>
      <c r="I843" s="59" t="s">
        <v>786</v>
      </c>
    </row>
    <row r="844" spans="1:9" ht="11.25" customHeight="1">
      <c r="A844" s="59" t="s">
        <v>2162</v>
      </c>
      <c r="B844" s="59" t="s">
        <v>14</v>
      </c>
      <c r="C844" s="59" t="s">
        <v>2163</v>
      </c>
      <c r="D844" s="59" t="s">
        <v>2164</v>
      </c>
      <c r="E844" s="59" t="s">
        <v>2165</v>
      </c>
      <c r="F844" s="59" t="s">
        <v>2166</v>
      </c>
      <c r="G844" s="59" t="s">
        <v>2167</v>
      </c>
      <c r="I844" s="59" t="s">
        <v>748</v>
      </c>
    </row>
    <row r="845" spans="1:9" ht="11.25" customHeight="1">
      <c r="A845" s="59" t="s">
        <v>2162</v>
      </c>
      <c r="B845" s="59" t="s">
        <v>14</v>
      </c>
      <c r="C845" s="59" t="s">
        <v>4268</v>
      </c>
      <c r="D845" s="59" t="s">
        <v>4269</v>
      </c>
      <c r="E845" s="59" t="s">
        <v>4270</v>
      </c>
      <c r="F845" s="59" t="s">
        <v>2210</v>
      </c>
      <c r="I845" s="59" t="s">
        <v>748</v>
      </c>
    </row>
    <row r="846" spans="1:9" ht="11.25" customHeight="1">
      <c r="A846" s="59" t="s">
        <v>2162</v>
      </c>
      <c r="B846" s="59" t="s">
        <v>14</v>
      </c>
      <c r="C846" s="59" t="s">
        <v>2172</v>
      </c>
      <c r="D846" s="59" t="s">
        <v>2173</v>
      </c>
      <c r="E846" s="59" t="s">
        <v>2174</v>
      </c>
      <c r="F846" s="59" t="s">
        <v>2175</v>
      </c>
      <c r="G846" s="59" t="s">
        <v>2176</v>
      </c>
      <c r="I846" s="59" t="s">
        <v>748</v>
      </c>
    </row>
    <row r="847" spans="1:9" ht="11.25" customHeight="1">
      <c r="A847" s="59" t="s">
        <v>2162</v>
      </c>
      <c r="B847" s="59" t="s">
        <v>14</v>
      </c>
      <c r="C847" s="59" t="s">
        <v>2181</v>
      </c>
      <c r="D847" s="59" t="s">
        <v>2182</v>
      </c>
      <c r="E847" s="59" t="s">
        <v>2183</v>
      </c>
      <c r="F847" s="59" t="s">
        <v>2184</v>
      </c>
      <c r="I847" s="59" t="s">
        <v>748</v>
      </c>
    </row>
    <row r="848" spans="1:9" ht="11.25" customHeight="1">
      <c r="A848" s="59" t="s">
        <v>2162</v>
      </c>
      <c r="B848" s="59" t="s">
        <v>14</v>
      </c>
      <c r="C848" s="59" t="s">
        <v>2185</v>
      </c>
      <c r="D848" s="59" t="s">
        <v>2186</v>
      </c>
      <c r="E848" s="59" t="s">
        <v>2187</v>
      </c>
      <c r="F848" s="59" t="s">
        <v>2188</v>
      </c>
      <c r="G848" s="59" t="s">
        <v>2189</v>
      </c>
      <c r="I848" s="59" t="s">
        <v>748</v>
      </c>
    </row>
    <row r="849" spans="1:9" ht="11.25" customHeight="1">
      <c r="A849" s="59" t="s">
        <v>2162</v>
      </c>
      <c r="B849" s="59" t="s">
        <v>14</v>
      </c>
      <c r="C849" s="59" t="s">
        <v>4271</v>
      </c>
      <c r="D849" s="59" t="s">
        <v>4272</v>
      </c>
      <c r="E849" s="59" t="s">
        <v>4273</v>
      </c>
      <c r="F849" s="59" t="s">
        <v>4274</v>
      </c>
      <c r="I849" s="59" t="s">
        <v>748</v>
      </c>
    </row>
    <row r="850" spans="1:9" ht="11.25" customHeight="1">
      <c r="A850" s="59" t="s">
        <v>2162</v>
      </c>
      <c r="B850" s="59" t="s">
        <v>14</v>
      </c>
      <c r="C850" s="59" t="s">
        <v>2194</v>
      </c>
      <c r="D850" s="59" t="s">
        <v>2195</v>
      </c>
      <c r="E850" s="59" t="s">
        <v>2196</v>
      </c>
      <c r="F850" s="59" t="s">
        <v>2197</v>
      </c>
      <c r="G850" s="59" t="s">
        <v>2198</v>
      </c>
      <c r="I850" s="59" t="s">
        <v>748</v>
      </c>
    </row>
    <row r="851" spans="1:9" ht="11.25" customHeight="1">
      <c r="A851" s="59" t="s">
        <v>2162</v>
      </c>
      <c r="B851" s="59" t="s">
        <v>14</v>
      </c>
      <c r="C851" s="59" t="s">
        <v>2199</v>
      </c>
      <c r="D851" s="59" t="s">
        <v>2200</v>
      </c>
      <c r="E851" s="59" t="s">
        <v>2201</v>
      </c>
      <c r="F851" s="59" t="s">
        <v>2202</v>
      </c>
      <c r="I851" s="59" t="s">
        <v>748</v>
      </c>
    </row>
    <row r="852" spans="1:9" ht="11.25" customHeight="1">
      <c r="A852" s="59" t="s">
        <v>2162</v>
      </c>
      <c r="B852" s="59" t="s">
        <v>14</v>
      </c>
      <c r="C852" s="59" t="s">
        <v>2207</v>
      </c>
      <c r="D852" s="59" t="s">
        <v>2208</v>
      </c>
      <c r="E852" s="59" t="s">
        <v>2209</v>
      </c>
      <c r="F852" s="59" t="s">
        <v>2210</v>
      </c>
      <c r="I852" s="59" t="s">
        <v>748</v>
      </c>
    </row>
    <row r="853" spans="1:9" ht="11.25" customHeight="1">
      <c r="A853" s="59" t="s">
        <v>2162</v>
      </c>
      <c r="B853" s="59" t="s">
        <v>14</v>
      </c>
      <c r="C853" s="59" t="s">
        <v>2214</v>
      </c>
      <c r="D853" s="59" t="s">
        <v>2215</v>
      </c>
      <c r="E853" s="59" t="s">
        <v>2216</v>
      </c>
      <c r="F853" s="59" t="s">
        <v>2217</v>
      </c>
      <c r="I853" s="59" t="s">
        <v>748</v>
      </c>
    </row>
    <row r="854" spans="1:9" ht="11.25" customHeight="1">
      <c r="A854" s="59" t="s">
        <v>2162</v>
      </c>
      <c r="B854" s="59" t="s">
        <v>14</v>
      </c>
      <c r="C854" s="59" t="s">
        <v>2218</v>
      </c>
      <c r="D854" s="59" t="s">
        <v>2219</v>
      </c>
      <c r="E854" s="59" t="s">
        <v>2216</v>
      </c>
      <c r="F854" s="59" t="s">
        <v>2220</v>
      </c>
      <c r="G854" s="59" t="s">
        <v>2221</v>
      </c>
      <c r="I854" s="59" t="s">
        <v>748</v>
      </c>
    </row>
    <row r="855" spans="1:9" ht="11.25" customHeight="1">
      <c r="A855" s="59" t="s">
        <v>2162</v>
      </c>
      <c r="B855" s="59" t="s">
        <v>14</v>
      </c>
      <c r="C855" s="59" t="s">
        <v>2225</v>
      </c>
      <c r="D855" s="59" t="s">
        <v>2226</v>
      </c>
      <c r="E855" s="59" t="s">
        <v>2227</v>
      </c>
      <c r="F855" s="59" t="s">
        <v>2228</v>
      </c>
      <c r="G855" s="59" t="s">
        <v>2229</v>
      </c>
      <c r="I855" s="59" t="s">
        <v>748</v>
      </c>
    </row>
    <row r="856" spans="1:9" ht="11.25" customHeight="1">
      <c r="A856" s="59" t="s">
        <v>2162</v>
      </c>
      <c r="B856" s="59" t="s">
        <v>14</v>
      </c>
      <c r="C856" s="59" t="s">
        <v>2234</v>
      </c>
      <c r="D856" s="59" t="s">
        <v>2235</v>
      </c>
      <c r="E856" s="59" t="s">
        <v>2236</v>
      </c>
      <c r="F856" s="59" t="s">
        <v>2166</v>
      </c>
      <c r="I856" s="59" t="s">
        <v>748</v>
      </c>
    </row>
    <row r="857" spans="1:9" ht="11.25" customHeight="1">
      <c r="A857" s="59" t="s">
        <v>2162</v>
      </c>
      <c r="B857" s="59" t="s">
        <v>14</v>
      </c>
      <c r="C857" s="59" t="s">
        <v>4275</v>
      </c>
      <c r="D857" s="59" t="s">
        <v>4276</v>
      </c>
      <c r="E857" s="59" t="s">
        <v>4277</v>
      </c>
      <c r="F857" s="59" t="s">
        <v>3146</v>
      </c>
      <c r="I857" s="59" t="s">
        <v>748</v>
      </c>
    </row>
    <row r="858" spans="1:9" ht="11.25" customHeight="1">
      <c r="A858" s="59" t="s">
        <v>2162</v>
      </c>
      <c r="B858" s="59" t="s">
        <v>14</v>
      </c>
      <c r="C858" s="59" t="s">
        <v>2249</v>
      </c>
      <c r="D858" s="59" t="s">
        <v>2250</v>
      </c>
      <c r="E858" s="59" t="s">
        <v>2251</v>
      </c>
      <c r="F858" s="59" t="s">
        <v>2252</v>
      </c>
      <c r="G858" s="59" t="s">
        <v>2253</v>
      </c>
      <c r="I858" s="59" t="s">
        <v>748</v>
      </c>
    </row>
    <row r="859" spans="1:9" ht="11.25" customHeight="1">
      <c r="A859" s="59" t="s">
        <v>2162</v>
      </c>
      <c r="B859" s="59" t="s">
        <v>14</v>
      </c>
      <c r="C859" s="59" t="s">
        <v>2258</v>
      </c>
      <c r="D859" s="59" t="s">
        <v>2259</v>
      </c>
      <c r="E859" s="59" t="s">
        <v>2260</v>
      </c>
      <c r="F859" s="59" t="s">
        <v>2261</v>
      </c>
      <c r="G859" s="59" t="s">
        <v>2262</v>
      </c>
      <c r="I859" s="59" t="s">
        <v>748</v>
      </c>
    </row>
    <row r="860" spans="1:9" ht="11.25" customHeight="1">
      <c r="A860" s="59" t="s">
        <v>2162</v>
      </c>
      <c r="B860" s="59" t="s">
        <v>14</v>
      </c>
      <c r="C860" s="59" t="s">
        <v>2263</v>
      </c>
      <c r="D860" s="59" t="s">
        <v>2264</v>
      </c>
      <c r="E860" s="59" t="s">
        <v>2265</v>
      </c>
      <c r="F860" s="59" t="s">
        <v>2266</v>
      </c>
      <c r="I860" s="59" t="s">
        <v>748</v>
      </c>
    </row>
    <row r="861" spans="1:9" ht="11.25" customHeight="1">
      <c r="A861" s="59" t="s">
        <v>2162</v>
      </c>
      <c r="B861" s="59" t="s">
        <v>14</v>
      </c>
      <c r="C861" s="59" t="s">
        <v>4278</v>
      </c>
      <c r="D861" s="59" t="s">
        <v>4279</v>
      </c>
      <c r="E861" s="59" t="s">
        <v>4280</v>
      </c>
      <c r="F861" s="59" t="s">
        <v>2478</v>
      </c>
      <c r="I861" s="59" t="s">
        <v>748</v>
      </c>
    </row>
    <row r="862" spans="1:9" ht="11.25" customHeight="1">
      <c r="A862" s="59" t="s">
        <v>2162</v>
      </c>
      <c r="B862" s="59" t="s">
        <v>14</v>
      </c>
      <c r="C862" s="59" t="s">
        <v>4281</v>
      </c>
      <c r="D862" s="59" t="s">
        <v>4282</v>
      </c>
      <c r="E862" s="59" t="s">
        <v>4283</v>
      </c>
      <c r="F862" s="59" t="s">
        <v>4284</v>
      </c>
      <c r="G862" s="59" t="s">
        <v>4285</v>
      </c>
      <c r="I862" s="59" t="s">
        <v>748</v>
      </c>
    </row>
    <row r="863" spans="1:9" ht="11.25" customHeight="1">
      <c r="A863" s="59" t="s">
        <v>2162</v>
      </c>
      <c r="B863" s="59" t="s">
        <v>14</v>
      </c>
      <c r="C863" s="59" t="s">
        <v>2270</v>
      </c>
      <c r="D863" s="59" t="s">
        <v>2271</v>
      </c>
      <c r="E863" s="59" t="s">
        <v>2272</v>
      </c>
      <c r="F863" s="59" t="s">
        <v>2273</v>
      </c>
      <c r="I863" s="59" t="s">
        <v>748</v>
      </c>
    </row>
    <row r="864" spans="1:9" ht="11.25" customHeight="1">
      <c r="A864" s="59" t="s">
        <v>2162</v>
      </c>
      <c r="B864" s="59" t="s">
        <v>14</v>
      </c>
      <c r="C864" s="59" t="s">
        <v>2278</v>
      </c>
      <c r="D864" s="59" t="s">
        <v>2279</v>
      </c>
      <c r="E864" s="59" t="s">
        <v>2280</v>
      </c>
      <c r="F864" s="59" t="s">
        <v>2220</v>
      </c>
      <c r="G864" s="59" t="s">
        <v>2281</v>
      </c>
      <c r="I864" s="59" t="s">
        <v>748</v>
      </c>
    </row>
    <row r="865" spans="1:9" ht="11.25" customHeight="1">
      <c r="A865" s="59" t="s">
        <v>2162</v>
      </c>
      <c r="B865" s="59" t="s">
        <v>14</v>
      </c>
      <c r="C865" s="59" t="s">
        <v>2282</v>
      </c>
      <c r="D865" s="59" t="s">
        <v>2283</v>
      </c>
      <c r="E865" s="59" t="s">
        <v>2284</v>
      </c>
      <c r="F865" s="59" t="s">
        <v>2202</v>
      </c>
      <c r="I865" s="59" t="s">
        <v>748</v>
      </c>
    </row>
    <row r="866" spans="1:9" ht="11.25" customHeight="1">
      <c r="A866" s="59" t="s">
        <v>2162</v>
      </c>
      <c r="B866" s="59" t="s">
        <v>14</v>
      </c>
      <c r="C866" s="59" t="s">
        <v>2292</v>
      </c>
      <c r="D866" s="59" t="s">
        <v>2293</v>
      </c>
      <c r="E866" s="59" t="s">
        <v>2294</v>
      </c>
      <c r="F866" s="59" t="s">
        <v>2248</v>
      </c>
      <c r="G866" s="59" t="s">
        <v>2295</v>
      </c>
      <c r="I866" s="59" t="s">
        <v>748</v>
      </c>
    </row>
    <row r="867" spans="1:9" ht="11.25" customHeight="1">
      <c r="A867" s="59" t="s">
        <v>2162</v>
      </c>
      <c r="B867" s="59" t="s">
        <v>14</v>
      </c>
      <c r="C867" s="59" t="s">
        <v>2296</v>
      </c>
      <c r="D867" s="59" t="s">
        <v>2297</v>
      </c>
      <c r="E867" s="59" t="s">
        <v>2298</v>
      </c>
      <c r="F867" s="59" t="s">
        <v>2299</v>
      </c>
      <c r="G867" s="59" t="s">
        <v>2300</v>
      </c>
      <c r="I867" s="59" t="s">
        <v>748</v>
      </c>
    </row>
    <row r="868" spans="1:9" ht="11.25" customHeight="1">
      <c r="A868" s="59" t="s">
        <v>2162</v>
      </c>
      <c r="B868" s="59" t="s">
        <v>14</v>
      </c>
      <c r="C868" s="59" t="s">
        <v>2301</v>
      </c>
      <c r="D868" s="59" t="s">
        <v>2302</v>
      </c>
      <c r="E868" s="59" t="s">
        <v>2179</v>
      </c>
      <c r="F868" s="59" t="s">
        <v>2303</v>
      </c>
      <c r="G868" s="59" t="s">
        <v>2304</v>
      </c>
      <c r="I868" s="59" t="s">
        <v>748</v>
      </c>
    </row>
    <row r="869" spans="1:9" ht="11.25" customHeight="1">
      <c r="A869" s="59" t="s">
        <v>2162</v>
      </c>
      <c r="B869" s="59" t="s">
        <v>14</v>
      </c>
      <c r="C869" s="59" t="s">
        <v>2305</v>
      </c>
      <c r="D869" s="59" t="s">
        <v>2306</v>
      </c>
      <c r="E869" s="59" t="s">
        <v>2307</v>
      </c>
      <c r="F869" s="59" t="s">
        <v>2308</v>
      </c>
      <c r="G869" s="59" t="s">
        <v>2309</v>
      </c>
      <c r="I869" s="59" t="s">
        <v>748</v>
      </c>
    </row>
    <row r="870" spans="1:9" ht="11.25" customHeight="1">
      <c r="A870" s="59" t="s">
        <v>2162</v>
      </c>
      <c r="B870" s="59" t="s">
        <v>14</v>
      </c>
      <c r="C870" s="59" t="s">
        <v>4286</v>
      </c>
      <c r="D870" s="59" t="s">
        <v>4287</v>
      </c>
      <c r="E870" s="59" t="s">
        <v>4288</v>
      </c>
      <c r="F870" s="59" t="s">
        <v>2478</v>
      </c>
      <c r="G870" s="59" t="s">
        <v>4289</v>
      </c>
      <c r="I870" s="59" t="s">
        <v>748</v>
      </c>
    </row>
    <row r="871" spans="1:9" ht="11.25" customHeight="1">
      <c r="A871" s="59" t="s">
        <v>2162</v>
      </c>
      <c r="B871" s="59" t="s">
        <v>14</v>
      </c>
      <c r="C871" s="59" t="s">
        <v>2314</v>
      </c>
      <c r="D871" s="59" t="s">
        <v>2315</v>
      </c>
      <c r="E871" s="59" t="s">
        <v>2316</v>
      </c>
      <c r="F871" s="59" t="s">
        <v>2317</v>
      </c>
      <c r="I871" s="59" t="s">
        <v>748</v>
      </c>
    </row>
    <row r="872" spans="1:9" ht="11.25" customHeight="1">
      <c r="A872" s="59" t="s">
        <v>2162</v>
      </c>
      <c r="B872" s="59" t="s">
        <v>14</v>
      </c>
      <c r="C872" s="59" t="s">
        <v>2324</v>
      </c>
      <c r="D872" s="59" t="s">
        <v>2325</v>
      </c>
      <c r="E872" s="59" t="s">
        <v>2326</v>
      </c>
      <c r="F872" s="59" t="s">
        <v>2308</v>
      </c>
      <c r="I872" s="59" t="s">
        <v>748</v>
      </c>
    </row>
    <row r="873" spans="1:9" ht="11.25" customHeight="1">
      <c r="A873" s="59" t="s">
        <v>2162</v>
      </c>
      <c r="B873" s="59" t="s">
        <v>14</v>
      </c>
      <c r="C873" s="59" t="s">
        <v>2331</v>
      </c>
      <c r="D873" s="59" t="s">
        <v>2332</v>
      </c>
      <c r="E873" s="59" t="s">
        <v>2333</v>
      </c>
      <c r="F873" s="59" t="s">
        <v>2291</v>
      </c>
      <c r="G873" s="59" t="s">
        <v>2334</v>
      </c>
      <c r="I873" s="59" t="s">
        <v>748</v>
      </c>
    </row>
    <row r="874" spans="1:9" ht="11.25" customHeight="1">
      <c r="A874" s="59" t="s">
        <v>2162</v>
      </c>
      <c r="B874" s="59" t="s">
        <v>14</v>
      </c>
      <c r="C874" s="59" t="s">
        <v>2338</v>
      </c>
      <c r="D874" s="59" t="s">
        <v>2339</v>
      </c>
      <c r="E874" s="59" t="s">
        <v>2333</v>
      </c>
      <c r="F874" s="59" t="s">
        <v>2340</v>
      </c>
      <c r="I874" s="59" t="s">
        <v>748</v>
      </c>
    </row>
    <row r="875" spans="1:9" ht="11.25" customHeight="1">
      <c r="A875" s="59" t="s">
        <v>2162</v>
      </c>
      <c r="B875" s="59" t="s">
        <v>14</v>
      </c>
      <c r="C875" s="59" t="s">
        <v>2344</v>
      </c>
      <c r="D875" s="59" t="s">
        <v>2345</v>
      </c>
      <c r="E875" s="59" t="s">
        <v>2333</v>
      </c>
      <c r="F875" s="59" t="s">
        <v>2346</v>
      </c>
      <c r="I875" s="59" t="s">
        <v>748</v>
      </c>
    </row>
    <row r="876" spans="1:9" ht="11.25" customHeight="1">
      <c r="A876" s="59" t="s">
        <v>2162</v>
      </c>
      <c r="B876" s="59" t="s">
        <v>14</v>
      </c>
      <c r="C876" s="59" t="s">
        <v>2350</v>
      </c>
      <c r="D876" s="59" t="s">
        <v>2351</v>
      </c>
      <c r="E876" s="59" t="s">
        <v>2333</v>
      </c>
      <c r="F876" s="59" t="s">
        <v>2352</v>
      </c>
      <c r="I876" s="59" t="s">
        <v>748</v>
      </c>
    </row>
    <row r="877" spans="1:9" ht="11.25" customHeight="1">
      <c r="A877" s="59" t="s">
        <v>2162</v>
      </c>
      <c r="B877" s="59" t="s">
        <v>14</v>
      </c>
      <c r="C877" s="59" t="s">
        <v>2353</v>
      </c>
      <c r="D877" s="59" t="s">
        <v>2354</v>
      </c>
      <c r="E877" s="59" t="s">
        <v>2333</v>
      </c>
      <c r="F877" s="59" t="s">
        <v>2355</v>
      </c>
      <c r="I877" s="59" t="s">
        <v>748</v>
      </c>
    </row>
    <row r="878" spans="1:9" ht="11.25" customHeight="1">
      <c r="A878" s="59" t="s">
        <v>2162</v>
      </c>
      <c r="B878" s="59" t="s">
        <v>14</v>
      </c>
      <c r="C878" s="59" t="s">
        <v>2359</v>
      </c>
      <c r="D878" s="59" t="s">
        <v>2360</v>
      </c>
      <c r="E878" s="59" t="s">
        <v>2333</v>
      </c>
      <c r="F878" s="59" t="s">
        <v>2361</v>
      </c>
      <c r="I878" s="59" t="s">
        <v>748</v>
      </c>
    </row>
    <row r="879" spans="1:9" ht="11.25" customHeight="1">
      <c r="A879" s="59" t="s">
        <v>2162</v>
      </c>
      <c r="B879" s="59" t="s">
        <v>14</v>
      </c>
      <c r="C879" s="59" t="s">
        <v>2362</v>
      </c>
      <c r="D879" s="59" t="s">
        <v>2363</v>
      </c>
      <c r="E879" s="59" t="s">
        <v>2333</v>
      </c>
      <c r="F879" s="59" t="s">
        <v>2364</v>
      </c>
      <c r="I879" s="59" t="s">
        <v>748</v>
      </c>
    </row>
    <row r="880" spans="1:9" ht="11.25" customHeight="1">
      <c r="A880" s="59" t="s">
        <v>2162</v>
      </c>
      <c r="B880" s="59" t="s">
        <v>14</v>
      </c>
      <c r="C880" s="59" t="s">
        <v>2374</v>
      </c>
      <c r="D880" s="59" t="s">
        <v>2375</v>
      </c>
      <c r="E880" s="59" t="s">
        <v>2376</v>
      </c>
      <c r="F880" s="59" t="s">
        <v>2228</v>
      </c>
      <c r="G880" s="59" t="s">
        <v>2377</v>
      </c>
      <c r="I880" s="59" t="s">
        <v>748</v>
      </c>
    </row>
    <row r="881" spans="1:9" ht="11.25" customHeight="1">
      <c r="A881" s="59" t="s">
        <v>2162</v>
      </c>
      <c r="B881" s="59" t="s">
        <v>14</v>
      </c>
      <c r="C881" s="59" t="s">
        <v>4290</v>
      </c>
      <c r="D881" s="59" t="s">
        <v>4291</v>
      </c>
      <c r="E881" s="59" t="s">
        <v>4292</v>
      </c>
      <c r="F881" s="59" t="s">
        <v>2166</v>
      </c>
      <c r="G881" s="59" t="s">
        <v>4293</v>
      </c>
      <c r="I881" s="59" t="s">
        <v>748</v>
      </c>
    </row>
    <row r="882" spans="1:9" ht="11.25" customHeight="1">
      <c r="A882" s="59" t="s">
        <v>2162</v>
      </c>
      <c r="B882" s="59" t="s">
        <v>14</v>
      </c>
      <c r="C882" s="59" t="s">
        <v>2381</v>
      </c>
      <c r="D882" s="59" t="s">
        <v>2382</v>
      </c>
      <c r="E882" s="59" t="s">
        <v>2383</v>
      </c>
      <c r="F882" s="59" t="s">
        <v>2166</v>
      </c>
      <c r="I882" s="59" t="s">
        <v>748</v>
      </c>
    </row>
    <row r="883" spans="1:9" ht="11.25" customHeight="1">
      <c r="A883" s="59" t="s">
        <v>2162</v>
      </c>
      <c r="B883" s="59" t="s">
        <v>14</v>
      </c>
      <c r="C883" s="59" t="s">
        <v>2384</v>
      </c>
      <c r="D883" s="59" t="s">
        <v>2385</v>
      </c>
      <c r="E883" s="59" t="s">
        <v>2386</v>
      </c>
      <c r="F883" s="59" t="s">
        <v>2228</v>
      </c>
      <c r="G883" s="59" t="s">
        <v>2387</v>
      </c>
      <c r="I883" s="59" t="s">
        <v>748</v>
      </c>
    </row>
    <row r="884" spans="1:9" ht="11.25" customHeight="1">
      <c r="A884" s="59" t="s">
        <v>2162</v>
      </c>
      <c r="B884" s="59" t="s">
        <v>14</v>
      </c>
      <c r="C884" s="59" t="s">
        <v>2412</v>
      </c>
      <c r="D884" s="59" t="s">
        <v>2413</v>
      </c>
      <c r="E884" s="59" t="s">
        <v>2390</v>
      </c>
      <c r="F884" s="59" t="s">
        <v>2414</v>
      </c>
      <c r="I884" s="59" t="s">
        <v>748</v>
      </c>
    </row>
    <row r="885" spans="1:9" ht="11.25" customHeight="1">
      <c r="A885" s="59" t="s">
        <v>2162</v>
      </c>
      <c r="B885" s="59" t="s">
        <v>14</v>
      </c>
      <c r="C885" s="59" t="s">
        <v>2418</v>
      </c>
      <c r="D885" s="59" t="s">
        <v>2419</v>
      </c>
      <c r="E885" s="59" t="s">
        <v>2390</v>
      </c>
      <c r="F885" s="59" t="s">
        <v>2420</v>
      </c>
      <c r="I885" s="59" t="s">
        <v>748</v>
      </c>
    </row>
    <row r="886" spans="1:9" ht="11.25" customHeight="1">
      <c r="A886" s="59" t="s">
        <v>2162</v>
      </c>
      <c r="B886" s="59" t="s">
        <v>14</v>
      </c>
      <c r="C886" s="59" t="s">
        <v>2436</v>
      </c>
      <c r="D886" s="59" t="s">
        <v>2437</v>
      </c>
      <c r="E886" s="59" t="s">
        <v>2390</v>
      </c>
      <c r="F886" s="59" t="s">
        <v>2438</v>
      </c>
      <c r="I886" s="59" t="s">
        <v>748</v>
      </c>
    </row>
    <row r="887" spans="1:9" ht="11.25" customHeight="1">
      <c r="A887" s="59" t="s">
        <v>2162</v>
      </c>
      <c r="B887" s="59" t="s">
        <v>14</v>
      </c>
      <c r="C887" s="59" t="s">
        <v>2442</v>
      </c>
      <c r="D887" s="59" t="s">
        <v>2443</v>
      </c>
      <c r="E887" s="59" t="s">
        <v>2444</v>
      </c>
      <c r="F887" s="59" t="s">
        <v>2445</v>
      </c>
      <c r="I887" s="59" t="s">
        <v>748</v>
      </c>
    </row>
    <row r="888" spans="1:9" ht="11.25" customHeight="1">
      <c r="A888" s="59" t="s">
        <v>2162</v>
      </c>
      <c r="B888" s="59" t="s">
        <v>14</v>
      </c>
      <c r="C888" s="59" t="s">
        <v>2450</v>
      </c>
      <c r="D888" s="59" t="s">
        <v>2451</v>
      </c>
      <c r="E888" s="59" t="s">
        <v>2452</v>
      </c>
      <c r="F888" s="59" t="s">
        <v>2210</v>
      </c>
      <c r="I888" s="59" t="s">
        <v>748</v>
      </c>
    </row>
    <row r="889" spans="1:9" ht="11.25" customHeight="1">
      <c r="A889" s="59" t="s">
        <v>2162</v>
      </c>
      <c r="B889" s="59" t="s">
        <v>14</v>
      </c>
      <c r="C889" s="59" t="s">
        <v>2456</v>
      </c>
      <c r="D889" s="59" t="s">
        <v>2457</v>
      </c>
      <c r="E889" s="59" t="s">
        <v>2458</v>
      </c>
      <c r="F889" s="59" t="s">
        <v>2291</v>
      </c>
      <c r="I889" s="59" t="s">
        <v>748</v>
      </c>
    </row>
    <row r="890" spans="1:9" ht="11.25" customHeight="1">
      <c r="A890" s="59" t="s">
        <v>2162</v>
      </c>
      <c r="B890" s="59" t="s">
        <v>14</v>
      </c>
      <c r="C890" s="59" t="s">
        <v>2465</v>
      </c>
      <c r="D890" s="59" t="s">
        <v>2466</v>
      </c>
      <c r="E890" s="59" t="s">
        <v>2467</v>
      </c>
      <c r="F890" s="59" t="s">
        <v>2299</v>
      </c>
      <c r="G890" s="59" t="s">
        <v>2468</v>
      </c>
      <c r="I890" s="59" t="s">
        <v>748</v>
      </c>
    </row>
    <row r="891" spans="1:9" ht="11.25" customHeight="1">
      <c r="A891" s="59" t="s">
        <v>2162</v>
      </c>
      <c r="B891" s="59" t="s">
        <v>14</v>
      </c>
      <c r="C891" s="59" t="s">
        <v>2469</v>
      </c>
      <c r="D891" s="59" t="s">
        <v>2470</v>
      </c>
      <c r="E891" s="59" t="s">
        <v>2471</v>
      </c>
      <c r="F891" s="59" t="s">
        <v>2220</v>
      </c>
      <c r="I891" s="59" t="s">
        <v>748</v>
      </c>
    </row>
    <row r="892" spans="1:9" ht="11.25" customHeight="1">
      <c r="A892" s="59" t="s">
        <v>2162</v>
      </c>
      <c r="B892" s="59" t="s">
        <v>14</v>
      </c>
      <c r="C892" s="59" t="s">
        <v>4294</v>
      </c>
      <c r="D892" s="59" t="s">
        <v>4295</v>
      </c>
      <c r="E892" s="59" t="s">
        <v>4296</v>
      </c>
      <c r="F892" s="59" t="s">
        <v>2478</v>
      </c>
      <c r="I892" s="59" t="s">
        <v>748</v>
      </c>
    </row>
    <row r="893" spans="1:9" ht="11.25" customHeight="1">
      <c r="A893" s="59" t="s">
        <v>2162</v>
      </c>
      <c r="B893" s="59" t="s">
        <v>14</v>
      </c>
      <c r="C893" s="59" t="s">
        <v>2483</v>
      </c>
      <c r="D893" s="59" t="s">
        <v>2484</v>
      </c>
      <c r="E893" s="59" t="s">
        <v>2485</v>
      </c>
      <c r="F893" s="59" t="s">
        <v>2486</v>
      </c>
      <c r="G893" s="59" t="s">
        <v>2487</v>
      </c>
      <c r="I893" s="59" t="s">
        <v>748</v>
      </c>
    </row>
    <row r="894" spans="1:9" ht="11.25" customHeight="1">
      <c r="A894" s="59" t="s">
        <v>2162</v>
      </c>
      <c r="B894" s="59" t="s">
        <v>14</v>
      </c>
      <c r="C894" s="59" t="s">
        <v>4297</v>
      </c>
      <c r="D894" s="59" t="s">
        <v>4298</v>
      </c>
      <c r="E894" s="59" t="s">
        <v>4299</v>
      </c>
      <c r="F894" s="59" t="s">
        <v>2486</v>
      </c>
      <c r="G894" s="59" t="s">
        <v>4300</v>
      </c>
      <c r="I894" s="59" t="s">
        <v>748</v>
      </c>
    </row>
    <row r="895" spans="1:9" ht="11.25" customHeight="1">
      <c r="A895" s="59" t="s">
        <v>2162</v>
      </c>
      <c r="B895" s="59" t="s">
        <v>14</v>
      </c>
      <c r="C895" s="59" t="s">
        <v>2488</v>
      </c>
      <c r="D895" s="59" t="s">
        <v>2489</v>
      </c>
      <c r="E895" s="59" t="s">
        <v>2490</v>
      </c>
      <c r="F895" s="59" t="s">
        <v>2299</v>
      </c>
      <c r="G895" s="59" t="s">
        <v>2491</v>
      </c>
      <c r="I895" s="59" t="s">
        <v>748</v>
      </c>
    </row>
    <row r="896" spans="1:9" ht="11.25" customHeight="1">
      <c r="A896" s="59" t="s">
        <v>2162</v>
      </c>
      <c r="B896" s="59" t="s">
        <v>14</v>
      </c>
      <c r="C896" s="59" t="s">
        <v>2505</v>
      </c>
      <c r="D896" s="59" t="s">
        <v>2506</v>
      </c>
      <c r="E896" s="59" t="s">
        <v>2507</v>
      </c>
      <c r="F896" s="59" t="s">
        <v>2277</v>
      </c>
      <c r="G896" s="59" t="s">
        <v>2508</v>
      </c>
      <c r="I896" s="59" t="s">
        <v>748</v>
      </c>
    </row>
    <row r="897" spans="1:9" ht="11.25" customHeight="1">
      <c r="A897" s="59" t="s">
        <v>2162</v>
      </c>
      <c r="B897" s="59" t="s">
        <v>14</v>
      </c>
      <c r="C897" s="59" t="s">
        <v>2509</v>
      </c>
      <c r="D897" s="59" t="s">
        <v>2510</v>
      </c>
      <c r="E897" s="59" t="s">
        <v>2511</v>
      </c>
      <c r="F897" s="59" t="s">
        <v>2166</v>
      </c>
      <c r="I897" s="59" t="s">
        <v>748</v>
      </c>
    </row>
    <row r="898" spans="1:9" ht="11.25" customHeight="1">
      <c r="A898" s="59" t="s">
        <v>2162</v>
      </c>
      <c r="B898" s="59" t="s">
        <v>14</v>
      </c>
      <c r="C898" s="59" t="s">
        <v>2521</v>
      </c>
      <c r="D898" s="59" t="s">
        <v>2522</v>
      </c>
      <c r="E898" s="59" t="s">
        <v>2523</v>
      </c>
      <c r="F898" s="59" t="s">
        <v>2248</v>
      </c>
      <c r="I898" s="59" t="s">
        <v>748</v>
      </c>
    </row>
    <row r="899" spans="1:9" ht="11.25" customHeight="1">
      <c r="A899" s="59" t="s">
        <v>2162</v>
      </c>
      <c r="B899" s="59" t="s">
        <v>14</v>
      </c>
      <c r="C899" s="59" t="s">
        <v>2524</v>
      </c>
      <c r="D899" s="59" t="s">
        <v>2525</v>
      </c>
      <c r="E899" s="59" t="s">
        <v>2526</v>
      </c>
      <c r="F899" s="59" t="s">
        <v>2233</v>
      </c>
      <c r="I899" s="59" t="s">
        <v>748</v>
      </c>
    </row>
    <row r="900" spans="1:9" ht="11.25" customHeight="1">
      <c r="A900" s="59" t="s">
        <v>2162</v>
      </c>
      <c r="B900" s="59" t="s">
        <v>14</v>
      </c>
      <c r="C900" s="59" t="s">
        <v>2527</v>
      </c>
      <c r="D900" s="59" t="s">
        <v>2528</v>
      </c>
      <c r="E900" s="59" t="s">
        <v>2529</v>
      </c>
      <c r="F900" s="59" t="s">
        <v>2530</v>
      </c>
      <c r="G900" s="59" t="s">
        <v>2531</v>
      </c>
      <c r="I900" s="59" t="s">
        <v>748</v>
      </c>
    </row>
    <row r="901" spans="1:9" ht="11.25" customHeight="1">
      <c r="A901" s="59" t="s">
        <v>2162</v>
      </c>
      <c r="B901" s="59" t="s">
        <v>14</v>
      </c>
      <c r="C901" s="59" t="s">
        <v>2535</v>
      </c>
      <c r="D901" s="59" t="s">
        <v>2536</v>
      </c>
      <c r="E901" s="59" t="s">
        <v>2537</v>
      </c>
      <c r="F901" s="59" t="s">
        <v>2538</v>
      </c>
      <c r="I901" s="59" t="s">
        <v>748</v>
      </c>
    </row>
    <row r="902" spans="1:9" ht="11.25" customHeight="1">
      <c r="A902" s="59" t="s">
        <v>2162</v>
      </c>
      <c r="B902" s="59" t="s">
        <v>14</v>
      </c>
      <c r="C902" s="59" t="s">
        <v>2539</v>
      </c>
      <c r="D902" s="59" t="s">
        <v>2540</v>
      </c>
      <c r="E902" s="59" t="s">
        <v>2537</v>
      </c>
      <c r="F902" s="59" t="s">
        <v>2248</v>
      </c>
      <c r="G902" s="59" t="s">
        <v>2387</v>
      </c>
      <c r="I902" s="59" t="s">
        <v>748</v>
      </c>
    </row>
    <row r="903" spans="1:9" ht="11.25" customHeight="1">
      <c r="A903" s="59" t="s">
        <v>2162</v>
      </c>
      <c r="B903" s="59" t="s">
        <v>14</v>
      </c>
      <c r="C903" s="59" t="s">
        <v>2564</v>
      </c>
      <c r="D903" s="59" t="s">
        <v>2565</v>
      </c>
      <c r="E903" s="59" t="s">
        <v>2566</v>
      </c>
      <c r="F903" s="59" t="s">
        <v>2277</v>
      </c>
      <c r="G903" s="59" t="s">
        <v>2567</v>
      </c>
      <c r="I903" s="59" t="s">
        <v>748</v>
      </c>
    </row>
    <row r="904" spans="1:9" ht="11.25" customHeight="1">
      <c r="A904" s="59" t="s">
        <v>2162</v>
      </c>
      <c r="B904" s="59" t="s">
        <v>14</v>
      </c>
      <c r="C904" s="59" t="s">
        <v>2571</v>
      </c>
      <c r="D904" s="59" t="s">
        <v>2572</v>
      </c>
      <c r="E904" s="59" t="s">
        <v>2316</v>
      </c>
      <c r="F904" s="59" t="s">
        <v>2573</v>
      </c>
      <c r="I904" s="59" t="s">
        <v>748</v>
      </c>
    </row>
    <row r="905" spans="1:9" ht="11.25" customHeight="1">
      <c r="A905" s="59" t="s">
        <v>2162</v>
      </c>
      <c r="B905" s="59" t="s">
        <v>14</v>
      </c>
      <c r="C905" s="59" t="s">
        <v>2577</v>
      </c>
      <c r="D905" s="59" t="s">
        <v>2578</v>
      </c>
      <c r="E905" s="59" t="s">
        <v>2579</v>
      </c>
      <c r="F905" s="59" t="s">
        <v>2391</v>
      </c>
      <c r="I905" s="59" t="s">
        <v>748</v>
      </c>
    </row>
    <row r="906" spans="1:9" ht="11.25" customHeight="1">
      <c r="A906" s="59" t="s">
        <v>2162</v>
      </c>
      <c r="B906" s="59" t="s">
        <v>14</v>
      </c>
      <c r="C906" s="59" t="s">
        <v>2583</v>
      </c>
      <c r="D906" s="59" t="s">
        <v>2584</v>
      </c>
      <c r="E906" s="59" t="s">
        <v>2444</v>
      </c>
      <c r="F906" s="59" t="s">
        <v>2585</v>
      </c>
      <c r="I906" s="59" t="s">
        <v>748</v>
      </c>
    </row>
    <row r="907" spans="1:9" ht="11.25" customHeight="1">
      <c r="A907" s="59" t="s">
        <v>2162</v>
      </c>
      <c r="B907" s="59" t="s">
        <v>14</v>
      </c>
      <c r="C907" s="59" t="s">
        <v>2593</v>
      </c>
      <c r="D907" s="59" t="s">
        <v>2594</v>
      </c>
      <c r="E907" s="59" t="s">
        <v>2595</v>
      </c>
      <c r="F907" s="59" t="s">
        <v>2291</v>
      </c>
      <c r="I907" s="59" t="s">
        <v>748</v>
      </c>
    </row>
    <row r="908" spans="1:9" ht="11.25" customHeight="1">
      <c r="A908" s="59" t="s">
        <v>2162</v>
      </c>
      <c r="B908" s="59" t="s">
        <v>14</v>
      </c>
      <c r="C908" s="59" t="s">
        <v>2596</v>
      </c>
      <c r="D908" s="59" t="s">
        <v>2597</v>
      </c>
      <c r="E908" s="59" t="s">
        <v>2598</v>
      </c>
      <c r="F908" s="59" t="s">
        <v>2592</v>
      </c>
      <c r="I908" s="59" t="s">
        <v>748</v>
      </c>
    </row>
    <row r="909" spans="1:9" ht="11.25" customHeight="1">
      <c r="A909" s="59" t="s">
        <v>2162</v>
      </c>
      <c r="B909" s="59" t="s">
        <v>14</v>
      </c>
      <c r="C909" s="59" t="s">
        <v>2602</v>
      </c>
      <c r="D909" s="59" t="s">
        <v>2603</v>
      </c>
      <c r="E909" s="59" t="s">
        <v>2604</v>
      </c>
      <c r="F909" s="59" t="s">
        <v>2299</v>
      </c>
      <c r="I909" s="59" t="s">
        <v>748</v>
      </c>
    </row>
    <row r="910" spans="1:9" ht="11.25" customHeight="1">
      <c r="A910" s="59" t="s">
        <v>2162</v>
      </c>
      <c r="B910" s="59" t="s">
        <v>14</v>
      </c>
      <c r="C910" s="59" t="s">
        <v>2605</v>
      </c>
      <c r="D910" s="59" t="s">
        <v>2606</v>
      </c>
      <c r="E910" s="59" t="s">
        <v>2607</v>
      </c>
      <c r="F910" s="59" t="s">
        <v>2166</v>
      </c>
      <c r="G910" s="59" t="s">
        <v>2608</v>
      </c>
      <c r="I910" s="59" t="s">
        <v>748</v>
      </c>
    </row>
    <row r="911" spans="1:9" ht="11.25" customHeight="1">
      <c r="A911" s="59" t="s">
        <v>2162</v>
      </c>
      <c r="B911" s="59" t="s">
        <v>14</v>
      </c>
      <c r="C911" s="59" t="s">
        <v>4301</v>
      </c>
      <c r="D911" s="59" t="s">
        <v>4302</v>
      </c>
      <c r="E911" s="59" t="s">
        <v>4303</v>
      </c>
      <c r="F911" s="59" t="s">
        <v>2478</v>
      </c>
      <c r="I911" s="59" t="s">
        <v>748</v>
      </c>
    </row>
    <row r="912" spans="1:9" ht="11.25" customHeight="1">
      <c r="A912" s="59" t="s">
        <v>2162</v>
      </c>
      <c r="B912" s="59" t="s">
        <v>14</v>
      </c>
      <c r="C912" s="59" t="s">
        <v>2616</v>
      </c>
      <c r="D912" s="59" t="s">
        <v>2617</v>
      </c>
      <c r="E912" s="59" t="s">
        <v>2618</v>
      </c>
      <c r="F912" s="59" t="s">
        <v>2193</v>
      </c>
      <c r="I912" s="59" t="s">
        <v>748</v>
      </c>
    </row>
    <row r="913" spans="1:9" ht="11.25" customHeight="1">
      <c r="A913" s="59" t="s">
        <v>2162</v>
      </c>
      <c r="B913" s="59" t="s">
        <v>14</v>
      </c>
      <c r="C913" s="59" t="s">
        <v>2629</v>
      </c>
      <c r="D913" s="59" t="s">
        <v>2630</v>
      </c>
      <c r="E913" s="59" t="s">
        <v>2631</v>
      </c>
      <c r="F913" s="59" t="s">
        <v>2632</v>
      </c>
      <c r="I913" s="59" t="s">
        <v>748</v>
      </c>
    </row>
    <row r="914" spans="1:9" ht="11.25" customHeight="1">
      <c r="A914" s="59" t="s">
        <v>2162</v>
      </c>
      <c r="B914" s="59" t="s">
        <v>14</v>
      </c>
      <c r="C914" s="59" t="s">
        <v>2633</v>
      </c>
      <c r="D914" s="59" t="s">
        <v>2634</v>
      </c>
      <c r="E914" s="59" t="s">
        <v>2635</v>
      </c>
      <c r="F914" s="59" t="s">
        <v>2636</v>
      </c>
      <c r="G914" s="59" t="s">
        <v>2637</v>
      </c>
      <c r="I914" s="59" t="s">
        <v>748</v>
      </c>
    </row>
    <row r="915" spans="1:9" ht="11.25" customHeight="1">
      <c r="A915" s="59" t="s">
        <v>2162</v>
      </c>
      <c r="B915" s="59" t="s">
        <v>14</v>
      </c>
      <c r="C915" s="59" t="s">
        <v>4304</v>
      </c>
      <c r="D915" s="59" t="s">
        <v>4305</v>
      </c>
      <c r="E915" s="59" t="s">
        <v>4306</v>
      </c>
      <c r="F915" s="59" t="s">
        <v>3003</v>
      </c>
      <c r="H915" s="59" t="s">
        <v>3464</v>
      </c>
      <c r="I915" s="59" t="s">
        <v>748</v>
      </c>
    </row>
    <row r="916" spans="1:9" ht="11.25" customHeight="1">
      <c r="A916" s="59" t="s">
        <v>2162</v>
      </c>
      <c r="B916" s="59" t="s">
        <v>14</v>
      </c>
      <c r="C916" s="59" t="s">
        <v>2644</v>
      </c>
      <c r="D916" s="59" t="s">
        <v>2645</v>
      </c>
      <c r="E916" s="59" t="s">
        <v>2646</v>
      </c>
      <c r="F916" s="59" t="s">
        <v>2248</v>
      </c>
      <c r="I916" s="59" t="s">
        <v>748</v>
      </c>
    </row>
    <row r="917" spans="1:9" ht="11.25" customHeight="1">
      <c r="A917" s="59" t="s">
        <v>2162</v>
      </c>
      <c r="B917" s="59" t="s">
        <v>14</v>
      </c>
      <c r="C917" s="59" t="s">
        <v>2654</v>
      </c>
      <c r="D917" s="59" t="s">
        <v>2655</v>
      </c>
      <c r="E917" s="59" t="s">
        <v>2656</v>
      </c>
      <c r="F917" s="59" t="s">
        <v>2210</v>
      </c>
      <c r="I917" s="59" t="s">
        <v>748</v>
      </c>
    </row>
    <row r="918" spans="1:9" ht="11.25" customHeight="1">
      <c r="A918" s="59" t="s">
        <v>2162</v>
      </c>
      <c r="B918" s="59" t="s">
        <v>14</v>
      </c>
      <c r="C918" s="59" t="s">
        <v>4307</v>
      </c>
      <c r="D918" s="59" t="s">
        <v>4308</v>
      </c>
      <c r="E918" s="59" t="s">
        <v>4309</v>
      </c>
      <c r="F918" s="59" t="s">
        <v>2233</v>
      </c>
      <c r="G918" s="59" t="s">
        <v>4310</v>
      </c>
      <c r="I918" s="59" t="s">
        <v>748</v>
      </c>
    </row>
    <row r="919" spans="1:9" ht="11.25" customHeight="1">
      <c r="A919" s="59" t="s">
        <v>2162</v>
      </c>
      <c r="B919" s="59" t="s">
        <v>14</v>
      </c>
      <c r="C919" s="59" t="s">
        <v>2657</v>
      </c>
      <c r="D919" s="59" t="s">
        <v>2658</v>
      </c>
      <c r="E919" s="59" t="s">
        <v>2659</v>
      </c>
      <c r="F919" s="59" t="s">
        <v>2233</v>
      </c>
      <c r="G919" s="59" t="s">
        <v>2660</v>
      </c>
      <c r="I919" s="59" t="s">
        <v>748</v>
      </c>
    </row>
    <row r="920" spans="1:9" ht="11.25" customHeight="1">
      <c r="A920" s="59" t="s">
        <v>2162</v>
      </c>
      <c r="B920" s="59" t="s">
        <v>14</v>
      </c>
      <c r="C920" s="59" t="s">
        <v>2674</v>
      </c>
      <c r="D920" s="59" t="s">
        <v>2675</v>
      </c>
      <c r="E920" s="59" t="s">
        <v>2676</v>
      </c>
      <c r="F920" s="59" t="s">
        <v>2677</v>
      </c>
      <c r="I920" s="59" t="s">
        <v>748</v>
      </c>
    </row>
    <row r="921" spans="1:9" ht="11.25" customHeight="1">
      <c r="A921" s="59" t="s">
        <v>2162</v>
      </c>
      <c r="B921" s="59" t="s">
        <v>14</v>
      </c>
      <c r="C921" s="59" t="s">
        <v>2681</v>
      </c>
      <c r="D921" s="59" t="s">
        <v>2682</v>
      </c>
      <c r="E921" s="59" t="s">
        <v>2683</v>
      </c>
      <c r="F921" s="59" t="s">
        <v>2291</v>
      </c>
      <c r="G921" s="59" t="s">
        <v>2684</v>
      </c>
      <c r="I921" s="59" t="s">
        <v>748</v>
      </c>
    </row>
    <row r="922" spans="1:9" ht="11.25" customHeight="1">
      <c r="A922" s="59" t="s">
        <v>2162</v>
      </c>
      <c r="B922" s="59" t="s">
        <v>14</v>
      </c>
      <c r="C922" s="59" t="s">
        <v>2694</v>
      </c>
      <c r="D922" s="59" t="s">
        <v>2695</v>
      </c>
      <c r="E922" s="59" t="s">
        <v>2696</v>
      </c>
      <c r="F922" s="59" t="s">
        <v>555</v>
      </c>
      <c r="I922" s="59" t="s">
        <v>748</v>
      </c>
    </row>
    <row r="923" spans="1:9" ht="11.25" customHeight="1">
      <c r="A923" s="59" t="s">
        <v>2162</v>
      </c>
      <c r="B923" s="59" t="s">
        <v>14</v>
      </c>
      <c r="C923" s="59" t="s">
        <v>4311</v>
      </c>
      <c r="D923" s="59" t="s">
        <v>4312</v>
      </c>
      <c r="E923" s="59" t="s">
        <v>4313</v>
      </c>
      <c r="F923" s="59" t="s">
        <v>555</v>
      </c>
      <c r="I923" s="59" t="s">
        <v>748</v>
      </c>
    </row>
    <row r="924" spans="1:9" ht="11.25" customHeight="1">
      <c r="A924" s="59" t="s">
        <v>2162</v>
      </c>
      <c r="B924" s="59" t="s">
        <v>14</v>
      </c>
      <c r="C924" s="59" t="s">
        <v>4314</v>
      </c>
      <c r="D924" s="59" t="s">
        <v>4315</v>
      </c>
      <c r="E924" s="59" t="s">
        <v>4316</v>
      </c>
      <c r="F924" s="59" t="s">
        <v>555</v>
      </c>
      <c r="G924" s="59" t="s">
        <v>4317</v>
      </c>
      <c r="I924" s="59" t="s">
        <v>748</v>
      </c>
    </row>
    <row r="925" spans="1:9" ht="11.25" customHeight="1">
      <c r="A925" s="59" t="s">
        <v>2162</v>
      </c>
      <c r="B925" s="59" t="s">
        <v>14</v>
      </c>
      <c r="C925" s="59" t="s">
        <v>2719</v>
      </c>
      <c r="D925" s="59" t="s">
        <v>2720</v>
      </c>
      <c r="E925" s="59" t="s">
        <v>2721</v>
      </c>
      <c r="F925" s="59" t="s">
        <v>555</v>
      </c>
      <c r="G925" s="59" t="s">
        <v>2722</v>
      </c>
      <c r="I925" s="59" t="s">
        <v>748</v>
      </c>
    </row>
    <row r="926" spans="1:9" ht="11.25" customHeight="1">
      <c r="A926" s="59" t="s">
        <v>2162</v>
      </c>
      <c r="B926" s="59" t="s">
        <v>14</v>
      </c>
      <c r="C926" s="59" t="s">
        <v>2744</v>
      </c>
      <c r="D926" s="59" t="s">
        <v>2745</v>
      </c>
      <c r="E926" s="59" t="s">
        <v>2746</v>
      </c>
      <c r="F926" s="59" t="s">
        <v>2308</v>
      </c>
      <c r="I926" s="59" t="s">
        <v>748</v>
      </c>
    </row>
    <row r="927" spans="1:9" ht="11.25" customHeight="1">
      <c r="A927" s="59" t="s">
        <v>2162</v>
      </c>
      <c r="B927" s="59" t="s">
        <v>14</v>
      </c>
      <c r="C927" s="59" t="s">
        <v>2747</v>
      </c>
      <c r="D927" s="59" t="s">
        <v>2748</v>
      </c>
      <c r="E927" s="59" t="s">
        <v>2749</v>
      </c>
      <c r="F927" s="59" t="s">
        <v>2750</v>
      </c>
      <c r="I927" s="59" t="s">
        <v>748</v>
      </c>
    </row>
    <row r="928" spans="1:9" ht="11.25" customHeight="1">
      <c r="A928" s="59" t="s">
        <v>2162</v>
      </c>
      <c r="B928" s="59" t="s">
        <v>14</v>
      </c>
      <c r="C928" s="59" t="s">
        <v>4318</v>
      </c>
      <c r="D928" s="59" t="s">
        <v>4319</v>
      </c>
      <c r="E928" s="59" t="s">
        <v>4320</v>
      </c>
      <c r="F928" s="59" t="s">
        <v>2750</v>
      </c>
      <c r="I928" s="59" t="s">
        <v>748</v>
      </c>
    </row>
    <row r="929" spans="1:9" ht="11.25" customHeight="1">
      <c r="A929" s="59" t="s">
        <v>2162</v>
      </c>
      <c r="B929" s="59" t="s">
        <v>14</v>
      </c>
      <c r="C929" s="59" t="s">
        <v>4321</v>
      </c>
      <c r="D929" s="59" t="s">
        <v>4322</v>
      </c>
      <c r="E929" s="59" t="s">
        <v>4323</v>
      </c>
      <c r="F929" s="59" t="s">
        <v>3154</v>
      </c>
      <c r="I929" s="59" t="s">
        <v>748</v>
      </c>
    </row>
    <row r="930" spans="1:9" ht="11.25" customHeight="1">
      <c r="A930" s="59" t="s">
        <v>2162</v>
      </c>
      <c r="B930" s="59" t="s">
        <v>14</v>
      </c>
      <c r="C930" s="59" t="s">
        <v>2754</v>
      </c>
      <c r="D930" s="59" t="s">
        <v>2755</v>
      </c>
      <c r="E930" s="59" t="s">
        <v>2756</v>
      </c>
      <c r="F930" s="59" t="s">
        <v>2486</v>
      </c>
      <c r="I930" s="59" t="s">
        <v>748</v>
      </c>
    </row>
    <row r="931" spans="1:9" ht="11.25" customHeight="1">
      <c r="A931" s="59" t="s">
        <v>2162</v>
      </c>
      <c r="B931" s="59" t="s">
        <v>14</v>
      </c>
      <c r="C931" s="59" t="s">
        <v>4324</v>
      </c>
      <c r="D931" s="59" t="s">
        <v>4325</v>
      </c>
      <c r="E931" s="59" t="s">
        <v>4326</v>
      </c>
      <c r="F931" s="59" t="s">
        <v>2486</v>
      </c>
      <c r="I931" s="59" t="s">
        <v>748</v>
      </c>
    </row>
    <row r="932" spans="1:9" ht="11.25" customHeight="1">
      <c r="A932" s="59" t="s">
        <v>2162</v>
      </c>
      <c r="B932" s="59" t="s">
        <v>14</v>
      </c>
      <c r="C932" s="59" t="s">
        <v>4327</v>
      </c>
      <c r="D932" s="59" t="s">
        <v>4328</v>
      </c>
      <c r="E932" s="59" t="s">
        <v>4329</v>
      </c>
      <c r="F932" s="59" t="s">
        <v>2266</v>
      </c>
      <c r="I932" s="59" t="s">
        <v>748</v>
      </c>
    </row>
    <row r="933" spans="1:9" ht="11.25" customHeight="1">
      <c r="A933" s="59" t="s">
        <v>2162</v>
      </c>
      <c r="B933" s="59" t="s">
        <v>14</v>
      </c>
      <c r="C933" s="59" t="s">
        <v>4330</v>
      </c>
      <c r="D933" s="59" t="s">
        <v>4331</v>
      </c>
      <c r="E933" s="59" t="s">
        <v>4332</v>
      </c>
      <c r="F933" s="59" t="s">
        <v>2257</v>
      </c>
      <c r="I933" s="59" t="s">
        <v>748</v>
      </c>
    </row>
    <row r="934" spans="1:9" ht="11.25" customHeight="1">
      <c r="A934" s="59" t="s">
        <v>2162</v>
      </c>
      <c r="B934" s="59" t="s">
        <v>14</v>
      </c>
      <c r="C934" s="59" t="s">
        <v>4333</v>
      </c>
      <c r="D934" s="59" t="s">
        <v>4334</v>
      </c>
      <c r="E934" s="59" t="s">
        <v>4335</v>
      </c>
      <c r="F934" s="59" t="s">
        <v>2266</v>
      </c>
      <c r="I934" s="59" t="s">
        <v>748</v>
      </c>
    </row>
    <row r="935" spans="1:9" ht="11.25" customHeight="1">
      <c r="A935" s="59" t="s">
        <v>2162</v>
      </c>
      <c r="B935" s="59" t="s">
        <v>14</v>
      </c>
      <c r="C935" s="59" t="s">
        <v>4336</v>
      </c>
      <c r="D935" s="59" t="s">
        <v>4337</v>
      </c>
      <c r="E935" s="59" t="s">
        <v>4338</v>
      </c>
      <c r="F935" s="59" t="s">
        <v>2775</v>
      </c>
      <c r="I935" s="59" t="s">
        <v>748</v>
      </c>
    </row>
    <row r="936" spans="1:9" ht="11.25" customHeight="1">
      <c r="A936" s="59" t="s">
        <v>2162</v>
      </c>
      <c r="B936" s="59" t="s">
        <v>14</v>
      </c>
      <c r="C936" s="59" t="s">
        <v>2757</v>
      </c>
      <c r="D936" s="59" t="s">
        <v>2758</v>
      </c>
      <c r="E936" s="59" t="s">
        <v>2759</v>
      </c>
      <c r="F936" s="59" t="s">
        <v>2202</v>
      </c>
      <c r="I936" s="59" t="s">
        <v>748</v>
      </c>
    </row>
    <row r="937" spans="1:9" ht="11.25" customHeight="1">
      <c r="A937" s="59" t="s">
        <v>2162</v>
      </c>
      <c r="B937" s="59" t="s">
        <v>14</v>
      </c>
      <c r="C937" s="59" t="s">
        <v>4339</v>
      </c>
      <c r="D937" s="59" t="s">
        <v>4340</v>
      </c>
      <c r="E937" s="59" t="s">
        <v>4341</v>
      </c>
      <c r="F937" s="59" t="s">
        <v>2592</v>
      </c>
      <c r="I937" s="59" t="s">
        <v>748</v>
      </c>
    </row>
    <row r="938" spans="1:9" ht="11.25" customHeight="1">
      <c r="A938" s="59" t="s">
        <v>2162</v>
      </c>
      <c r="B938" s="59" t="s">
        <v>14</v>
      </c>
      <c r="C938" s="59" t="s">
        <v>4342</v>
      </c>
      <c r="D938" s="59" t="s">
        <v>4343</v>
      </c>
      <c r="E938" s="59" t="s">
        <v>4344</v>
      </c>
      <c r="F938" s="59" t="s">
        <v>2261</v>
      </c>
      <c r="I938" s="59" t="s">
        <v>748</v>
      </c>
    </row>
    <row r="939" spans="1:9" ht="11.25" customHeight="1">
      <c r="A939" s="59" t="s">
        <v>2162</v>
      </c>
      <c r="B939" s="59" t="s">
        <v>14</v>
      </c>
      <c r="C939" s="59" t="s">
        <v>2766</v>
      </c>
      <c r="D939" s="59" t="s">
        <v>2767</v>
      </c>
      <c r="E939" s="59" t="s">
        <v>2768</v>
      </c>
      <c r="F939" s="59" t="s">
        <v>2202</v>
      </c>
      <c r="I939" s="59" t="s">
        <v>748</v>
      </c>
    </row>
    <row r="940" spans="1:9" ht="11.25" customHeight="1">
      <c r="A940" s="59" t="s">
        <v>2162</v>
      </c>
      <c r="B940" s="59" t="s">
        <v>14</v>
      </c>
      <c r="C940" s="59" t="s">
        <v>2769</v>
      </c>
      <c r="D940" s="59" t="s">
        <v>2770</v>
      </c>
      <c r="E940" s="59" t="s">
        <v>2771</v>
      </c>
      <c r="F940" s="59" t="s">
        <v>2202</v>
      </c>
      <c r="I940" s="59" t="s">
        <v>748</v>
      </c>
    </row>
    <row r="941" spans="1:9" ht="11.25" customHeight="1">
      <c r="A941" s="59" t="s">
        <v>2162</v>
      </c>
      <c r="B941" s="59" t="s">
        <v>14</v>
      </c>
      <c r="C941" s="59" t="s">
        <v>4345</v>
      </c>
      <c r="D941" s="59" t="s">
        <v>4346</v>
      </c>
      <c r="E941" s="59" t="s">
        <v>4347</v>
      </c>
      <c r="F941" s="59" t="s">
        <v>2202</v>
      </c>
      <c r="I941" s="59" t="s">
        <v>748</v>
      </c>
    </row>
    <row r="942" spans="1:9" ht="11.25" customHeight="1">
      <c r="A942" s="59" t="s">
        <v>2162</v>
      </c>
      <c r="B942" s="59" t="s">
        <v>14</v>
      </c>
      <c r="C942" s="59" t="s">
        <v>4348</v>
      </c>
      <c r="D942" s="59" t="s">
        <v>4349</v>
      </c>
      <c r="E942" s="59" t="s">
        <v>4350</v>
      </c>
      <c r="F942" s="59" t="s">
        <v>2261</v>
      </c>
      <c r="I942" s="59" t="s">
        <v>748</v>
      </c>
    </row>
    <row r="943" spans="1:9" ht="11.25" customHeight="1">
      <c r="A943" s="59" t="s">
        <v>2162</v>
      </c>
      <c r="B943" s="59" t="s">
        <v>14</v>
      </c>
      <c r="C943" s="59" t="s">
        <v>4351</v>
      </c>
      <c r="D943" s="59" t="s">
        <v>4352</v>
      </c>
      <c r="E943" s="59" t="s">
        <v>4353</v>
      </c>
      <c r="F943" s="59" t="s">
        <v>2261</v>
      </c>
      <c r="I943" s="59" t="s">
        <v>748</v>
      </c>
    </row>
    <row r="944" spans="1:9" ht="11.25" customHeight="1">
      <c r="A944" s="59" t="s">
        <v>2162</v>
      </c>
      <c r="B944" s="59" t="s">
        <v>14</v>
      </c>
      <c r="C944" s="59" t="s">
        <v>2782</v>
      </c>
      <c r="D944" s="59" t="s">
        <v>2783</v>
      </c>
      <c r="E944" s="59" t="s">
        <v>2784</v>
      </c>
      <c r="F944" s="59" t="s">
        <v>2775</v>
      </c>
      <c r="I944" s="59" t="s">
        <v>748</v>
      </c>
    </row>
    <row r="945" spans="1:9" ht="11.25" customHeight="1">
      <c r="A945" s="59" t="s">
        <v>2162</v>
      </c>
      <c r="B945" s="59" t="s">
        <v>14</v>
      </c>
      <c r="C945" s="59" t="s">
        <v>2785</v>
      </c>
      <c r="D945" s="59" t="s">
        <v>2786</v>
      </c>
      <c r="E945" s="59" t="s">
        <v>2787</v>
      </c>
      <c r="F945" s="59" t="s">
        <v>2266</v>
      </c>
      <c r="I945" s="59" t="s">
        <v>748</v>
      </c>
    </row>
    <row r="946" spans="1:9" ht="11.25" customHeight="1">
      <c r="A946" s="59" t="s">
        <v>2162</v>
      </c>
      <c r="B946" s="59" t="s">
        <v>14</v>
      </c>
      <c r="C946" s="59" t="s">
        <v>4354</v>
      </c>
      <c r="D946" s="59" t="s">
        <v>4355</v>
      </c>
      <c r="E946" s="59" t="s">
        <v>4356</v>
      </c>
      <c r="F946" s="59" t="s">
        <v>2486</v>
      </c>
      <c r="I946" s="59" t="s">
        <v>748</v>
      </c>
    </row>
    <row r="947" spans="1:9" ht="11.25" customHeight="1">
      <c r="A947" s="59" t="s">
        <v>2162</v>
      </c>
      <c r="B947" s="59" t="s">
        <v>14</v>
      </c>
      <c r="C947" s="59" t="s">
        <v>2788</v>
      </c>
      <c r="D947" s="59" t="s">
        <v>2789</v>
      </c>
      <c r="E947" s="59" t="s">
        <v>2790</v>
      </c>
      <c r="F947" s="59" t="s">
        <v>2636</v>
      </c>
      <c r="G947" s="59" t="s">
        <v>2791</v>
      </c>
      <c r="I947" s="59" t="s">
        <v>748</v>
      </c>
    </row>
    <row r="948" spans="1:9" ht="11.25" customHeight="1">
      <c r="A948" s="59" t="s">
        <v>2162</v>
      </c>
      <c r="B948" s="59" t="s">
        <v>14</v>
      </c>
      <c r="C948" s="59" t="s">
        <v>4357</v>
      </c>
      <c r="D948" s="59" t="s">
        <v>4358</v>
      </c>
      <c r="E948" s="59" t="s">
        <v>4359</v>
      </c>
      <c r="F948" s="59" t="s">
        <v>2486</v>
      </c>
      <c r="I948" s="59" t="s">
        <v>748</v>
      </c>
    </row>
    <row r="949" spans="1:9" ht="11.25" customHeight="1">
      <c r="A949" s="59" t="s">
        <v>2162</v>
      </c>
      <c r="B949" s="59" t="s">
        <v>14</v>
      </c>
      <c r="C949" s="59" t="s">
        <v>4360</v>
      </c>
      <c r="D949" s="59" t="s">
        <v>4361</v>
      </c>
      <c r="E949" s="59" t="s">
        <v>4362</v>
      </c>
      <c r="F949" s="59" t="s">
        <v>2248</v>
      </c>
      <c r="I949" s="59" t="s">
        <v>748</v>
      </c>
    </row>
    <row r="950" spans="1:9" ht="11.25" customHeight="1">
      <c r="A950" s="59" t="s">
        <v>2162</v>
      </c>
      <c r="B950" s="59" t="s">
        <v>14</v>
      </c>
      <c r="C950" s="59" t="s">
        <v>2795</v>
      </c>
      <c r="D950" s="59" t="s">
        <v>2796</v>
      </c>
      <c r="E950" s="59" t="s">
        <v>2797</v>
      </c>
      <c r="F950" s="59" t="s">
        <v>2478</v>
      </c>
      <c r="I950" s="59" t="s">
        <v>748</v>
      </c>
    </row>
    <row r="951" spans="1:9" ht="11.25" customHeight="1">
      <c r="A951" s="59" t="s">
        <v>2162</v>
      </c>
      <c r="B951" s="59" t="s">
        <v>14</v>
      </c>
      <c r="C951" s="59" t="s">
        <v>4363</v>
      </c>
      <c r="D951" s="59" t="s">
        <v>4364</v>
      </c>
      <c r="E951" s="59" t="s">
        <v>4365</v>
      </c>
      <c r="F951" s="59" t="s">
        <v>2257</v>
      </c>
      <c r="I951" s="59" t="s">
        <v>748</v>
      </c>
    </row>
    <row r="952" spans="1:9" ht="11.25" customHeight="1">
      <c r="A952" s="59" t="s">
        <v>2162</v>
      </c>
      <c r="B952" s="59" t="s">
        <v>14</v>
      </c>
      <c r="C952" s="59" t="s">
        <v>4366</v>
      </c>
      <c r="D952" s="59" t="s">
        <v>4367</v>
      </c>
      <c r="E952" s="59" t="s">
        <v>4368</v>
      </c>
      <c r="F952" s="59" t="s">
        <v>3154</v>
      </c>
      <c r="I952" s="59" t="s">
        <v>748</v>
      </c>
    </row>
    <row r="953" spans="1:9" ht="11.25" customHeight="1">
      <c r="A953" s="59" t="s">
        <v>2162</v>
      </c>
      <c r="B953" s="59" t="s">
        <v>14</v>
      </c>
      <c r="C953" s="59" t="s">
        <v>4369</v>
      </c>
      <c r="D953" s="59" t="s">
        <v>4370</v>
      </c>
      <c r="E953" s="59" t="s">
        <v>4371</v>
      </c>
      <c r="F953" s="59" t="s">
        <v>2775</v>
      </c>
      <c r="I953" s="59" t="s">
        <v>748</v>
      </c>
    </row>
    <row r="954" spans="1:9" ht="11.25" customHeight="1">
      <c r="A954" s="59" t="s">
        <v>2162</v>
      </c>
      <c r="B954" s="59" t="s">
        <v>14</v>
      </c>
      <c r="C954" s="59" t="s">
        <v>4372</v>
      </c>
      <c r="D954" s="59" t="s">
        <v>4373</v>
      </c>
      <c r="E954" s="59" t="s">
        <v>4374</v>
      </c>
      <c r="F954" s="59" t="s">
        <v>2193</v>
      </c>
      <c r="I954" s="59" t="s">
        <v>748</v>
      </c>
    </row>
    <row r="955" spans="1:9" ht="11.25" customHeight="1">
      <c r="A955" s="59" t="s">
        <v>2162</v>
      </c>
      <c r="B955" s="59" t="s">
        <v>14</v>
      </c>
      <c r="C955" s="59" t="s">
        <v>4375</v>
      </c>
      <c r="D955" s="59" t="s">
        <v>4376</v>
      </c>
      <c r="E955" s="59" t="s">
        <v>4377</v>
      </c>
      <c r="F955" s="59" t="s">
        <v>2266</v>
      </c>
      <c r="I955" s="59" t="s">
        <v>748</v>
      </c>
    </row>
    <row r="956" spans="1:9" ht="11.25" customHeight="1">
      <c r="A956" s="59" t="s">
        <v>2162</v>
      </c>
      <c r="B956" s="59" t="s">
        <v>14</v>
      </c>
      <c r="C956" s="59" t="s">
        <v>2798</v>
      </c>
      <c r="D956" s="59" t="s">
        <v>2799</v>
      </c>
      <c r="E956" s="59" t="s">
        <v>2800</v>
      </c>
      <c r="F956" s="59" t="s">
        <v>2193</v>
      </c>
      <c r="I956" s="59" t="s">
        <v>748</v>
      </c>
    </row>
    <row r="957" spans="1:9" ht="11.25" customHeight="1">
      <c r="A957" s="59" t="s">
        <v>2162</v>
      </c>
      <c r="B957" s="59" t="s">
        <v>14</v>
      </c>
      <c r="C957" s="59" t="s">
        <v>4378</v>
      </c>
      <c r="D957" s="59" t="s">
        <v>4379</v>
      </c>
      <c r="E957" s="59" t="s">
        <v>4380</v>
      </c>
      <c r="F957" s="59" t="s">
        <v>2228</v>
      </c>
      <c r="I957" s="59" t="s">
        <v>748</v>
      </c>
    </row>
    <row r="958" spans="1:9" ht="11.25" customHeight="1">
      <c r="A958" s="59" t="s">
        <v>2162</v>
      </c>
      <c r="B958" s="59" t="s">
        <v>14</v>
      </c>
      <c r="C958" s="59" t="s">
        <v>4381</v>
      </c>
      <c r="D958" s="59" t="s">
        <v>4382</v>
      </c>
      <c r="E958" s="59" t="s">
        <v>4383</v>
      </c>
      <c r="F958" s="59" t="s">
        <v>2202</v>
      </c>
      <c r="I958" s="59" t="s">
        <v>748</v>
      </c>
    </row>
    <row r="959" spans="1:9" ht="11.25" customHeight="1">
      <c r="A959" s="59" t="s">
        <v>2162</v>
      </c>
      <c r="B959" s="59" t="s">
        <v>14</v>
      </c>
      <c r="C959" s="59" t="s">
        <v>2805</v>
      </c>
      <c r="D959" s="59" t="s">
        <v>2806</v>
      </c>
      <c r="E959" s="59" t="s">
        <v>2807</v>
      </c>
      <c r="F959" s="59" t="s">
        <v>2808</v>
      </c>
      <c r="I959" s="59" t="s">
        <v>748</v>
      </c>
    </row>
    <row r="960" spans="1:9" ht="11.25" customHeight="1">
      <c r="A960" s="59" t="s">
        <v>2162</v>
      </c>
      <c r="B960" s="59" t="s">
        <v>14</v>
      </c>
      <c r="C960" s="59" t="s">
        <v>2817</v>
      </c>
      <c r="D960" s="59" t="s">
        <v>2818</v>
      </c>
      <c r="E960" s="59" t="s">
        <v>2819</v>
      </c>
      <c r="F960" s="59" t="s">
        <v>2592</v>
      </c>
      <c r="G960" s="59" t="s">
        <v>2820</v>
      </c>
      <c r="I960" s="59" t="s">
        <v>748</v>
      </c>
    </row>
    <row r="961" spans="1:9" ht="11.25" customHeight="1">
      <c r="A961" s="59" t="s">
        <v>2162</v>
      </c>
      <c r="B961" s="59" t="s">
        <v>14</v>
      </c>
      <c r="C961" s="59" t="s">
        <v>2821</v>
      </c>
      <c r="D961" s="59" t="s">
        <v>2822</v>
      </c>
      <c r="E961" s="59" t="s">
        <v>2823</v>
      </c>
      <c r="F961" s="59" t="s">
        <v>2592</v>
      </c>
      <c r="G961" s="59" t="s">
        <v>2824</v>
      </c>
      <c r="I961" s="59" t="s">
        <v>748</v>
      </c>
    </row>
    <row r="962" spans="1:9" ht="11.25" customHeight="1">
      <c r="A962" s="59" t="s">
        <v>2162</v>
      </c>
      <c r="B962" s="59" t="s">
        <v>14</v>
      </c>
      <c r="C962" s="59" t="s">
        <v>2825</v>
      </c>
      <c r="D962" s="59" t="s">
        <v>2826</v>
      </c>
      <c r="E962" s="59" t="s">
        <v>2827</v>
      </c>
      <c r="F962" s="59" t="s">
        <v>2592</v>
      </c>
      <c r="G962" s="59" t="s">
        <v>2828</v>
      </c>
      <c r="I962" s="59" t="s">
        <v>748</v>
      </c>
    </row>
    <row r="963" spans="1:9" ht="11.25" customHeight="1">
      <c r="A963" s="59" t="s">
        <v>2162</v>
      </c>
      <c r="B963" s="59" t="s">
        <v>14</v>
      </c>
      <c r="C963" s="59" t="s">
        <v>2829</v>
      </c>
      <c r="D963" s="59" t="s">
        <v>2830</v>
      </c>
      <c r="E963" s="59" t="s">
        <v>2831</v>
      </c>
      <c r="F963" s="59" t="s">
        <v>2592</v>
      </c>
      <c r="G963" s="59" t="s">
        <v>2832</v>
      </c>
      <c r="I963" s="59" t="s">
        <v>748</v>
      </c>
    </row>
    <row r="964" spans="1:9" ht="11.25" customHeight="1">
      <c r="A964" s="59" t="s">
        <v>2162</v>
      </c>
      <c r="B964" s="59" t="s">
        <v>14</v>
      </c>
      <c r="C964" s="59" t="s">
        <v>2833</v>
      </c>
      <c r="D964" s="59" t="s">
        <v>2834</v>
      </c>
      <c r="E964" s="59" t="s">
        <v>2835</v>
      </c>
      <c r="F964" s="59" t="s">
        <v>2592</v>
      </c>
      <c r="I964" s="59" t="s">
        <v>748</v>
      </c>
    </row>
    <row r="965" spans="1:9" ht="11.25" customHeight="1">
      <c r="A965" s="59" t="s">
        <v>2162</v>
      </c>
      <c r="B965" s="59" t="s">
        <v>14</v>
      </c>
      <c r="C965" s="59" t="s">
        <v>2845</v>
      </c>
      <c r="D965" s="59" t="s">
        <v>2846</v>
      </c>
      <c r="E965" s="59" t="s">
        <v>2847</v>
      </c>
      <c r="F965" s="59" t="s">
        <v>2775</v>
      </c>
      <c r="G965" s="59" t="s">
        <v>2848</v>
      </c>
      <c r="I965" s="59" t="s">
        <v>748</v>
      </c>
    </row>
    <row r="966" spans="1:9" ht="11.25" customHeight="1">
      <c r="A966" s="59" t="s">
        <v>2162</v>
      </c>
      <c r="B966" s="59" t="s">
        <v>14</v>
      </c>
      <c r="C966" s="59" t="s">
        <v>4384</v>
      </c>
      <c r="D966" s="59" t="s">
        <v>4385</v>
      </c>
      <c r="E966" s="59" t="s">
        <v>4386</v>
      </c>
      <c r="F966" s="59" t="s">
        <v>2308</v>
      </c>
      <c r="I966" s="59" t="s">
        <v>748</v>
      </c>
    </row>
    <row r="967" spans="1:9" ht="11.25" customHeight="1">
      <c r="A967" s="59" t="s">
        <v>2162</v>
      </c>
      <c r="B967" s="59" t="s">
        <v>14</v>
      </c>
      <c r="C967" s="59" t="s">
        <v>2849</v>
      </c>
      <c r="D967" s="59" t="s">
        <v>2850</v>
      </c>
      <c r="E967" s="59" t="s">
        <v>2851</v>
      </c>
      <c r="F967" s="59" t="s">
        <v>2775</v>
      </c>
      <c r="I967" s="59" t="s">
        <v>748</v>
      </c>
    </row>
    <row r="968" spans="1:9" ht="11.25" customHeight="1">
      <c r="A968" s="59" t="s">
        <v>2162</v>
      </c>
      <c r="B968" s="59" t="s">
        <v>14</v>
      </c>
      <c r="C968" s="59" t="s">
        <v>4387</v>
      </c>
      <c r="D968" s="59" t="s">
        <v>4388</v>
      </c>
      <c r="E968" s="59" t="s">
        <v>4389</v>
      </c>
      <c r="F968" s="59" t="s">
        <v>2592</v>
      </c>
      <c r="I968" s="59" t="s">
        <v>748</v>
      </c>
    </row>
    <row r="969" spans="1:9" ht="11.25" customHeight="1">
      <c r="A969" s="59" t="s">
        <v>2162</v>
      </c>
      <c r="B969" s="59" t="s">
        <v>14</v>
      </c>
      <c r="C969" s="59" t="s">
        <v>2852</v>
      </c>
      <c r="D969" s="59" t="s">
        <v>2853</v>
      </c>
      <c r="E969" s="59" t="s">
        <v>2854</v>
      </c>
      <c r="F969" s="59" t="s">
        <v>2166</v>
      </c>
      <c r="G969" s="59" t="s">
        <v>2855</v>
      </c>
      <c r="I969" s="59" t="s">
        <v>748</v>
      </c>
    </row>
    <row r="970" spans="1:9" ht="11.25" customHeight="1">
      <c r="A970" s="59" t="s">
        <v>2162</v>
      </c>
      <c r="B970" s="59" t="s">
        <v>14</v>
      </c>
      <c r="C970" s="59" t="s">
        <v>4390</v>
      </c>
      <c r="D970" s="59" t="s">
        <v>4391</v>
      </c>
      <c r="E970" s="59" t="s">
        <v>4392</v>
      </c>
      <c r="F970" s="59" t="s">
        <v>2486</v>
      </c>
      <c r="I970" s="59" t="s">
        <v>748</v>
      </c>
    </row>
    <row r="971" spans="1:9" ht="11.25" customHeight="1">
      <c r="A971" s="59" t="s">
        <v>2162</v>
      </c>
      <c r="B971" s="59" t="s">
        <v>14</v>
      </c>
      <c r="C971" s="59" t="s">
        <v>4393</v>
      </c>
      <c r="D971" s="59" t="s">
        <v>4394</v>
      </c>
      <c r="E971" s="59" t="s">
        <v>4395</v>
      </c>
      <c r="F971" s="59" t="s">
        <v>2808</v>
      </c>
      <c r="G971" s="59" t="s">
        <v>4396</v>
      </c>
      <c r="I971" s="59" t="s">
        <v>748</v>
      </c>
    </row>
    <row r="972" spans="1:9" ht="11.25" customHeight="1">
      <c r="A972" s="59" t="s">
        <v>2162</v>
      </c>
      <c r="B972" s="59" t="s">
        <v>14</v>
      </c>
      <c r="C972" s="59" t="s">
        <v>4397</v>
      </c>
      <c r="D972" s="59" t="s">
        <v>4398</v>
      </c>
      <c r="E972" s="59" t="s">
        <v>4399</v>
      </c>
      <c r="F972" s="59" t="s">
        <v>2228</v>
      </c>
      <c r="G972" s="59" t="s">
        <v>2992</v>
      </c>
      <c r="H972" s="59" t="s">
        <v>4400</v>
      </c>
      <c r="I972" s="59" t="s">
        <v>748</v>
      </c>
    </row>
    <row r="973" spans="1:9" ht="11.25" customHeight="1">
      <c r="A973" s="59" t="s">
        <v>2162</v>
      </c>
      <c r="B973" s="59" t="s">
        <v>14</v>
      </c>
      <c r="C973" s="59" t="s">
        <v>4401</v>
      </c>
      <c r="D973" s="59" t="s">
        <v>4402</v>
      </c>
      <c r="E973" s="59" t="s">
        <v>4403</v>
      </c>
      <c r="F973" s="59" t="s">
        <v>2664</v>
      </c>
      <c r="H973" s="59" t="s">
        <v>4404</v>
      </c>
      <c r="I973" s="59" t="s">
        <v>748</v>
      </c>
    </row>
    <row r="974" spans="1:9" ht="11.25" customHeight="1">
      <c r="A974" s="59" t="s">
        <v>2162</v>
      </c>
      <c r="B974" s="59" t="s">
        <v>14</v>
      </c>
      <c r="C974" s="59" t="s">
        <v>4405</v>
      </c>
      <c r="D974" s="59" t="s">
        <v>4406</v>
      </c>
      <c r="E974" s="59" t="s">
        <v>4407</v>
      </c>
      <c r="F974" s="59" t="s">
        <v>3154</v>
      </c>
      <c r="I974" s="59" t="s">
        <v>748</v>
      </c>
    </row>
    <row r="975" spans="1:9" ht="11.25" customHeight="1">
      <c r="A975" s="59" t="s">
        <v>2162</v>
      </c>
      <c r="B975" s="59" t="s">
        <v>14</v>
      </c>
      <c r="C975" s="59" t="s">
        <v>4408</v>
      </c>
      <c r="D975" s="59" t="s">
        <v>4409</v>
      </c>
      <c r="E975" s="59" t="s">
        <v>4410</v>
      </c>
      <c r="F975" s="59" t="s">
        <v>2248</v>
      </c>
      <c r="G975" s="59" t="s">
        <v>4411</v>
      </c>
      <c r="I975" s="59" t="s">
        <v>748</v>
      </c>
    </row>
    <row r="976" spans="1:9" ht="11.25" customHeight="1">
      <c r="A976" s="59" t="s">
        <v>2162</v>
      </c>
      <c r="B976" s="59" t="s">
        <v>14</v>
      </c>
      <c r="C976" s="59" t="s">
        <v>2859</v>
      </c>
      <c r="D976" s="59" t="s">
        <v>2860</v>
      </c>
      <c r="E976" s="59" t="s">
        <v>2861</v>
      </c>
      <c r="F976" s="59" t="s">
        <v>2261</v>
      </c>
      <c r="G976" s="59" t="s">
        <v>2862</v>
      </c>
      <c r="I976" s="59" t="s">
        <v>748</v>
      </c>
    </row>
    <row r="977" spans="1:9" ht="11.25" customHeight="1">
      <c r="A977" s="59" t="s">
        <v>2162</v>
      </c>
      <c r="B977" s="59" t="s">
        <v>14</v>
      </c>
      <c r="C977" s="59" t="s">
        <v>2863</v>
      </c>
      <c r="D977" s="59" t="s">
        <v>2864</v>
      </c>
      <c r="E977" s="59" t="s">
        <v>2865</v>
      </c>
      <c r="F977" s="59" t="s">
        <v>2486</v>
      </c>
      <c r="I977" s="59" t="s">
        <v>748</v>
      </c>
    </row>
    <row r="978" spans="1:9" ht="11.25" customHeight="1">
      <c r="A978" s="59" t="s">
        <v>2162</v>
      </c>
      <c r="B978" s="59" t="s">
        <v>14</v>
      </c>
      <c r="C978" s="59" t="s">
        <v>4412</v>
      </c>
      <c r="D978" s="59" t="s">
        <v>4413</v>
      </c>
      <c r="E978" s="59" t="s">
        <v>4414</v>
      </c>
      <c r="F978" s="59" t="s">
        <v>2486</v>
      </c>
      <c r="G978" s="59" t="s">
        <v>4415</v>
      </c>
      <c r="I978" s="59" t="s">
        <v>748</v>
      </c>
    </row>
    <row r="979" spans="1:9" ht="11.25" customHeight="1">
      <c r="A979" s="59" t="s">
        <v>2162</v>
      </c>
      <c r="B979" s="59" t="s">
        <v>14</v>
      </c>
      <c r="C979" s="59" t="s">
        <v>4416</v>
      </c>
      <c r="D979" s="59" t="s">
        <v>4417</v>
      </c>
      <c r="E979" s="59" t="s">
        <v>4418</v>
      </c>
      <c r="F979" s="59" t="s">
        <v>2257</v>
      </c>
      <c r="G979" s="59" t="s">
        <v>4419</v>
      </c>
      <c r="I979" s="59" t="s">
        <v>748</v>
      </c>
    </row>
    <row r="980" spans="1:9" ht="11.25" customHeight="1">
      <c r="A980" s="59" t="s">
        <v>2162</v>
      </c>
      <c r="B980" s="59" t="s">
        <v>14</v>
      </c>
      <c r="C980" s="59" t="s">
        <v>2866</v>
      </c>
      <c r="D980" s="59" t="s">
        <v>2867</v>
      </c>
      <c r="E980" s="59" t="s">
        <v>2868</v>
      </c>
      <c r="F980" s="59" t="s">
        <v>2202</v>
      </c>
      <c r="G980" s="59" t="s">
        <v>2869</v>
      </c>
      <c r="I980" s="59" t="s">
        <v>748</v>
      </c>
    </row>
    <row r="981" spans="1:9" ht="11.25" customHeight="1">
      <c r="A981" s="59" t="s">
        <v>2162</v>
      </c>
      <c r="B981" s="59" t="s">
        <v>14</v>
      </c>
      <c r="C981" s="59" t="s">
        <v>4420</v>
      </c>
      <c r="D981" s="59" t="s">
        <v>4421</v>
      </c>
      <c r="E981" s="59" t="s">
        <v>4422</v>
      </c>
      <c r="F981" s="59" t="s">
        <v>2812</v>
      </c>
      <c r="G981" s="59" t="s">
        <v>4423</v>
      </c>
      <c r="H981" s="59" t="s">
        <v>3295</v>
      </c>
      <c r="I981" s="59" t="s">
        <v>748</v>
      </c>
    </row>
    <row r="982" spans="1:9" ht="11.25" customHeight="1">
      <c r="A982" s="59" t="s">
        <v>2162</v>
      </c>
      <c r="B982" s="59" t="s">
        <v>14</v>
      </c>
      <c r="C982" s="59" t="s">
        <v>2870</v>
      </c>
      <c r="D982" s="59" t="s">
        <v>2871</v>
      </c>
      <c r="E982" s="59" t="s">
        <v>2872</v>
      </c>
      <c r="F982" s="59" t="s">
        <v>2775</v>
      </c>
      <c r="G982" s="59" t="s">
        <v>2873</v>
      </c>
      <c r="I982" s="59" t="s">
        <v>748</v>
      </c>
    </row>
    <row r="983" spans="1:9" ht="11.25" customHeight="1">
      <c r="A983" s="59" t="s">
        <v>2162</v>
      </c>
      <c r="B983" s="59" t="s">
        <v>14</v>
      </c>
      <c r="C983" s="59" t="s">
        <v>2882</v>
      </c>
      <c r="D983" s="59" t="s">
        <v>2883</v>
      </c>
      <c r="E983" s="59" t="s">
        <v>2884</v>
      </c>
      <c r="F983" s="59" t="s">
        <v>2228</v>
      </c>
      <c r="I983" s="59" t="s">
        <v>748</v>
      </c>
    </row>
    <row r="984" spans="1:9" ht="11.25" customHeight="1">
      <c r="A984" s="59" t="s">
        <v>2162</v>
      </c>
      <c r="B984" s="59" t="s">
        <v>14</v>
      </c>
      <c r="C984" s="59" t="s">
        <v>4424</v>
      </c>
      <c r="D984" s="59" t="s">
        <v>4425</v>
      </c>
      <c r="E984" s="59" t="s">
        <v>4426</v>
      </c>
      <c r="F984" s="59" t="s">
        <v>2808</v>
      </c>
      <c r="I984" s="59" t="s">
        <v>748</v>
      </c>
    </row>
    <row r="985" spans="1:9" ht="11.25" customHeight="1">
      <c r="A985" s="59" t="s">
        <v>2162</v>
      </c>
      <c r="B985" s="59" t="s">
        <v>14</v>
      </c>
      <c r="C985" s="59" t="s">
        <v>2885</v>
      </c>
      <c r="D985" s="59" t="s">
        <v>2886</v>
      </c>
      <c r="E985" s="59" t="s">
        <v>2887</v>
      </c>
      <c r="F985" s="59" t="s">
        <v>2193</v>
      </c>
      <c r="I985" s="59" t="s">
        <v>748</v>
      </c>
    </row>
    <row r="986" spans="1:9" ht="11.25" customHeight="1">
      <c r="A986" s="59" t="s">
        <v>2162</v>
      </c>
      <c r="B986" s="59" t="s">
        <v>14</v>
      </c>
      <c r="C986" s="59" t="s">
        <v>2888</v>
      </c>
      <c r="D986" s="59" t="s">
        <v>2889</v>
      </c>
      <c r="E986" s="59" t="s">
        <v>2890</v>
      </c>
      <c r="F986" s="59" t="s">
        <v>2257</v>
      </c>
      <c r="I986" s="59" t="s">
        <v>748</v>
      </c>
    </row>
    <row r="987" spans="1:9" ht="11.25" customHeight="1">
      <c r="A987" s="59" t="s">
        <v>2162</v>
      </c>
      <c r="B987" s="59" t="s">
        <v>14</v>
      </c>
      <c r="C987" s="59" t="s">
        <v>2891</v>
      </c>
      <c r="D987" s="59" t="s">
        <v>2892</v>
      </c>
      <c r="E987" s="59" t="s">
        <v>2893</v>
      </c>
      <c r="F987" s="59" t="s">
        <v>2257</v>
      </c>
      <c r="G987" s="59" t="s">
        <v>2894</v>
      </c>
      <c r="I987" s="59" t="s">
        <v>748</v>
      </c>
    </row>
    <row r="988" spans="1:9" ht="11.25" customHeight="1">
      <c r="A988" s="59" t="s">
        <v>2162</v>
      </c>
      <c r="B988" s="59" t="s">
        <v>14</v>
      </c>
      <c r="C988" s="59" t="s">
        <v>2895</v>
      </c>
      <c r="D988" s="59" t="s">
        <v>2896</v>
      </c>
      <c r="E988" s="59" t="s">
        <v>2897</v>
      </c>
      <c r="F988" s="59" t="s">
        <v>2252</v>
      </c>
      <c r="G988" s="59" t="s">
        <v>2898</v>
      </c>
      <c r="I988" s="59" t="s">
        <v>748</v>
      </c>
    </row>
    <row r="989" spans="1:9" ht="11.25" customHeight="1">
      <c r="A989" s="59" t="s">
        <v>2162</v>
      </c>
      <c r="B989" s="59" t="s">
        <v>14</v>
      </c>
      <c r="C989" s="59" t="s">
        <v>2899</v>
      </c>
      <c r="D989" s="59" t="s">
        <v>2900</v>
      </c>
      <c r="E989" s="59" t="s">
        <v>2901</v>
      </c>
      <c r="F989" s="59" t="s">
        <v>2592</v>
      </c>
      <c r="I989" s="59" t="s">
        <v>748</v>
      </c>
    </row>
    <row r="990" spans="1:9" ht="11.25" customHeight="1">
      <c r="A990" s="59" t="s">
        <v>2162</v>
      </c>
      <c r="B990" s="59" t="s">
        <v>14</v>
      </c>
      <c r="C990" s="59" t="s">
        <v>2902</v>
      </c>
      <c r="D990" s="59" t="s">
        <v>2903</v>
      </c>
      <c r="E990" s="59" t="s">
        <v>2904</v>
      </c>
      <c r="F990" s="59" t="s">
        <v>2257</v>
      </c>
      <c r="I990" s="59" t="s">
        <v>748</v>
      </c>
    </row>
    <row r="991" spans="1:9" ht="11.25" customHeight="1">
      <c r="A991" s="59" t="s">
        <v>2162</v>
      </c>
      <c r="B991" s="59" t="s">
        <v>14</v>
      </c>
      <c r="C991" s="59" t="s">
        <v>2905</v>
      </c>
      <c r="D991" s="59" t="s">
        <v>2906</v>
      </c>
      <c r="E991" s="59" t="s">
        <v>2907</v>
      </c>
      <c r="F991" s="59" t="s">
        <v>2908</v>
      </c>
      <c r="G991" s="59" t="s">
        <v>2909</v>
      </c>
      <c r="I991" s="59" t="s">
        <v>748</v>
      </c>
    </row>
    <row r="992" spans="1:9" ht="11.25" customHeight="1">
      <c r="A992" s="59" t="s">
        <v>2162</v>
      </c>
      <c r="B992" s="59" t="s">
        <v>14</v>
      </c>
      <c r="C992" s="59" t="s">
        <v>2914</v>
      </c>
      <c r="D992" s="59" t="s">
        <v>2915</v>
      </c>
      <c r="E992" s="59" t="s">
        <v>2916</v>
      </c>
      <c r="F992" s="59" t="s">
        <v>2486</v>
      </c>
      <c r="G992" s="59" t="s">
        <v>2917</v>
      </c>
      <c r="I992" s="59" t="s">
        <v>748</v>
      </c>
    </row>
    <row r="993" spans="1:9" ht="11.25" customHeight="1">
      <c r="A993" s="59" t="s">
        <v>2162</v>
      </c>
      <c r="B993" s="59" t="s">
        <v>14</v>
      </c>
      <c r="C993" s="59" t="s">
        <v>2918</v>
      </c>
      <c r="D993" s="59" t="s">
        <v>2919</v>
      </c>
      <c r="E993" s="59" t="s">
        <v>2920</v>
      </c>
      <c r="F993" s="59" t="s">
        <v>2478</v>
      </c>
      <c r="I993" s="59" t="s">
        <v>748</v>
      </c>
    </row>
    <row r="994" spans="1:9" ht="11.25" customHeight="1">
      <c r="A994" s="59" t="s">
        <v>2162</v>
      </c>
      <c r="B994" s="59" t="s">
        <v>14</v>
      </c>
      <c r="C994" s="59" t="s">
        <v>2921</v>
      </c>
      <c r="D994" s="59" t="s">
        <v>2922</v>
      </c>
      <c r="E994" s="59" t="s">
        <v>2923</v>
      </c>
      <c r="F994" s="59" t="s">
        <v>2592</v>
      </c>
      <c r="G994" s="59" t="s">
        <v>2924</v>
      </c>
      <c r="I994" s="59" t="s">
        <v>748</v>
      </c>
    </row>
    <row r="995" spans="1:9" ht="11.25" customHeight="1">
      <c r="A995" s="59" t="s">
        <v>2162</v>
      </c>
      <c r="B995" s="59" t="s">
        <v>14</v>
      </c>
      <c r="C995" s="59" t="s">
        <v>2925</v>
      </c>
      <c r="D995" s="59" t="s">
        <v>2926</v>
      </c>
      <c r="E995" s="59" t="s">
        <v>2927</v>
      </c>
      <c r="F995" s="59" t="s">
        <v>2261</v>
      </c>
      <c r="G995" s="59" t="s">
        <v>2928</v>
      </c>
      <c r="I995" s="59" t="s">
        <v>748</v>
      </c>
    </row>
    <row r="996" spans="1:9" ht="11.25" customHeight="1">
      <c r="A996" s="59" t="s">
        <v>2162</v>
      </c>
      <c r="B996" s="59" t="s">
        <v>14</v>
      </c>
      <c r="C996" s="59" t="s">
        <v>4427</v>
      </c>
      <c r="D996" s="59" t="s">
        <v>4428</v>
      </c>
      <c r="E996" s="59" t="s">
        <v>4429</v>
      </c>
      <c r="F996" s="59" t="s">
        <v>2266</v>
      </c>
      <c r="G996" s="59" t="s">
        <v>4430</v>
      </c>
      <c r="I996" s="59" t="s">
        <v>748</v>
      </c>
    </row>
    <row r="997" spans="1:9" ht="11.25" customHeight="1">
      <c r="A997" s="59" t="s">
        <v>2162</v>
      </c>
      <c r="B997" s="59" t="s">
        <v>14</v>
      </c>
      <c r="C997" s="59" t="s">
        <v>4431</v>
      </c>
      <c r="D997" s="59" t="s">
        <v>4432</v>
      </c>
      <c r="E997" s="59" t="s">
        <v>4433</v>
      </c>
      <c r="F997" s="59" t="s">
        <v>2308</v>
      </c>
      <c r="I997" s="59" t="s">
        <v>748</v>
      </c>
    </row>
    <row r="998" spans="1:9" ht="11.25" customHeight="1">
      <c r="A998" s="59" t="s">
        <v>2162</v>
      </c>
      <c r="B998" s="59" t="s">
        <v>14</v>
      </c>
      <c r="C998" s="59" t="s">
        <v>2929</v>
      </c>
      <c r="D998" s="59" t="s">
        <v>2930</v>
      </c>
      <c r="E998" s="59" t="s">
        <v>2931</v>
      </c>
      <c r="F998" s="59" t="s">
        <v>2193</v>
      </c>
      <c r="I998" s="59" t="s">
        <v>748</v>
      </c>
    </row>
    <row r="999" spans="1:9" ht="11.25" customHeight="1">
      <c r="A999" s="59" t="s">
        <v>2162</v>
      </c>
      <c r="B999" s="59" t="s">
        <v>14</v>
      </c>
      <c r="C999" s="59" t="s">
        <v>2932</v>
      </c>
      <c r="D999" s="59" t="s">
        <v>2933</v>
      </c>
      <c r="E999" s="59" t="s">
        <v>2934</v>
      </c>
      <c r="F999" s="59" t="s">
        <v>2775</v>
      </c>
      <c r="I999" s="59" t="s">
        <v>748</v>
      </c>
    </row>
    <row r="1000" spans="1:9" ht="11.25" customHeight="1">
      <c r="A1000" s="59" t="s">
        <v>2162</v>
      </c>
      <c r="B1000" s="59" t="s">
        <v>14</v>
      </c>
      <c r="C1000" s="59" t="s">
        <v>2935</v>
      </c>
      <c r="D1000" s="59" t="s">
        <v>2936</v>
      </c>
      <c r="E1000" s="59" t="s">
        <v>2937</v>
      </c>
      <c r="F1000" s="59" t="s">
        <v>2938</v>
      </c>
      <c r="I1000" s="59" t="s">
        <v>748</v>
      </c>
    </row>
    <row r="1001" spans="1:9" ht="11.25" customHeight="1">
      <c r="A1001" s="59" t="s">
        <v>2162</v>
      </c>
      <c r="B1001" s="59" t="s">
        <v>14</v>
      </c>
      <c r="C1001" s="59" t="s">
        <v>4434</v>
      </c>
      <c r="D1001" s="59" t="s">
        <v>4435</v>
      </c>
      <c r="E1001" s="59" t="s">
        <v>4436</v>
      </c>
      <c r="F1001" s="59" t="s">
        <v>2202</v>
      </c>
      <c r="G1001" s="59" t="s">
        <v>4437</v>
      </c>
      <c r="I1001" s="59" t="s">
        <v>748</v>
      </c>
    </row>
    <row r="1002" spans="1:9" ht="11.25" customHeight="1">
      <c r="A1002" s="59" t="s">
        <v>2162</v>
      </c>
      <c r="B1002" s="59" t="s">
        <v>14</v>
      </c>
      <c r="C1002" s="59" t="s">
        <v>4438</v>
      </c>
      <c r="D1002" s="59" t="s">
        <v>4439</v>
      </c>
      <c r="E1002" s="59" t="s">
        <v>4440</v>
      </c>
      <c r="F1002" s="59" t="s">
        <v>2664</v>
      </c>
      <c r="I1002" s="59" t="s">
        <v>748</v>
      </c>
    </row>
    <row r="1003" spans="1:9" ht="11.25" customHeight="1">
      <c r="A1003" s="59" t="s">
        <v>2162</v>
      </c>
      <c r="B1003" s="59" t="s">
        <v>14</v>
      </c>
      <c r="C1003" s="59" t="s">
        <v>2943</v>
      </c>
      <c r="D1003" s="59" t="s">
        <v>2944</v>
      </c>
      <c r="E1003" s="59" t="s">
        <v>2945</v>
      </c>
      <c r="F1003" s="59" t="s">
        <v>2261</v>
      </c>
      <c r="G1003" s="59" t="s">
        <v>2946</v>
      </c>
      <c r="I1003" s="59" t="s">
        <v>748</v>
      </c>
    </row>
    <row r="1004" spans="1:9" ht="11.25" customHeight="1">
      <c r="A1004" s="59" t="s">
        <v>2162</v>
      </c>
      <c r="B1004" s="59" t="s">
        <v>14</v>
      </c>
      <c r="C1004" s="59" t="s">
        <v>2951</v>
      </c>
      <c r="D1004" s="59" t="s">
        <v>2952</v>
      </c>
      <c r="E1004" s="59" t="s">
        <v>2953</v>
      </c>
      <c r="F1004" s="59" t="s">
        <v>2202</v>
      </c>
      <c r="G1004" s="59" t="s">
        <v>2954</v>
      </c>
      <c r="I1004" s="59" t="s">
        <v>748</v>
      </c>
    </row>
    <row r="1005" spans="1:9" ht="11.25" customHeight="1">
      <c r="A1005" s="59" t="s">
        <v>2162</v>
      </c>
      <c r="B1005" s="59" t="s">
        <v>14</v>
      </c>
      <c r="C1005" s="59" t="s">
        <v>2955</v>
      </c>
      <c r="D1005" s="59" t="s">
        <v>2956</v>
      </c>
      <c r="E1005" s="59" t="s">
        <v>2957</v>
      </c>
      <c r="F1005" s="59" t="s">
        <v>2193</v>
      </c>
      <c r="G1005" s="59" t="s">
        <v>2958</v>
      </c>
      <c r="I1005" s="59" t="s">
        <v>748</v>
      </c>
    </row>
    <row r="1006" spans="1:9" ht="11.25" customHeight="1">
      <c r="A1006" s="59" t="s">
        <v>2162</v>
      </c>
      <c r="B1006" s="59" t="s">
        <v>14</v>
      </c>
      <c r="C1006" s="59" t="s">
        <v>2959</v>
      </c>
      <c r="D1006" s="59" t="s">
        <v>2960</v>
      </c>
      <c r="E1006" s="59" t="s">
        <v>2961</v>
      </c>
      <c r="F1006" s="59" t="s">
        <v>2193</v>
      </c>
      <c r="G1006" s="59" t="s">
        <v>2913</v>
      </c>
      <c r="I1006" s="59" t="s">
        <v>748</v>
      </c>
    </row>
    <row r="1007" spans="1:9" ht="11.25" customHeight="1">
      <c r="A1007" s="59" t="s">
        <v>2162</v>
      </c>
      <c r="B1007" s="59" t="s">
        <v>14</v>
      </c>
      <c r="C1007" s="59" t="s">
        <v>2966</v>
      </c>
      <c r="D1007" s="59" t="s">
        <v>2967</v>
      </c>
      <c r="E1007" s="59" t="s">
        <v>2968</v>
      </c>
      <c r="F1007" s="59" t="s">
        <v>2202</v>
      </c>
      <c r="I1007" s="59" t="s">
        <v>748</v>
      </c>
    </row>
    <row r="1008" spans="1:9" ht="11.25" customHeight="1">
      <c r="A1008" s="59" t="s">
        <v>2162</v>
      </c>
      <c r="B1008" s="59" t="s">
        <v>14</v>
      </c>
      <c r="C1008" s="59" t="s">
        <v>4441</v>
      </c>
      <c r="D1008" s="59" t="s">
        <v>4442</v>
      </c>
      <c r="E1008" s="59" t="s">
        <v>4443</v>
      </c>
      <c r="F1008" s="59" t="s">
        <v>2486</v>
      </c>
      <c r="G1008" s="59" t="s">
        <v>4444</v>
      </c>
      <c r="H1008" s="59" t="s">
        <v>4445</v>
      </c>
      <c r="I1008" s="59" t="s">
        <v>748</v>
      </c>
    </row>
    <row r="1009" spans="1:9" ht="11.25" customHeight="1">
      <c r="A1009" s="59" t="s">
        <v>2162</v>
      </c>
      <c r="B1009" s="59" t="s">
        <v>14</v>
      </c>
      <c r="C1009" s="59" t="s">
        <v>2969</v>
      </c>
      <c r="D1009" s="59" t="s">
        <v>2970</v>
      </c>
      <c r="E1009" s="59" t="s">
        <v>2971</v>
      </c>
      <c r="F1009" s="59" t="s">
        <v>2261</v>
      </c>
      <c r="G1009" s="59" t="s">
        <v>2972</v>
      </c>
      <c r="I1009" s="59" t="s">
        <v>748</v>
      </c>
    </row>
    <row r="1010" spans="1:9" ht="11.25" customHeight="1">
      <c r="A1010" s="59" t="s">
        <v>2162</v>
      </c>
      <c r="B1010" s="59" t="s">
        <v>14</v>
      </c>
      <c r="C1010" s="59" t="s">
        <v>2973</v>
      </c>
      <c r="D1010" s="59" t="s">
        <v>2974</v>
      </c>
      <c r="E1010" s="59" t="s">
        <v>2975</v>
      </c>
      <c r="F1010" s="59" t="s">
        <v>2257</v>
      </c>
      <c r="G1010" s="59" t="s">
        <v>2976</v>
      </c>
      <c r="I1010" s="59" t="s">
        <v>748</v>
      </c>
    </row>
    <row r="1011" spans="1:9" ht="11.25" customHeight="1">
      <c r="A1011" s="59" t="s">
        <v>2162</v>
      </c>
      <c r="B1011" s="59" t="s">
        <v>14</v>
      </c>
      <c r="C1011" s="59" t="s">
        <v>2981</v>
      </c>
      <c r="D1011" s="59" t="s">
        <v>2982</v>
      </c>
      <c r="E1011" s="59" t="s">
        <v>2983</v>
      </c>
      <c r="F1011" s="59" t="s">
        <v>2808</v>
      </c>
      <c r="H1011" s="59" t="s">
        <v>2984</v>
      </c>
      <c r="I1011" s="59" t="s">
        <v>748</v>
      </c>
    </row>
    <row r="1012" spans="1:9" ht="11.25" customHeight="1">
      <c r="A1012" s="59" t="s">
        <v>2162</v>
      </c>
      <c r="B1012" s="59" t="s">
        <v>14</v>
      </c>
      <c r="C1012" s="59" t="s">
        <v>2996</v>
      </c>
      <c r="D1012" s="59" t="s">
        <v>2997</v>
      </c>
      <c r="E1012" s="59" t="s">
        <v>2998</v>
      </c>
      <c r="F1012" s="59" t="s">
        <v>2308</v>
      </c>
      <c r="G1012" s="59" t="s">
        <v>2999</v>
      </c>
      <c r="I1012" s="59" t="s">
        <v>748</v>
      </c>
    </row>
    <row r="1013" spans="1:9" ht="11.25" customHeight="1">
      <c r="A1013" s="59" t="s">
        <v>2162</v>
      </c>
      <c r="B1013" s="59" t="s">
        <v>14</v>
      </c>
      <c r="C1013" s="59" t="s">
        <v>3000</v>
      </c>
      <c r="D1013" s="59" t="s">
        <v>3001</v>
      </c>
      <c r="E1013" s="59" t="s">
        <v>3002</v>
      </c>
      <c r="F1013" s="59" t="s">
        <v>3003</v>
      </c>
      <c r="G1013" s="59" t="s">
        <v>3004</v>
      </c>
      <c r="I1013" s="59" t="s">
        <v>748</v>
      </c>
    </row>
    <row r="1014" spans="1:9" ht="11.25" customHeight="1">
      <c r="A1014" s="59" t="s">
        <v>2162</v>
      </c>
      <c r="B1014" s="59" t="s">
        <v>14</v>
      </c>
      <c r="C1014" s="59" t="s">
        <v>3008</v>
      </c>
      <c r="D1014" s="59" t="s">
        <v>3009</v>
      </c>
      <c r="E1014" s="59" t="s">
        <v>3010</v>
      </c>
      <c r="F1014" s="59" t="s">
        <v>2261</v>
      </c>
      <c r="G1014" s="59" t="s">
        <v>3011</v>
      </c>
      <c r="I1014" s="59" t="s">
        <v>748</v>
      </c>
    </row>
    <row r="1015" spans="1:9" ht="11.25" customHeight="1">
      <c r="A1015" s="59" t="s">
        <v>2162</v>
      </c>
      <c r="B1015" s="59" t="s">
        <v>14</v>
      </c>
      <c r="C1015" s="59" t="s">
        <v>3012</v>
      </c>
      <c r="D1015" s="59" t="s">
        <v>3013</v>
      </c>
      <c r="E1015" s="59" t="s">
        <v>3014</v>
      </c>
      <c r="F1015" s="59" t="s">
        <v>2257</v>
      </c>
      <c r="G1015" s="59" t="s">
        <v>3015</v>
      </c>
      <c r="I1015" s="59" t="s">
        <v>748</v>
      </c>
    </row>
    <row r="1016" spans="1:9" ht="11.25" customHeight="1">
      <c r="A1016" s="59" t="s">
        <v>2162</v>
      </c>
      <c r="B1016" s="59" t="s">
        <v>14</v>
      </c>
      <c r="C1016" s="59" t="s">
        <v>3016</v>
      </c>
      <c r="D1016" s="59" t="s">
        <v>3017</v>
      </c>
      <c r="E1016" s="59" t="s">
        <v>3018</v>
      </c>
      <c r="F1016" s="59" t="s">
        <v>2257</v>
      </c>
      <c r="G1016" s="59" t="s">
        <v>3019</v>
      </c>
      <c r="I1016" s="59" t="s">
        <v>748</v>
      </c>
    </row>
    <row r="1017" spans="1:9" ht="11.25" customHeight="1">
      <c r="A1017" s="59" t="s">
        <v>2162</v>
      </c>
      <c r="B1017" s="59" t="s">
        <v>14</v>
      </c>
      <c r="C1017" s="59" t="s">
        <v>4446</v>
      </c>
      <c r="D1017" s="59" t="s">
        <v>4447</v>
      </c>
      <c r="E1017" s="59" t="s">
        <v>4448</v>
      </c>
      <c r="F1017" s="59" t="s">
        <v>2266</v>
      </c>
      <c r="I1017" s="59" t="s">
        <v>748</v>
      </c>
    </row>
    <row r="1018" spans="1:9" ht="11.25" customHeight="1">
      <c r="A1018" s="59" t="s">
        <v>2162</v>
      </c>
      <c r="B1018" s="59" t="s">
        <v>14</v>
      </c>
      <c r="C1018" s="59" t="s">
        <v>4449</v>
      </c>
      <c r="D1018" s="59" t="s">
        <v>4450</v>
      </c>
      <c r="E1018" s="59" t="s">
        <v>4451</v>
      </c>
      <c r="F1018" s="59" t="s">
        <v>2299</v>
      </c>
      <c r="I1018" s="59" t="s">
        <v>748</v>
      </c>
    </row>
    <row r="1019" spans="1:9" ht="11.25" customHeight="1">
      <c r="A1019" s="59" t="s">
        <v>2162</v>
      </c>
      <c r="B1019" s="59" t="s">
        <v>14</v>
      </c>
      <c r="C1019" s="59" t="s">
        <v>3023</v>
      </c>
      <c r="D1019" s="59" t="s">
        <v>3024</v>
      </c>
      <c r="E1019" s="59" t="s">
        <v>3025</v>
      </c>
      <c r="F1019" s="59" t="s">
        <v>2592</v>
      </c>
      <c r="I1019" s="59" t="s">
        <v>748</v>
      </c>
    </row>
    <row r="1020" spans="1:9" ht="11.25" customHeight="1">
      <c r="A1020" s="59" t="s">
        <v>2162</v>
      </c>
      <c r="B1020" s="59" t="s">
        <v>14</v>
      </c>
      <c r="C1020" s="59" t="s">
        <v>3026</v>
      </c>
      <c r="D1020" s="59" t="s">
        <v>3027</v>
      </c>
      <c r="E1020" s="59" t="s">
        <v>3028</v>
      </c>
      <c r="F1020" s="59" t="s">
        <v>2592</v>
      </c>
      <c r="I1020" s="59" t="s">
        <v>748</v>
      </c>
    </row>
    <row r="1021" spans="1:9" ht="11.25" customHeight="1">
      <c r="A1021" s="59" t="s">
        <v>2162</v>
      </c>
      <c r="B1021" s="59" t="s">
        <v>14</v>
      </c>
      <c r="C1021" s="59" t="s">
        <v>3029</v>
      </c>
      <c r="D1021" s="59" t="s">
        <v>3030</v>
      </c>
      <c r="E1021" s="59" t="s">
        <v>3031</v>
      </c>
      <c r="F1021" s="59" t="s">
        <v>2592</v>
      </c>
      <c r="I1021" s="59" t="s">
        <v>748</v>
      </c>
    </row>
    <row r="1022" spans="1:9" ht="11.25" customHeight="1">
      <c r="A1022" s="59" t="s">
        <v>2162</v>
      </c>
      <c r="B1022" s="59" t="s">
        <v>14</v>
      </c>
      <c r="C1022" s="59" t="s">
        <v>3032</v>
      </c>
      <c r="D1022" s="59" t="s">
        <v>3033</v>
      </c>
      <c r="E1022" s="59" t="s">
        <v>3034</v>
      </c>
      <c r="F1022" s="59" t="s">
        <v>2592</v>
      </c>
      <c r="G1022" s="59" t="s">
        <v>3035</v>
      </c>
      <c r="I1022" s="59" t="s">
        <v>748</v>
      </c>
    </row>
    <row r="1023" spans="1:9" ht="11.25" customHeight="1">
      <c r="A1023" s="59" t="s">
        <v>2162</v>
      </c>
      <c r="B1023" s="59" t="s">
        <v>14</v>
      </c>
      <c r="C1023" s="59" t="s">
        <v>3036</v>
      </c>
      <c r="D1023" s="59" t="s">
        <v>3037</v>
      </c>
      <c r="E1023" s="59" t="s">
        <v>3038</v>
      </c>
      <c r="F1023" s="59" t="s">
        <v>2592</v>
      </c>
      <c r="G1023" s="59" t="s">
        <v>3039</v>
      </c>
      <c r="I1023" s="59" t="s">
        <v>748</v>
      </c>
    </row>
    <row r="1024" spans="1:9" ht="11.25" customHeight="1">
      <c r="A1024" s="59" t="s">
        <v>2162</v>
      </c>
      <c r="B1024" s="59" t="s">
        <v>14</v>
      </c>
      <c r="C1024" s="59" t="s">
        <v>4452</v>
      </c>
      <c r="D1024" s="59" t="s">
        <v>4453</v>
      </c>
      <c r="E1024" s="59" t="s">
        <v>4454</v>
      </c>
      <c r="F1024" s="59" t="s">
        <v>2391</v>
      </c>
      <c r="G1024" s="59" t="s">
        <v>4455</v>
      </c>
      <c r="I1024" s="59" t="s">
        <v>748</v>
      </c>
    </row>
    <row r="1025" spans="1:9" ht="11.25" customHeight="1">
      <c r="A1025" s="59" t="s">
        <v>2162</v>
      </c>
      <c r="B1025" s="59" t="s">
        <v>14</v>
      </c>
      <c r="C1025" s="59" t="s">
        <v>3043</v>
      </c>
      <c r="D1025" s="59" t="s">
        <v>3044</v>
      </c>
      <c r="E1025" s="59" t="s">
        <v>3045</v>
      </c>
      <c r="F1025" s="59" t="s">
        <v>2266</v>
      </c>
      <c r="G1025" s="59" t="s">
        <v>3046</v>
      </c>
      <c r="I1025" s="59" t="s">
        <v>748</v>
      </c>
    </row>
    <row r="1026" spans="1:9" ht="11.25" customHeight="1">
      <c r="A1026" s="59" t="s">
        <v>2162</v>
      </c>
      <c r="B1026" s="59" t="s">
        <v>14</v>
      </c>
      <c r="C1026" s="59" t="s">
        <v>4456</v>
      </c>
      <c r="D1026" s="59" t="s">
        <v>4457</v>
      </c>
      <c r="E1026" s="59" t="s">
        <v>4458</v>
      </c>
      <c r="F1026" s="59" t="s">
        <v>2266</v>
      </c>
      <c r="I1026" s="59" t="s">
        <v>748</v>
      </c>
    </row>
    <row r="1027" spans="1:9" ht="11.25" customHeight="1">
      <c r="A1027" s="59" t="s">
        <v>2162</v>
      </c>
      <c r="B1027" s="59" t="s">
        <v>14</v>
      </c>
      <c r="C1027" s="59" t="s">
        <v>4459</v>
      </c>
      <c r="D1027" s="59" t="s">
        <v>4460</v>
      </c>
      <c r="E1027" s="59" t="s">
        <v>4461</v>
      </c>
      <c r="F1027" s="59" t="s">
        <v>3057</v>
      </c>
      <c r="H1027" s="59" t="s">
        <v>4462</v>
      </c>
      <c r="I1027" s="59" t="s">
        <v>748</v>
      </c>
    </row>
    <row r="1028" spans="1:9" ht="11.25" customHeight="1">
      <c r="A1028" s="59" t="s">
        <v>2162</v>
      </c>
      <c r="B1028" s="59" t="s">
        <v>14</v>
      </c>
      <c r="C1028" s="59" t="s">
        <v>3054</v>
      </c>
      <c r="D1028" s="59" t="s">
        <v>3055</v>
      </c>
      <c r="E1028" s="59" t="s">
        <v>3056</v>
      </c>
      <c r="F1028" s="59" t="s">
        <v>3057</v>
      </c>
      <c r="I1028" s="59" t="s">
        <v>748</v>
      </c>
    </row>
    <row r="1029" spans="1:9" ht="11.25" customHeight="1">
      <c r="A1029" s="59" t="s">
        <v>2162</v>
      </c>
      <c r="B1029" s="59" t="s">
        <v>14</v>
      </c>
      <c r="C1029" s="59" t="s">
        <v>4463</v>
      </c>
      <c r="D1029" s="59" t="s">
        <v>4464</v>
      </c>
      <c r="E1029" s="59" t="s">
        <v>4465</v>
      </c>
      <c r="F1029" s="59" t="s">
        <v>3697</v>
      </c>
      <c r="G1029" s="59" t="s">
        <v>4466</v>
      </c>
      <c r="I1029" s="59" t="s">
        <v>748</v>
      </c>
    </row>
    <row r="1030" spans="1:9" ht="11.25" customHeight="1">
      <c r="A1030" s="59" t="s">
        <v>2162</v>
      </c>
      <c r="B1030" s="59" t="s">
        <v>14</v>
      </c>
      <c r="C1030" s="59" t="s">
        <v>3061</v>
      </c>
      <c r="D1030" s="59" t="s">
        <v>3062</v>
      </c>
      <c r="E1030" s="59" t="s">
        <v>3063</v>
      </c>
      <c r="F1030" s="59" t="s">
        <v>2299</v>
      </c>
      <c r="G1030" s="59" t="s">
        <v>2924</v>
      </c>
      <c r="H1030" s="59" t="s">
        <v>3064</v>
      </c>
      <c r="I1030" s="59" t="s">
        <v>748</v>
      </c>
    </row>
    <row r="1031" spans="1:9" ht="11.25" customHeight="1">
      <c r="A1031" s="59" t="s">
        <v>2162</v>
      </c>
      <c r="B1031" s="59" t="s">
        <v>14</v>
      </c>
      <c r="C1031" s="59" t="s">
        <v>4467</v>
      </c>
      <c r="D1031" s="59" t="s">
        <v>4468</v>
      </c>
      <c r="E1031" s="59" t="s">
        <v>4469</v>
      </c>
      <c r="F1031" s="59" t="s">
        <v>4470</v>
      </c>
      <c r="I1031" s="59" t="s">
        <v>748</v>
      </c>
    </row>
    <row r="1032" spans="1:9" ht="11.25" customHeight="1">
      <c r="A1032" s="59" t="s">
        <v>2162</v>
      </c>
      <c r="B1032" s="59" t="s">
        <v>14</v>
      </c>
      <c r="C1032" s="59" t="s">
        <v>3072</v>
      </c>
      <c r="D1032" s="59" t="s">
        <v>3073</v>
      </c>
      <c r="E1032" s="59" t="s">
        <v>3074</v>
      </c>
      <c r="F1032" s="59" t="s">
        <v>3075</v>
      </c>
      <c r="I1032" s="59" t="s">
        <v>748</v>
      </c>
    </row>
    <row r="1033" spans="1:9" ht="11.25" customHeight="1">
      <c r="A1033" s="59" t="s">
        <v>2162</v>
      </c>
      <c r="B1033" s="59" t="s">
        <v>14</v>
      </c>
      <c r="C1033" s="59" t="s">
        <v>4471</v>
      </c>
      <c r="D1033" s="59" t="s">
        <v>4472</v>
      </c>
      <c r="E1033" s="59" t="s">
        <v>4473</v>
      </c>
      <c r="F1033" s="59" t="s">
        <v>2486</v>
      </c>
      <c r="G1033" s="59" t="s">
        <v>4474</v>
      </c>
      <c r="I1033" s="59" t="s">
        <v>748</v>
      </c>
    </row>
    <row r="1034" spans="1:9" ht="11.25" customHeight="1">
      <c r="A1034" s="59" t="s">
        <v>2162</v>
      </c>
      <c r="B1034" s="59" t="s">
        <v>14</v>
      </c>
      <c r="C1034" s="59" t="s">
        <v>3083</v>
      </c>
      <c r="D1034" s="59" t="s">
        <v>3084</v>
      </c>
      <c r="E1034" s="59" t="s">
        <v>3085</v>
      </c>
      <c r="F1034" s="59" t="s">
        <v>3086</v>
      </c>
      <c r="I1034" s="59" t="s">
        <v>748</v>
      </c>
    </row>
    <row r="1035" spans="1:9" ht="11.25" customHeight="1">
      <c r="A1035" s="59" t="s">
        <v>2162</v>
      </c>
      <c r="B1035" s="59" t="s">
        <v>14</v>
      </c>
      <c r="C1035" s="59" t="s">
        <v>3087</v>
      </c>
      <c r="D1035" s="59" t="s">
        <v>3088</v>
      </c>
      <c r="E1035" s="59" t="s">
        <v>3089</v>
      </c>
      <c r="F1035" s="59" t="s">
        <v>2228</v>
      </c>
      <c r="G1035" s="59" t="s">
        <v>3090</v>
      </c>
      <c r="I1035" s="59" t="s">
        <v>748</v>
      </c>
    </row>
    <row r="1036" spans="1:9" ht="11.25" customHeight="1">
      <c r="A1036" s="59" t="s">
        <v>2162</v>
      </c>
      <c r="B1036" s="59" t="s">
        <v>14</v>
      </c>
      <c r="C1036" s="59" t="s">
        <v>4475</v>
      </c>
      <c r="D1036" s="59" t="s">
        <v>4476</v>
      </c>
      <c r="E1036" s="59" t="s">
        <v>4477</v>
      </c>
      <c r="F1036" s="59" t="s">
        <v>2486</v>
      </c>
      <c r="G1036" s="59" t="s">
        <v>4478</v>
      </c>
      <c r="I1036" s="59" t="s">
        <v>748</v>
      </c>
    </row>
    <row r="1037" spans="1:9" ht="11.25" customHeight="1">
      <c r="A1037" s="59" t="s">
        <v>2162</v>
      </c>
      <c r="B1037" s="59" t="s">
        <v>14</v>
      </c>
      <c r="C1037" s="59" t="s">
        <v>4479</v>
      </c>
      <c r="D1037" s="59" t="s">
        <v>4480</v>
      </c>
      <c r="E1037" s="59" t="s">
        <v>4481</v>
      </c>
      <c r="F1037" s="59" t="s">
        <v>2775</v>
      </c>
      <c r="G1037" s="59" t="s">
        <v>4482</v>
      </c>
      <c r="I1037" s="59" t="s">
        <v>748</v>
      </c>
    </row>
    <row r="1038" spans="1:9" ht="11.25" customHeight="1">
      <c r="A1038" s="59" t="s">
        <v>2162</v>
      </c>
      <c r="B1038" s="59" t="s">
        <v>14</v>
      </c>
      <c r="C1038" s="59" t="s">
        <v>4483</v>
      </c>
      <c r="D1038" s="59" t="s">
        <v>4484</v>
      </c>
      <c r="E1038" s="59" t="s">
        <v>4485</v>
      </c>
      <c r="F1038" s="59" t="s">
        <v>2193</v>
      </c>
      <c r="I1038" s="59" t="s">
        <v>748</v>
      </c>
    </row>
    <row r="1039" spans="1:9" ht="11.25" customHeight="1">
      <c r="A1039" s="59" t="s">
        <v>2162</v>
      </c>
      <c r="B1039" s="59" t="s">
        <v>14</v>
      </c>
      <c r="C1039" s="59" t="s">
        <v>3095</v>
      </c>
      <c r="D1039" s="59" t="s">
        <v>3096</v>
      </c>
      <c r="E1039" s="59" t="s">
        <v>3097</v>
      </c>
      <c r="F1039" s="59" t="s">
        <v>2202</v>
      </c>
      <c r="I1039" s="59" t="s">
        <v>748</v>
      </c>
    </row>
    <row r="1040" spans="1:9" ht="11.25" customHeight="1">
      <c r="A1040" s="59" t="s">
        <v>2162</v>
      </c>
      <c r="B1040" s="59" t="s">
        <v>14</v>
      </c>
      <c r="C1040" s="59" t="s">
        <v>3098</v>
      </c>
      <c r="D1040" s="59" t="s">
        <v>3099</v>
      </c>
      <c r="E1040" s="59" t="s">
        <v>3100</v>
      </c>
      <c r="F1040" s="59" t="s">
        <v>2193</v>
      </c>
      <c r="I1040" s="59" t="s">
        <v>748</v>
      </c>
    </row>
    <row r="1041" spans="1:9" ht="11.25" customHeight="1">
      <c r="A1041" s="59" t="s">
        <v>2162</v>
      </c>
      <c r="B1041" s="59" t="s">
        <v>14</v>
      </c>
      <c r="C1041" s="59" t="s">
        <v>3101</v>
      </c>
      <c r="D1041" s="59" t="s">
        <v>3102</v>
      </c>
      <c r="E1041" s="59" t="s">
        <v>3103</v>
      </c>
      <c r="F1041" s="59" t="s">
        <v>2166</v>
      </c>
      <c r="G1041" s="59" t="s">
        <v>3104</v>
      </c>
      <c r="I1041" s="59" t="s">
        <v>748</v>
      </c>
    </row>
    <row r="1042" spans="1:9" ht="11.25" customHeight="1">
      <c r="A1042" s="59" t="s">
        <v>2162</v>
      </c>
      <c r="B1042" s="59" t="s">
        <v>14</v>
      </c>
      <c r="C1042" s="59" t="s">
        <v>3105</v>
      </c>
      <c r="D1042" s="59" t="s">
        <v>3106</v>
      </c>
      <c r="E1042" s="59" t="s">
        <v>3107</v>
      </c>
      <c r="F1042" s="59" t="s">
        <v>2202</v>
      </c>
      <c r="G1042" s="59" t="s">
        <v>3108</v>
      </c>
      <c r="I1042" s="59" t="s">
        <v>748</v>
      </c>
    </row>
    <row r="1043" spans="1:9" ht="11.25" customHeight="1">
      <c r="A1043" s="59" t="s">
        <v>2162</v>
      </c>
      <c r="B1043" s="59" t="s">
        <v>14</v>
      </c>
      <c r="C1043" s="59" t="s">
        <v>3109</v>
      </c>
      <c r="D1043" s="59" t="s">
        <v>3110</v>
      </c>
      <c r="E1043" s="59" t="s">
        <v>3111</v>
      </c>
      <c r="F1043" s="59" t="s">
        <v>2166</v>
      </c>
      <c r="G1043" s="59" t="s">
        <v>3112</v>
      </c>
      <c r="I1043" s="59" t="s">
        <v>748</v>
      </c>
    </row>
    <row r="1044" spans="1:9" ht="11.25" customHeight="1">
      <c r="A1044" s="59" t="s">
        <v>2162</v>
      </c>
      <c r="B1044" s="59" t="s">
        <v>14</v>
      </c>
      <c r="C1044" s="59" t="s">
        <v>3116</v>
      </c>
      <c r="D1044" s="59" t="s">
        <v>3117</v>
      </c>
      <c r="E1044" s="59" t="s">
        <v>3118</v>
      </c>
      <c r="F1044" s="59" t="s">
        <v>2193</v>
      </c>
      <c r="G1044" s="59" t="s">
        <v>3119</v>
      </c>
      <c r="I1044" s="59" t="s">
        <v>748</v>
      </c>
    </row>
    <row r="1045" spans="1:9" ht="11.25" customHeight="1">
      <c r="A1045" s="59" t="s">
        <v>2162</v>
      </c>
      <c r="B1045" s="59" t="s">
        <v>14</v>
      </c>
      <c r="C1045" s="59" t="s">
        <v>4486</v>
      </c>
      <c r="D1045" s="59" t="s">
        <v>4487</v>
      </c>
      <c r="E1045" s="59" t="s">
        <v>4488</v>
      </c>
      <c r="F1045" s="59" t="s">
        <v>3962</v>
      </c>
      <c r="I1045" s="59" t="s">
        <v>748</v>
      </c>
    </row>
    <row r="1046" spans="1:9" ht="11.25" customHeight="1">
      <c r="A1046" s="59" t="s">
        <v>2162</v>
      </c>
      <c r="B1046" s="59" t="s">
        <v>14</v>
      </c>
      <c r="C1046" s="59" t="s">
        <v>3123</v>
      </c>
      <c r="D1046" s="59" t="s">
        <v>3124</v>
      </c>
      <c r="E1046" s="59" t="s">
        <v>3125</v>
      </c>
      <c r="F1046" s="59" t="s">
        <v>2486</v>
      </c>
      <c r="G1046" s="59" t="s">
        <v>3126</v>
      </c>
      <c r="I1046" s="59" t="s">
        <v>748</v>
      </c>
    </row>
    <row r="1047" spans="1:9" ht="11.25" customHeight="1">
      <c r="A1047" s="59" t="s">
        <v>2162</v>
      </c>
      <c r="B1047" s="59" t="s">
        <v>14</v>
      </c>
      <c r="C1047" s="59" t="s">
        <v>3127</v>
      </c>
      <c r="D1047" s="59" t="s">
        <v>3128</v>
      </c>
      <c r="E1047" s="59" t="s">
        <v>3129</v>
      </c>
      <c r="F1047" s="59" t="s">
        <v>2486</v>
      </c>
      <c r="G1047" s="59" t="s">
        <v>3130</v>
      </c>
      <c r="I1047" s="59" t="s">
        <v>748</v>
      </c>
    </row>
    <row r="1048" spans="1:9" ht="11.25" customHeight="1">
      <c r="A1048" s="59" t="s">
        <v>2162</v>
      </c>
      <c r="B1048" s="59" t="s">
        <v>14</v>
      </c>
      <c r="C1048" s="59" t="s">
        <v>3131</v>
      </c>
      <c r="D1048" s="59" t="s">
        <v>3132</v>
      </c>
      <c r="E1048" s="59" t="s">
        <v>3133</v>
      </c>
      <c r="F1048" s="59" t="s">
        <v>2166</v>
      </c>
      <c r="G1048" s="59" t="s">
        <v>3134</v>
      </c>
      <c r="I1048" s="59" t="s">
        <v>748</v>
      </c>
    </row>
    <row r="1049" spans="1:9" ht="11.25" customHeight="1">
      <c r="A1049" s="59" t="s">
        <v>2162</v>
      </c>
      <c r="B1049" s="59" t="s">
        <v>14</v>
      </c>
      <c r="C1049" s="59" t="s">
        <v>3135</v>
      </c>
      <c r="D1049" s="59" t="s">
        <v>3136</v>
      </c>
      <c r="E1049" s="59" t="s">
        <v>3137</v>
      </c>
      <c r="F1049" s="59" t="s">
        <v>2257</v>
      </c>
      <c r="G1049" s="59" t="s">
        <v>3138</v>
      </c>
      <c r="I1049" s="59" t="s">
        <v>748</v>
      </c>
    </row>
    <row r="1050" spans="1:9" ht="11.25" customHeight="1">
      <c r="A1050" s="59" t="s">
        <v>2162</v>
      </c>
      <c r="B1050" s="59" t="s">
        <v>14</v>
      </c>
      <c r="C1050" s="59" t="s">
        <v>3139</v>
      </c>
      <c r="D1050" s="59" t="s">
        <v>3140</v>
      </c>
      <c r="E1050" s="59" t="s">
        <v>3141</v>
      </c>
      <c r="F1050" s="59" t="s">
        <v>2486</v>
      </c>
      <c r="G1050" s="59" t="s">
        <v>3142</v>
      </c>
      <c r="I1050" s="59" t="s">
        <v>748</v>
      </c>
    </row>
    <row r="1051" spans="1:9" ht="11.25" customHeight="1">
      <c r="A1051" s="59" t="s">
        <v>2162</v>
      </c>
      <c r="B1051" s="59" t="s">
        <v>14</v>
      </c>
      <c r="C1051" s="59" t="s">
        <v>3143</v>
      </c>
      <c r="D1051" s="59" t="s">
        <v>3144</v>
      </c>
      <c r="E1051" s="59" t="s">
        <v>3145</v>
      </c>
      <c r="F1051" s="59" t="s">
        <v>3146</v>
      </c>
      <c r="G1051" s="59" t="s">
        <v>3147</v>
      </c>
      <c r="I1051" s="59" t="s">
        <v>748</v>
      </c>
    </row>
    <row r="1052" spans="1:9" ht="11.25" customHeight="1">
      <c r="A1052" s="59" t="s">
        <v>2162</v>
      </c>
      <c r="B1052" s="59" t="s">
        <v>14</v>
      </c>
      <c r="C1052" s="59" t="s">
        <v>3148</v>
      </c>
      <c r="D1052" s="59" t="s">
        <v>3149</v>
      </c>
      <c r="E1052" s="59" t="s">
        <v>3150</v>
      </c>
      <c r="F1052" s="59" t="s">
        <v>2808</v>
      </c>
      <c r="I1052" s="59" t="s">
        <v>748</v>
      </c>
    </row>
    <row r="1053" spans="1:9" ht="11.25" customHeight="1">
      <c r="A1053" s="59" t="s">
        <v>2162</v>
      </c>
      <c r="B1053" s="59" t="s">
        <v>14</v>
      </c>
      <c r="C1053" s="59" t="s">
        <v>3151</v>
      </c>
      <c r="D1053" s="59" t="s">
        <v>3152</v>
      </c>
      <c r="E1053" s="59" t="s">
        <v>3153</v>
      </c>
      <c r="F1053" s="59" t="s">
        <v>3154</v>
      </c>
      <c r="G1053" s="59" t="s">
        <v>3155</v>
      </c>
      <c r="I1053" s="59" t="s">
        <v>748</v>
      </c>
    </row>
    <row r="1054" spans="1:9" ht="11.25" customHeight="1">
      <c r="A1054" s="59" t="s">
        <v>2162</v>
      </c>
      <c r="B1054" s="59" t="s">
        <v>14</v>
      </c>
      <c r="C1054" s="59" t="s">
        <v>4489</v>
      </c>
      <c r="D1054" s="59" t="s">
        <v>4490</v>
      </c>
      <c r="E1054" s="59" t="s">
        <v>4491</v>
      </c>
      <c r="F1054" s="59" t="s">
        <v>2478</v>
      </c>
      <c r="H1054" s="59" t="s">
        <v>4492</v>
      </c>
      <c r="I1054" s="59" t="s">
        <v>748</v>
      </c>
    </row>
    <row r="1055" spans="1:9" ht="11.25" customHeight="1">
      <c r="A1055" s="59" t="s">
        <v>2162</v>
      </c>
      <c r="B1055" s="59" t="s">
        <v>14</v>
      </c>
      <c r="C1055" s="59" t="s">
        <v>3156</v>
      </c>
      <c r="D1055" s="59" t="s">
        <v>3157</v>
      </c>
      <c r="E1055" s="59" t="s">
        <v>3158</v>
      </c>
      <c r="F1055" s="59" t="s">
        <v>2202</v>
      </c>
      <c r="I1055" s="59" t="s">
        <v>748</v>
      </c>
    </row>
    <row r="1056" spans="1:9" ht="11.25" customHeight="1">
      <c r="A1056" s="59" t="s">
        <v>2162</v>
      </c>
      <c r="B1056" s="59" t="s">
        <v>14</v>
      </c>
      <c r="C1056" s="59" t="s">
        <v>3162</v>
      </c>
      <c r="D1056" s="59" t="s">
        <v>3163</v>
      </c>
      <c r="E1056" s="59" t="s">
        <v>3164</v>
      </c>
      <c r="F1056" s="59" t="s">
        <v>3165</v>
      </c>
      <c r="G1056" s="59" t="s">
        <v>3166</v>
      </c>
      <c r="I1056" s="59" t="s">
        <v>748</v>
      </c>
    </row>
    <row r="1057" spans="1:9" ht="11.25" customHeight="1">
      <c r="A1057" s="59" t="s">
        <v>2162</v>
      </c>
      <c r="B1057" s="59" t="s">
        <v>14</v>
      </c>
      <c r="C1057" s="59" t="s">
        <v>3167</v>
      </c>
      <c r="D1057" s="59" t="s">
        <v>3168</v>
      </c>
      <c r="E1057" s="59" t="s">
        <v>3169</v>
      </c>
      <c r="F1057" s="59" t="s">
        <v>2202</v>
      </c>
      <c r="I1057" s="59" t="s">
        <v>748</v>
      </c>
    </row>
    <row r="1058" spans="1:9" ht="11.25" customHeight="1">
      <c r="A1058" s="59" t="s">
        <v>2162</v>
      </c>
      <c r="B1058" s="59" t="s">
        <v>14</v>
      </c>
      <c r="C1058" s="59" t="s">
        <v>3170</v>
      </c>
      <c r="D1058" s="59" t="s">
        <v>3171</v>
      </c>
      <c r="E1058" s="59" t="s">
        <v>3172</v>
      </c>
      <c r="F1058" s="59" t="s">
        <v>3173</v>
      </c>
      <c r="I1058" s="59" t="s">
        <v>748</v>
      </c>
    </row>
    <row r="1059" spans="1:9" ht="11.25" customHeight="1">
      <c r="A1059" s="59" t="s">
        <v>2162</v>
      </c>
      <c r="B1059" s="59" t="s">
        <v>14</v>
      </c>
      <c r="C1059" s="59" t="s">
        <v>4493</v>
      </c>
      <c r="D1059" s="59" t="s">
        <v>4494</v>
      </c>
      <c r="E1059" s="59" t="s">
        <v>4495</v>
      </c>
      <c r="F1059" s="59" t="s">
        <v>2166</v>
      </c>
      <c r="I1059" s="59" t="s">
        <v>748</v>
      </c>
    </row>
    <row r="1060" spans="1:9" ht="11.25" customHeight="1">
      <c r="A1060" s="59" t="s">
        <v>2162</v>
      </c>
      <c r="B1060" s="59" t="s">
        <v>14</v>
      </c>
      <c r="C1060" s="59" t="s">
        <v>3174</v>
      </c>
      <c r="D1060" s="59" t="s">
        <v>3175</v>
      </c>
      <c r="E1060" s="59" t="s">
        <v>3176</v>
      </c>
      <c r="F1060" s="59" t="s">
        <v>2308</v>
      </c>
      <c r="I1060" s="59" t="s">
        <v>748</v>
      </c>
    </row>
    <row r="1061" spans="1:9" ht="11.25" customHeight="1">
      <c r="A1061" s="59" t="s">
        <v>2162</v>
      </c>
      <c r="B1061" s="59" t="s">
        <v>14</v>
      </c>
      <c r="C1061" s="59" t="s">
        <v>3196</v>
      </c>
      <c r="D1061" s="59" t="s">
        <v>3197</v>
      </c>
      <c r="E1061" s="59" t="s">
        <v>3198</v>
      </c>
      <c r="F1061" s="59" t="s">
        <v>2248</v>
      </c>
      <c r="I1061" s="59" t="s">
        <v>748</v>
      </c>
    </row>
    <row r="1062" spans="1:9" ht="11.25" customHeight="1">
      <c r="A1062" s="59" t="s">
        <v>2162</v>
      </c>
      <c r="B1062" s="59" t="s">
        <v>14</v>
      </c>
      <c r="C1062" s="59" t="s">
        <v>3205</v>
      </c>
      <c r="D1062" s="59" t="s">
        <v>3206</v>
      </c>
      <c r="E1062" s="59" t="s">
        <v>3207</v>
      </c>
      <c r="F1062" s="59" t="s">
        <v>2202</v>
      </c>
      <c r="I1062" s="59" t="s">
        <v>748</v>
      </c>
    </row>
    <row r="1063" spans="1:9" ht="11.25" customHeight="1">
      <c r="A1063" s="59" t="s">
        <v>2162</v>
      </c>
      <c r="B1063" s="59" t="s">
        <v>14</v>
      </c>
      <c r="C1063" s="59" t="s">
        <v>4496</v>
      </c>
      <c r="D1063" s="59" t="s">
        <v>4497</v>
      </c>
      <c r="E1063" s="59" t="s">
        <v>4498</v>
      </c>
      <c r="F1063" s="59" t="s">
        <v>2266</v>
      </c>
      <c r="I1063" s="59" t="s">
        <v>748</v>
      </c>
    </row>
    <row r="1064" spans="1:9" ht="11.25" customHeight="1">
      <c r="A1064" s="59" t="s">
        <v>2162</v>
      </c>
      <c r="B1064" s="59" t="s">
        <v>14</v>
      </c>
      <c r="C1064" s="59" t="s">
        <v>3217</v>
      </c>
      <c r="D1064" s="59" t="s">
        <v>3218</v>
      </c>
      <c r="E1064" s="59" t="s">
        <v>3219</v>
      </c>
      <c r="F1064" s="59" t="s">
        <v>2166</v>
      </c>
      <c r="I1064" s="59" t="s">
        <v>748</v>
      </c>
    </row>
    <row r="1065" spans="1:9" ht="11.25" customHeight="1">
      <c r="A1065" s="59" t="s">
        <v>2162</v>
      </c>
      <c r="B1065" s="59" t="s">
        <v>14</v>
      </c>
      <c r="C1065" s="59" t="s">
        <v>3237</v>
      </c>
      <c r="D1065" s="59" t="s">
        <v>3238</v>
      </c>
      <c r="E1065" s="59" t="s">
        <v>3239</v>
      </c>
      <c r="F1065" s="59" t="s">
        <v>3240</v>
      </c>
      <c r="I1065" s="59" t="s">
        <v>748</v>
      </c>
    </row>
    <row r="1066" spans="1:9" ht="11.25" customHeight="1">
      <c r="A1066" s="59" t="s">
        <v>2162</v>
      </c>
      <c r="B1066" s="59" t="s">
        <v>14</v>
      </c>
      <c r="C1066" s="59" t="s">
        <v>3241</v>
      </c>
      <c r="D1066" s="59" t="s">
        <v>3242</v>
      </c>
      <c r="E1066" s="59" t="s">
        <v>3243</v>
      </c>
      <c r="F1066" s="59" t="s">
        <v>3244</v>
      </c>
      <c r="I1066" s="59" t="s">
        <v>748</v>
      </c>
    </row>
    <row r="1067" spans="1:9" ht="11.25" customHeight="1">
      <c r="A1067" s="59" t="s">
        <v>2162</v>
      </c>
      <c r="B1067" s="59" t="s">
        <v>14</v>
      </c>
      <c r="C1067" s="59" t="s">
        <v>3248</v>
      </c>
      <c r="D1067" s="59" t="s">
        <v>3249</v>
      </c>
      <c r="E1067" s="59" t="s">
        <v>3250</v>
      </c>
      <c r="F1067" s="59" t="s">
        <v>3251</v>
      </c>
      <c r="I1067" s="59" t="s">
        <v>748</v>
      </c>
    </row>
    <row r="1068" spans="1:9" ht="11.25" customHeight="1">
      <c r="A1068" s="59" t="s">
        <v>2162</v>
      </c>
      <c r="B1068" s="59" t="s">
        <v>14</v>
      </c>
      <c r="C1068" s="59" t="s">
        <v>4499</v>
      </c>
      <c r="D1068" s="59" t="s">
        <v>4500</v>
      </c>
      <c r="E1068" s="59" t="s">
        <v>4501</v>
      </c>
      <c r="F1068" s="59" t="s">
        <v>2592</v>
      </c>
      <c r="I1068" s="59" t="s">
        <v>748</v>
      </c>
    </row>
    <row r="1069" spans="1:9" ht="11.25" customHeight="1">
      <c r="A1069" s="59" t="s">
        <v>2162</v>
      </c>
      <c r="B1069" s="59" t="s">
        <v>14</v>
      </c>
      <c r="C1069" s="59" t="s">
        <v>4502</v>
      </c>
      <c r="D1069" s="59" t="s">
        <v>4503</v>
      </c>
      <c r="E1069" s="59" t="s">
        <v>4504</v>
      </c>
      <c r="F1069" s="59" t="s">
        <v>2228</v>
      </c>
      <c r="I1069" s="59" t="s">
        <v>748</v>
      </c>
    </row>
    <row r="1070" spans="1:9" ht="11.25" customHeight="1">
      <c r="A1070" s="59" t="s">
        <v>2162</v>
      </c>
      <c r="B1070" s="59" t="s">
        <v>14</v>
      </c>
      <c r="C1070" s="59" t="s">
        <v>3259</v>
      </c>
      <c r="D1070" s="59" t="s">
        <v>3260</v>
      </c>
      <c r="E1070" s="59" t="s">
        <v>3261</v>
      </c>
      <c r="F1070" s="59" t="s">
        <v>2391</v>
      </c>
      <c r="I1070" s="59" t="s">
        <v>748</v>
      </c>
    </row>
    <row r="1071" spans="1:9" ht="11.25" customHeight="1">
      <c r="A1071" s="59" t="s">
        <v>2162</v>
      </c>
      <c r="B1071" s="59" t="s">
        <v>14</v>
      </c>
      <c r="C1071" s="59" t="s">
        <v>3277</v>
      </c>
      <c r="D1071" s="59" t="s">
        <v>3278</v>
      </c>
      <c r="E1071" s="59" t="s">
        <v>3279</v>
      </c>
      <c r="F1071" s="59" t="s">
        <v>2486</v>
      </c>
      <c r="I1071" s="59" t="s">
        <v>748</v>
      </c>
    </row>
    <row r="1072" spans="1:9" ht="11.25" customHeight="1">
      <c r="A1072" s="59" t="s">
        <v>2162</v>
      </c>
      <c r="B1072" s="59" t="s">
        <v>14</v>
      </c>
      <c r="C1072" s="59" t="s">
        <v>4505</v>
      </c>
      <c r="D1072" s="59" t="s">
        <v>4506</v>
      </c>
      <c r="E1072" s="59" t="s">
        <v>4507</v>
      </c>
      <c r="F1072" s="59" t="s">
        <v>2166</v>
      </c>
      <c r="I1072" s="59" t="s">
        <v>748</v>
      </c>
    </row>
    <row r="1073" spans="1:9" ht="11.25" customHeight="1">
      <c r="A1073" s="59" t="s">
        <v>2162</v>
      </c>
      <c r="B1073" s="59" t="s">
        <v>14</v>
      </c>
      <c r="C1073" s="59" t="s">
        <v>4508</v>
      </c>
      <c r="D1073" s="59" t="s">
        <v>4509</v>
      </c>
      <c r="E1073" s="59" t="s">
        <v>4510</v>
      </c>
      <c r="F1073" s="59" t="s">
        <v>2166</v>
      </c>
      <c r="I1073" s="59" t="s">
        <v>748</v>
      </c>
    </row>
    <row r="1074" spans="1:9" ht="11.25" customHeight="1">
      <c r="A1074" s="59" t="s">
        <v>2162</v>
      </c>
      <c r="B1074" s="59" t="s">
        <v>14</v>
      </c>
      <c r="C1074" s="59" t="s">
        <v>3315</v>
      </c>
      <c r="D1074" s="59" t="s">
        <v>3316</v>
      </c>
      <c r="E1074" s="59" t="s">
        <v>3317</v>
      </c>
      <c r="F1074" s="59" t="s">
        <v>2478</v>
      </c>
      <c r="I1074" s="59" t="s">
        <v>748</v>
      </c>
    </row>
    <row r="1075" spans="1:9" ht="11.25" customHeight="1">
      <c r="A1075" s="59" t="s">
        <v>2162</v>
      </c>
      <c r="B1075" s="59" t="s">
        <v>14</v>
      </c>
      <c r="C1075" s="59" t="s">
        <v>3318</v>
      </c>
      <c r="D1075" s="59" t="s">
        <v>3319</v>
      </c>
      <c r="E1075" s="59" t="s">
        <v>3320</v>
      </c>
      <c r="F1075" s="59" t="s">
        <v>2233</v>
      </c>
      <c r="I1075" s="59" t="s">
        <v>748</v>
      </c>
    </row>
    <row r="1076" spans="1:9" ht="11.25" customHeight="1">
      <c r="A1076" s="59" t="s">
        <v>2162</v>
      </c>
      <c r="B1076" s="59" t="s">
        <v>14</v>
      </c>
      <c r="C1076" s="59" t="s">
        <v>3324</v>
      </c>
      <c r="D1076" s="59" t="s">
        <v>3325</v>
      </c>
      <c r="E1076" s="59" t="s">
        <v>3326</v>
      </c>
      <c r="F1076" s="59" t="s">
        <v>2478</v>
      </c>
      <c r="I1076" s="59" t="s">
        <v>748</v>
      </c>
    </row>
    <row r="1077" spans="1:9" ht="11.25" customHeight="1">
      <c r="A1077" s="59" t="s">
        <v>2162</v>
      </c>
      <c r="B1077" s="59" t="s">
        <v>14</v>
      </c>
      <c r="C1077" s="59" t="s">
        <v>3327</v>
      </c>
      <c r="D1077" s="59" t="s">
        <v>3328</v>
      </c>
      <c r="E1077" s="59" t="s">
        <v>3329</v>
      </c>
      <c r="F1077" s="59" t="s">
        <v>2202</v>
      </c>
      <c r="I1077" s="59" t="s">
        <v>748</v>
      </c>
    </row>
    <row r="1078" spans="1:9" ht="11.25" customHeight="1">
      <c r="A1078" s="59" t="s">
        <v>2162</v>
      </c>
      <c r="B1078" s="59" t="s">
        <v>14</v>
      </c>
      <c r="C1078" s="59" t="s">
        <v>4511</v>
      </c>
      <c r="D1078" s="59" t="s">
        <v>4512</v>
      </c>
      <c r="E1078" s="59" t="s">
        <v>4513</v>
      </c>
      <c r="F1078" s="59" t="s">
        <v>2166</v>
      </c>
      <c r="I1078" s="59" t="s">
        <v>748</v>
      </c>
    </row>
    <row r="1079" spans="1:9" ht="11.25" customHeight="1">
      <c r="A1079" s="59" t="s">
        <v>2162</v>
      </c>
      <c r="B1079" s="59" t="s">
        <v>14</v>
      </c>
      <c r="C1079" s="59" t="s">
        <v>3342</v>
      </c>
      <c r="D1079" s="59" t="s">
        <v>3343</v>
      </c>
      <c r="E1079" s="59" t="s">
        <v>3344</v>
      </c>
      <c r="F1079" s="59" t="s">
        <v>2299</v>
      </c>
      <c r="I1079" s="59" t="s">
        <v>748</v>
      </c>
    </row>
    <row r="1080" spans="1:9" ht="11.25" customHeight="1">
      <c r="A1080" s="59" t="s">
        <v>2162</v>
      </c>
      <c r="B1080" s="59" t="s">
        <v>14</v>
      </c>
      <c r="C1080" s="59" t="s">
        <v>4514</v>
      </c>
      <c r="D1080" s="59" t="s">
        <v>4515</v>
      </c>
      <c r="E1080" s="59" t="s">
        <v>4516</v>
      </c>
      <c r="F1080" s="59" t="s">
        <v>2299</v>
      </c>
      <c r="I1080" s="59" t="s">
        <v>748</v>
      </c>
    </row>
    <row r="1081" spans="1:9" ht="11.25" customHeight="1">
      <c r="A1081" s="59" t="s">
        <v>2162</v>
      </c>
      <c r="B1081" s="59" t="s">
        <v>14</v>
      </c>
      <c r="C1081" s="59" t="s">
        <v>3372</v>
      </c>
      <c r="D1081" s="59" t="s">
        <v>3373</v>
      </c>
      <c r="E1081" s="59" t="s">
        <v>3374</v>
      </c>
      <c r="F1081" s="59" t="s">
        <v>2166</v>
      </c>
      <c r="I1081" s="59" t="s">
        <v>748</v>
      </c>
    </row>
    <row r="1082" spans="1:9" ht="11.25" customHeight="1">
      <c r="A1082" s="59" t="s">
        <v>2162</v>
      </c>
      <c r="B1082" s="59" t="s">
        <v>14</v>
      </c>
      <c r="C1082" s="59" t="s">
        <v>4517</v>
      </c>
      <c r="D1082" s="59" t="s">
        <v>4518</v>
      </c>
      <c r="E1082" s="59" t="s">
        <v>4519</v>
      </c>
      <c r="F1082" s="59" t="s">
        <v>2291</v>
      </c>
      <c r="I1082" s="59" t="s">
        <v>748</v>
      </c>
    </row>
    <row r="1083" spans="1:9" ht="11.25" customHeight="1">
      <c r="A1083" s="59" t="s">
        <v>2162</v>
      </c>
      <c r="B1083" s="59" t="s">
        <v>14</v>
      </c>
      <c r="C1083" s="59" t="s">
        <v>3401</v>
      </c>
      <c r="D1083" s="59" t="s">
        <v>3402</v>
      </c>
      <c r="E1083" s="59" t="s">
        <v>3403</v>
      </c>
      <c r="F1083" s="59" t="s">
        <v>2210</v>
      </c>
      <c r="I1083" s="59" t="s">
        <v>748</v>
      </c>
    </row>
    <row r="1084" spans="1:9" ht="11.25" customHeight="1">
      <c r="A1084" s="59" t="s">
        <v>2162</v>
      </c>
      <c r="B1084" s="59" t="s">
        <v>14</v>
      </c>
      <c r="C1084" s="59" t="s">
        <v>3428</v>
      </c>
      <c r="D1084" s="59" t="s">
        <v>3429</v>
      </c>
      <c r="E1084" s="59" t="s">
        <v>2174</v>
      </c>
      <c r="F1084" s="59" t="s">
        <v>2370</v>
      </c>
      <c r="I1084" s="59" t="s">
        <v>748</v>
      </c>
    </row>
    <row r="1085" spans="1:9" ht="11.25" customHeight="1">
      <c r="A1085" s="59" t="s">
        <v>2162</v>
      </c>
      <c r="B1085" s="59" t="s">
        <v>14</v>
      </c>
      <c r="C1085" s="59" t="s">
        <v>3430</v>
      </c>
      <c r="D1085" s="59" t="s">
        <v>3431</v>
      </c>
      <c r="E1085" s="59" t="s">
        <v>2216</v>
      </c>
      <c r="F1085" s="59" t="s">
        <v>3432</v>
      </c>
      <c r="G1085" s="59" t="s">
        <v>2221</v>
      </c>
      <c r="I1085" s="59" t="s">
        <v>748</v>
      </c>
    </row>
    <row r="1086" spans="1:9" ht="11.25" customHeight="1">
      <c r="A1086" s="59" t="s">
        <v>2162</v>
      </c>
      <c r="B1086" s="59" t="s">
        <v>14</v>
      </c>
      <c r="C1086" s="59" t="s">
        <v>4520</v>
      </c>
      <c r="D1086" s="59" t="s">
        <v>4521</v>
      </c>
      <c r="E1086" s="59" t="s">
        <v>4522</v>
      </c>
      <c r="F1086" s="59" t="s">
        <v>2632</v>
      </c>
      <c r="I1086" s="59" t="s">
        <v>748</v>
      </c>
    </row>
    <row r="1087" spans="1:9" ht="11.25" customHeight="1">
      <c r="A1087" s="59" t="s">
        <v>2162</v>
      </c>
      <c r="B1087" s="59" t="s">
        <v>14</v>
      </c>
      <c r="C1087" s="59" t="s">
        <v>3433</v>
      </c>
      <c r="D1087" s="59" t="s">
        <v>3434</v>
      </c>
      <c r="E1087" s="59" t="s">
        <v>3435</v>
      </c>
      <c r="F1087" s="59" t="s">
        <v>2486</v>
      </c>
      <c r="I1087" s="59" t="s">
        <v>748</v>
      </c>
    </row>
    <row r="1088" spans="1:9" ht="11.25" customHeight="1">
      <c r="A1088" s="59" t="s">
        <v>2162</v>
      </c>
      <c r="B1088" s="59" t="s">
        <v>14</v>
      </c>
      <c r="C1088" s="59" t="s">
        <v>4523</v>
      </c>
      <c r="D1088" s="59" t="s">
        <v>4524</v>
      </c>
      <c r="E1088" s="59" t="s">
        <v>4525</v>
      </c>
      <c r="F1088" s="59" t="s">
        <v>2299</v>
      </c>
      <c r="I1088" s="59" t="s">
        <v>748</v>
      </c>
    </row>
    <row r="1089" spans="1:9" ht="11.25" customHeight="1">
      <c r="A1089" s="59" t="s">
        <v>2162</v>
      </c>
      <c r="B1089" s="59" t="s">
        <v>14</v>
      </c>
      <c r="C1089" s="59" t="s">
        <v>4526</v>
      </c>
      <c r="D1089" s="59" t="s">
        <v>4527</v>
      </c>
      <c r="E1089" s="59" t="s">
        <v>4528</v>
      </c>
      <c r="F1089" s="59" t="s">
        <v>2908</v>
      </c>
      <c r="G1089" s="59" t="s">
        <v>4529</v>
      </c>
      <c r="I1089" s="59" t="s">
        <v>748</v>
      </c>
    </row>
    <row r="1090" spans="1:9" ht="11.25" customHeight="1">
      <c r="A1090" s="59" t="s">
        <v>2162</v>
      </c>
      <c r="B1090" s="59" t="s">
        <v>14</v>
      </c>
      <c r="C1090" s="59" t="s">
        <v>4530</v>
      </c>
      <c r="D1090" s="59" t="s">
        <v>4531</v>
      </c>
      <c r="E1090" s="59" t="s">
        <v>4532</v>
      </c>
      <c r="F1090" s="59" t="s">
        <v>3957</v>
      </c>
      <c r="H1090" s="59" t="s">
        <v>4533</v>
      </c>
      <c r="I1090" s="59" t="s">
        <v>748</v>
      </c>
    </row>
    <row r="1091" spans="1:9" ht="11.25" customHeight="1">
      <c r="A1091" s="59" t="s">
        <v>2162</v>
      </c>
      <c r="B1091" s="59" t="s">
        <v>14</v>
      </c>
      <c r="C1091" s="59" t="s">
        <v>3454</v>
      </c>
      <c r="D1091" s="59" t="s">
        <v>3455</v>
      </c>
      <c r="E1091" s="59" t="s">
        <v>3456</v>
      </c>
      <c r="F1091" s="59" t="s">
        <v>2636</v>
      </c>
      <c r="G1091" s="59" t="s">
        <v>3457</v>
      </c>
      <c r="I1091" s="59" t="s">
        <v>748</v>
      </c>
    </row>
    <row r="1092" spans="1:9" ht="11.25" customHeight="1">
      <c r="A1092" s="59" t="s">
        <v>2162</v>
      </c>
      <c r="B1092" s="59" t="s">
        <v>14</v>
      </c>
      <c r="C1092" s="59" t="s">
        <v>4534</v>
      </c>
      <c r="D1092" s="59" t="s">
        <v>4535</v>
      </c>
      <c r="E1092" s="59" t="s">
        <v>4536</v>
      </c>
      <c r="F1092" s="59" t="s">
        <v>2677</v>
      </c>
      <c r="I1092" s="59" t="s">
        <v>748</v>
      </c>
    </row>
    <row r="1093" spans="1:9" ht="11.25" customHeight="1">
      <c r="A1093" s="59" t="s">
        <v>2162</v>
      </c>
      <c r="B1093" s="59" t="s">
        <v>14</v>
      </c>
      <c r="C1093" s="59" t="s">
        <v>4537</v>
      </c>
      <c r="D1093" s="59" t="s">
        <v>4538</v>
      </c>
      <c r="E1093" s="59" t="s">
        <v>4539</v>
      </c>
      <c r="F1093" s="59" t="s">
        <v>2291</v>
      </c>
      <c r="I1093" s="59" t="s">
        <v>748</v>
      </c>
    </row>
    <row r="1094" spans="1:9" ht="11.25" customHeight="1">
      <c r="A1094" s="59" t="s">
        <v>2162</v>
      </c>
      <c r="B1094" s="59" t="s">
        <v>14</v>
      </c>
      <c r="C1094" s="59" t="s">
        <v>3475</v>
      </c>
      <c r="D1094" s="59" t="s">
        <v>3476</v>
      </c>
      <c r="E1094" s="59" t="s">
        <v>3477</v>
      </c>
      <c r="F1094" s="59" t="s">
        <v>2636</v>
      </c>
      <c r="G1094" s="59" t="s">
        <v>3478</v>
      </c>
      <c r="I1094" s="59" t="s">
        <v>748</v>
      </c>
    </row>
    <row r="1095" spans="1:9" ht="11.25" customHeight="1">
      <c r="A1095" s="59" t="s">
        <v>2162</v>
      </c>
      <c r="B1095" s="59" t="s">
        <v>14</v>
      </c>
      <c r="C1095" s="59" t="s">
        <v>3486</v>
      </c>
      <c r="D1095" s="59" t="s">
        <v>3487</v>
      </c>
      <c r="E1095" s="59" t="s">
        <v>3488</v>
      </c>
      <c r="F1095" s="59" t="s">
        <v>2677</v>
      </c>
      <c r="G1095" s="59" t="s">
        <v>3489</v>
      </c>
      <c r="I1095" s="59" t="s">
        <v>748</v>
      </c>
    </row>
    <row r="1096" spans="1:9" ht="11.25" customHeight="1">
      <c r="A1096" s="59" t="s">
        <v>2162</v>
      </c>
      <c r="B1096" s="59" t="s">
        <v>14</v>
      </c>
      <c r="C1096" s="59" t="s">
        <v>4540</v>
      </c>
      <c r="D1096" s="59" t="s">
        <v>4541</v>
      </c>
      <c r="E1096" s="59" t="s">
        <v>4542</v>
      </c>
      <c r="F1096" s="59" t="s">
        <v>4543</v>
      </c>
      <c r="G1096" s="59" t="s">
        <v>4544</v>
      </c>
      <c r="I1096" s="59" t="s">
        <v>748</v>
      </c>
    </row>
    <row r="1097" spans="1:9" ht="11.25" customHeight="1">
      <c r="A1097" s="59" t="s">
        <v>2162</v>
      </c>
      <c r="B1097" s="59" t="s">
        <v>14</v>
      </c>
      <c r="C1097" s="59" t="s">
        <v>4545</v>
      </c>
      <c r="D1097" s="59" t="s">
        <v>4546</v>
      </c>
      <c r="E1097" s="59" t="s">
        <v>4547</v>
      </c>
      <c r="F1097" s="59" t="s">
        <v>2220</v>
      </c>
      <c r="I1097" s="59" t="s">
        <v>748</v>
      </c>
    </row>
    <row r="1098" spans="1:9" ht="11.25" customHeight="1">
      <c r="A1098" s="59" t="s">
        <v>2162</v>
      </c>
      <c r="B1098" s="59" t="s">
        <v>14</v>
      </c>
      <c r="C1098" s="59" t="s">
        <v>3497</v>
      </c>
      <c r="D1098" s="59" t="s">
        <v>3498</v>
      </c>
      <c r="E1098" s="59" t="s">
        <v>3499</v>
      </c>
      <c r="F1098" s="59" t="s">
        <v>2291</v>
      </c>
      <c r="I1098" s="59" t="s">
        <v>748</v>
      </c>
    </row>
    <row r="1099" spans="1:9" ht="11.25" customHeight="1">
      <c r="A1099" s="59" t="s">
        <v>2162</v>
      </c>
      <c r="B1099" s="59" t="s">
        <v>14</v>
      </c>
      <c r="C1099" s="59" t="s">
        <v>3500</v>
      </c>
      <c r="D1099" s="59" t="s">
        <v>3501</v>
      </c>
      <c r="E1099" s="59" t="s">
        <v>3502</v>
      </c>
      <c r="F1099" s="59" t="s">
        <v>2233</v>
      </c>
      <c r="I1099" s="59" t="s">
        <v>748</v>
      </c>
    </row>
    <row r="1100" spans="1:9" ht="11.25" customHeight="1">
      <c r="A1100" s="59" t="s">
        <v>2162</v>
      </c>
      <c r="B1100" s="59" t="s">
        <v>14</v>
      </c>
      <c r="C1100" s="59" t="s">
        <v>4548</v>
      </c>
      <c r="D1100" s="59" t="s">
        <v>4549</v>
      </c>
      <c r="E1100" s="59" t="s">
        <v>4550</v>
      </c>
      <c r="F1100" s="59" t="s">
        <v>2193</v>
      </c>
      <c r="G1100" s="59" t="s">
        <v>4551</v>
      </c>
      <c r="I1100" s="59" t="s">
        <v>748</v>
      </c>
    </row>
    <row r="1101" spans="1:9" ht="11.25" customHeight="1">
      <c r="A1101" s="59" t="s">
        <v>2162</v>
      </c>
      <c r="B1101" s="59" t="s">
        <v>14</v>
      </c>
      <c r="C1101" s="59" t="s">
        <v>4552</v>
      </c>
      <c r="D1101" s="59" t="s">
        <v>4553</v>
      </c>
      <c r="E1101" s="59" t="s">
        <v>4554</v>
      </c>
      <c r="F1101" s="59" t="s">
        <v>2202</v>
      </c>
      <c r="G1101" s="59" t="s">
        <v>4555</v>
      </c>
      <c r="I1101" s="59" t="s">
        <v>748</v>
      </c>
    </row>
    <row r="1102" spans="1:9" ht="11.25" customHeight="1">
      <c r="A1102" s="59" t="s">
        <v>2162</v>
      </c>
      <c r="B1102" s="59" t="s">
        <v>14</v>
      </c>
      <c r="C1102" s="59" t="s">
        <v>4556</v>
      </c>
      <c r="D1102" s="59" t="s">
        <v>4557</v>
      </c>
      <c r="E1102" s="59" t="s">
        <v>4558</v>
      </c>
      <c r="F1102" s="59" t="s">
        <v>2266</v>
      </c>
      <c r="G1102" s="59" t="s">
        <v>4559</v>
      </c>
      <c r="I1102" s="59" t="s">
        <v>748</v>
      </c>
    </row>
    <row r="1103" spans="1:9" ht="11.25" customHeight="1">
      <c r="A1103" s="59" t="s">
        <v>2162</v>
      </c>
      <c r="B1103" s="59" t="s">
        <v>14</v>
      </c>
      <c r="C1103" s="59" t="s">
        <v>3511</v>
      </c>
      <c r="D1103" s="59" t="s">
        <v>3512</v>
      </c>
      <c r="E1103" s="59" t="s">
        <v>3513</v>
      </c>
      <c r="F1103" s="59" t="s">
        <v>3514</v>
      </c>
      <c r="I1103" s="59" t="s">
        <v>748</v>
      </c>
    </row>
    <row r="1104" spans="1:9" ht="11.25" customHeight="1">
      <c r="A1104" s="59" t="s">
        <v>2162</v>
      </c>
      <c r="B1104" s="59" t="s">
        <v>14</v>
      </c>
      <c r="C1104" s="59" t="s">
        <v>4560</v>
      </c>
      <c r="D1104" s="59" t="s">
        <v>4561</v>
      </c>
      <c r="E1104" s="59" t="s">
        <v>3513</v>
      </c>
      <c r="F1104" s="59" t="s">
        <v>4562</v>
      </c>
      <c r="G1104" s="59" t="s">
        <v>4563</v>
      </c>
      <c r="I1104" s="59" t="s">
        <v>748</v>
      </c>
    </row>
    <row r="1105" spans="1:9" ht="11.25" customHeight="1">
      <c r="A1105" s="59" t="s">
        <v>2162</v>
      </c>
      <c r="B1105" s="59" t="s">
        <v>14</v>
      </c>
      <c r="C1105" s="59" t="s">
        <v>3529</v>
      </c>
      <c r="D1105" s="59" t="s">
        <v>3530</v>
      </c>
      <c r="E1105" s="59" t="s">
        <v>3513</v>
      </c>
      <c r="F1105" s="59" t="s">
        <v>3531</v>
      </c>
      <c r="I1105" s="59" t="s">
        <v>748</v>
      </c>
    </row>
    <row r="1106" spans="1:9" ht="11.25" customHeight="1">
      <c r="A1106" s="59" t="s">
        <v>2162</v>
      </c>
      <c r="B1106" s="59" t="s">
        <v>14</v>
      </c>
      <c r="C1106" s="59" t="s">
        <v>3544</v>
      </c>
      <c r="D1106" s="59" t="s">
        <v>3545</v>
      </c>
      <c r="E1106" s="59" t="s">
        <v>3546</v>
      </c>
      <c r="F1106" s="59" t="s">
        <v>2573</v>
      </c>
      <c r="G1106" s="59" t="s">
        <v>3547</v>
      </c>
      <c r="I1106" s="59" t="s">
        <v>748</v>
      </c>
    </row>
    <row r="1107" spans="1:9" ht="11.25" customHeight="1">
      <c r="A1107" s="59" t="s">
        <v>2162</v>
      </c>
      <c r="B1107" s="59" t="s">
        <v>14</v>
      </c>
      <c r="C1107" s="59" t="s">
        <v>3548</v>
      </c>
      <c r="D1107" s="59" t="s">
        <v>3549</v>
      </c>
      <c r="E1107" s="59" t="s">
        <v>3546</v>
      </c>
      <c r="F1107" s="59" t="s">
        <v>3550</v>
      </c>
      <c r="G1107" s="59" t="s">
        <v>3547</v>
      </c>
      <c r="I1107" s="59" t="s">
        <v>748</v>
      </c>
    </row>
    <row r="1108" spans="1:9" ht="11.25" customHeight="1">
      <c r="A1108" s="59" t="s">
        <v>2162</v>
      </c>
      <c r="B1108" s="59" t="s">
        <v>14</v>
      </c>
      <c r="C1108" s="59" t="s">
        <v>3551</v>
      </c>
      <c r="D1108" s="59" t="s">
        <v>3552</v>
      </c>
      <c r="E1108" s="59" t="s">
        <v>3553</v>
      </c>
      <c r="F1108" s="59" t="s">
        <v>2877</v>
      </c>
      <c r="I1108" s="59" t="s">
        <v>748</v>
      </c>
    </row>
    <row r="1109" spans="1:9" ht="11.25" customHeight="1">
      <c r="A1109" s="59" t="s">
        <v>2162</v>
      </c>
      <c r="B1109" s="59" t="s">
        <v>14</v>
      </c>
      <c r="C1109" s="59" t="s">
        <v>4564</v>
      </c>
      <c r="D1109" s="59" t="s">
        <v>4565</v>
      </c>
      <c r="E1109" s="59" t="s">
        <v>4566</v>
      </c>
      <c r="F1109" s="59" t="s">
        <v>2233</v>
      </c>
      <c r="G1109" s="59" t="s">
        <v>4567</v>
      </c>
      <c r="I1109" s="59" t="s">
        <v>748</v>
      </c>
    </row>
    <row r="1110" spans="1:9" ht="11.25" customHeight="1">
      <c r="A1110" s="59" t="s">
        <v>2162</v>
      </c>
      <c r="B1110" s="59" t="s">
        <v>14</v>
      </c>
      <c r="C1110" s="59" t="s">
        <v>4568</v>
      </c>
      <c r="D1110" s="59" t="s">
        <v>4569</v>
      </c>
      <c r="E1110" s="59" t="s">
        <v>4570</v>
      </c>
      <c r="F1110" s="59" t="s">
        <v>2291</v>
      </c>
      <c r="G1110" s="59" t="s">
        <v>4571</v>
      </c>
      <c r="H1110" s="59" t="s">
        <v>4572</v>
      </c>
      <c r="I1110" s="59" t="s">
        <v>748</v>
      </c>
    </row>
    <row r="1111" spans="1:9" ht="11.25" customHeight="1">
      <c r="A1111" s="59" t="s">
        <v>2162</v>
      </c>
      <c r="B1111" s="59" t="s">
        <v>14</v>
      </c>
      <c r="C1111" s="59" t="s">
        <v>3576</v>
      </c>
      <c r="D1111" s="59" t="s">
        <v>3577</v>
      </c>
      <c r="E1111" s="59" t="s">
        <v>3578</v>
      </c>
      <c r="F1111" s="59" t="s">
        <v>2228</v>
      </c>
      <c r="I1111" s="59" t="s">
        <v>748</v>
      </c>
    </row>
    <row r="1112" spans="1:9" ht="11.25" customHeight="1">
      <c r="A1112" s="59" t="s">
        <v>2162</v>
      </c>
      <c r="B1112" s="59" t="s">
        <v>14</v>
      </c>
      <c r="C1112" s="59" t="s">
        <v>3579</v>
      </c>
      <c r="D1112" s="59" t="s">
        <v>3580</v>
      </c>
      <c r="E1112" s="59" t="s">
        <v>3581</v>
      </c>
      <c r="F1112" s="59" t="s">
        <v>3582</v>
      </c>
      <c r="I1112" s="59" t="s">
        <v>748</v>
      </c>
    </row>
    <row r="1113" spans="1:9" ht="11.25" customHeight="1">
      <c r="A1113" s="59" t="s">
        <v>2162</v>
      </c>
      <c r="B1113" s="59" t="s">
        <v>14</v>
      </c>
      <c r="C1113" s="59" t="s">
        <v>3587</v>
      </c>
      <c r="D1113" s="59" t="s">
        <v>3588</v>
      </c>
      <c r="E1113" s="59" t="s">
        <v>3589</v>
      </c>
      <c r="F1113" s="59" t="s">
        <v>2166</v>
      </c>
      <c r="G1113" s="59" t="s">
        <v>2637</v>
      </c>
      <c r="I1113" s="59" t="s">
        <v>748</v>
      </c>
    </row>
    <row r="1114" spans="1:9" ht="11.25" customHeight="1">
      <c r="A1114" s="59" t="s">
        <v>2162</v>
      </c>
      <c r="B1114" s="59" t="s">
        <v>14</v>
      </c>
      <c r="C1114" s="59" t="s">
        <v>3596</v>
      </c>
      <c r="D1114" s="59" t="s">
        <v>3597</v>
      </c>
      <c r="E1114" s="59" t="s">
        <v>3598</v>
      </c>
      <c r="F1114" s="59" t="s">
        <v>2166</v>
      </c>
      <c r="G1114" s="59" t="s">
        <v>3599</v>
      </c>
      <c r="I1114" s="59" t="s">
        <v>748</v>
      </c>
    </row>
    <row r="1115" spans="1:9" ht="11.25" customHeight="1">
      <c r="A1115" s="59" t="s">
        <v>2162</v>
      </c>
      <c r="B1115" s="59" t="s">
        <v>14</v>
      </c>
      <c r="C1115" s="59" t="s">
        <v>3600</v>
      </c>
      <c r="D1115" s="59" t="s">
        <v>3601</v>
      </c>
      <c r="E1115" s="59" t="s">
        <v>3602</v>
      </c>
      <c r="F1115" s="59" t="s">
        <v>3506</v>
      </c>
      <c r="I1115" s="59" t="s">
        <v>748</v>
      </c>
    </row>
    <row r="1116" spans="1:9" ht="11.25" customHeight="1">
      <c r="A1116" s="59" t="s">
        <v>2162</v>
      </c>
      <c r="B1116" s="59" t="s">
        <v>14</v>
      </c>
      <c r="C1116" s="59" t="s">
        <v>3607</v>
      </c>
      <c r="D1116" s="59" t="s">
        <v>3608</v>
      </c>
      <c r="E1116" s="59" t="s">
        <v>3609</v>
      </c>
      <c r="F1116" s="59" t="s">
        <v>2166</v>
      </c>
      <c r="I1116" s="59" t="s">
        <v>748</v>
      </c>
    </row>
    <row r="1117" spans="1:9" ht="11.25" customHeight="1">
      <c r="A1117" s="59" t="s">
        <v>2162</v>
      </c>
      <c r="B1117" s="59" t="s">
        <v>14</v>
      </c>
      <c r="C1117" s="59" t="s">
        <v>3610</v>
      </c>
      <c r="D1117" s="59" t="s">
        <v>3611</v>
      </c>
      <c r="E1117" s="59" t="s">
        <v>3612</v>
      </c>
      <c r="F1117" s="59" t="s">
        <v>2299</v>
      </c>
      <c r="G1117" s="59" t="s">
        <v>3613</v>
      </c>
      <c r="I1117" s="59" t="s">
        <v>748</v>
      </c>
    </row>
    <row r="1118" spans="1:9" ht="11.25" customHeight="1">
      <c r="A1118" s="59" t="s">
        <v>2162</v>
      </c>
      <c r="B1118" s="59" t="s">
        <v>14</v>
      </c>
      <c r="C1118" s="59" t="s">
        <v>4573</v>
      </c>
      <c r="D1118" s="59" t="s">
        <v>4574</v>
      </c>
      <c r="E1118" s="59" t="s">
        <v>4575</v>
      </c>
      <c r="F1118" s="59" t="s">
        <v>2299</v>
      </c>
      <c r="I1118" s="59" t="s">
        <v>748</v>
      </c>
    </row>
    <row r="1119" spans="1:9" ht="11.25" customHeight="1">
      <c r="A1119" s="59" t="s">
        <v>2162</v>
      </c>
      <c r="B1119" s="59" t="s">
        <v>14</v>
      </c>
      <c r="C1119" s="59" t="s">
        <v>3618</v>
      </c>
      <c r="D1119" s="59" t="s">
        <v>3619</v>
      </c>
      <c r="E1119" s="59" t="s">
        <v>3620</v>
      </c>
      <c r="F1119" s="59" t="s">
        <v>2291</v>
      </c>
      <c r="I1119" s="59" t="s">
        <v>748</v>
      </c>
    </row>
    <row r="1120" spans="1:9" ht="11.25" customHeight="1">
      <c r="A1120" s="59" t="s">
        <v>2162</v>
      </c>
      <c r="B1120" s="59" t="s">
        <v>14</v>
      </c>
      <c r="C1120" s="59" t="s">
        <v>3624</v>
      </c>
      <c r="D1120" s="59" t="s">
        <v>3625</v>
      </c>
      <c r="E1120" s="59" t="s">
        <v>3626</v>
      </c>
      <c r="F1120" s="59" t="s">
        <v>2252</v>
      </c>
      <c r="H1120" s="59" t="s">
        <v>3627</v>
      </c>
      <c r="I1120" s="59" t="s">
        <v>748</v>
      </c>
    </row>
    <row r="1121" spans="1:9" ht="11.25" customHeight="1">
      <c r="A1121" s="59" t="s">
        <v>2162</v>
      </c>
      <c r="B1121" s="59" t="s">
        <v>14</v>
      </c>
      <c r="C1121" s="59" t="s">
        <v>3628</v>
      </c>
      <c r="D1121" s="59" t="s">
        <v>3629</v>
      </c>
      <c r="E1121" s="59" t="s">
        <v>3630</v>
      </c>
      <c r="F1121" s="59" t="s">
        <v>2233</v>
      </c>
      <c r="I1121" s="59" t="s">
        <v>748</v>
      </c>
    </row>
    <row r="1122" spans="1:9" ht="11.25" customHeight="1">
      <c r="A1122" s="59" t="s">
        <v>2162</v>
      </c>
      <c r="B1122" s="59" t="s">
        <v>14</v>
      </c>
      <c r="C1122" s="59" t="s">
        <v>3641</v>
      </c>
      <c r="D1122" s="59" t="s">
        <v>3642</v>
      </c>
      <c r="E1122" s="59" t="s">
        <v>3643</v>
      </c>
      <c r="F1122" s="59" t="s">
        <v>2391</v>
      </c>
      <c r="I1122" s="59" t="s">
        <v>748</v>
      </c>
    </row>
    <row r="1123" spans="1:9" ht="11.25" customHeight="1">
      <c r="A1123" s="59" t="s">
        <v>2162</v>
      </c>
      <c r="B1123" s="59" t="s">
        <v>14</v>
      </c>
      <c r="C1123" s="59" t="s">
        <v>3653</v>
      </c>
      <c r="D1123" s="59" t="s">
        <v>3654</v>
      </c>
      <c r="E1123" s="59" t="s">
        <v>3655</v>
      </c>
      <c r="F1123" s="59" t="s">
        <v>2291</v>
      </c>
      <c r="G1123" s="59" t="s">
        <v>3656</v>
      </c>
      <c r="I1123" s="59" t="s">
        <v>748</v>
      </c>
    </row>
    <row r="1124" spans="1:9" ht="11.25" customHeight="1">
      <c r="A1124" s="59" t="s">
        <v>2162</v>
      </c>
      <c r="B1124" s="59" t="s">
        <v>14</v>
      </c>
      <c r="C1124" s="59" t="s">
        <v>4576</v>
      </c>
      <c r="D1124" s="59" t="s">
        <v>4577</v>
      </c>
      <c r="E1124" s="59" t="s">
        <v>4578</v>
      </c>
      <c r="F1124" s="59" t="s">
        <v>3154</v>
      </c>
      <c r="G1124" s="59" t="s">
        <v>2976</v>
      </c>
      <c r="I1124" s="59" t="s">
        <v>748</v>
      </c>
    </row>
    <row r="1125" spans="1:9" ht="11.25" customHeight="1">
      <c r="A1125" s="59" t="s">
        <v>2162</v>
      </c>
      <c r="B1125" s="59" t="s">
        <v>14</v>
      </c>
      <c r="C1125" s="59" t="s">
        <v>3679</v>
      </c>
      <c r="D1125" s="59" t="s">
        <v>3680</v>
      </c>
      <c r="E1125" s="59" t="s">
        <v>3681</v>
      </c>
      <c r="F1125" s="59" t="s">
        <v>2486</v>
      </c>
      <c r="I1125" s="59" t="s">
        <v>748</v>
      </c>
    </row>
    <row r="1126" spans="1:9" ht="11.25" customHeight="1">
      <c r="A1126" s="59" t="s">
        <v>2162</v>
      </c>
      <c r="B1126" s="59" t="s">
        <v>14</v>
      </c>
      <c r="C1126" s="59" t="s">
        <v>4579</v>
      </c>
      <c r="D1126" s="59" t="s">
        <v>4580</v>
      </c>
      <c r="E1126" s="59" t="s">
        <v>4581</v>
      </c>
      <c r="F1126" s="59" t="s">
        <v>2486</v>
      </c>
      <c r="G1126" s="59" t="s">
        <v>4582</v>
      </c>
      <c r="I1126" s="59" t="s">
        <v>748</v>
      </c>
    </row>
    <row r="1127" spans="1:9" ht="11.25" customHeight="1">
      <c r="A1127" s="59" t="s">
        <v>2162</v>
      </c>
      <c r="B1127" s="59" t="s">
        <v>14</v>
      </c>
      <c r="C1127" s="59" t="s">
        <v>3698</v>
      </c>
      <c r="D1127" s="59" t="s">
        <v>3699</v>
      </c>
      <c r="E1127" s="59" t="s">
        <v>3700</v>
      </c>
      <c r="F1127" s="59" t="s">
        <v>2299</v>
      </c>
      <c r="I1127" s="59" t="s">
        <v>748</v>
      </c>
    </row>
    <row r="1128" spans="1:9" ht="11.25" customHeight="1">
      <c r="A1128" s="59" t="s">
        <v>2162</v>
      </c>
      <c r="B1128" s="59" t="s">
        <v>14</v>
      </c>
      <c r="C1128" s="59" t="s">
        <v>3704</v>
      </c>
      <c r="D1128" s="59" t="s">
        <v>3705</v>
      </c>
      <c r="E1128" s="59" t="s">
        <v>3706</v>
      </c>
      <c r="F1128" s="59" t="s">
        <v>3582</v>
      </c>
      <c r="G1128" s="59" t="s">
        <v>3707</v>
      </c>
      <c r="H1128" s="59" t="s">
        <v>3708</v>
      </c>
      <c r="I1128" s="59" t="s">
        <v>748</v>
      </c>
    </row>
    <row r="1129" spans="1:9" ht="11.25" customHeight="1">
      <c r="A1129" s="59" t="s">
        <v>2162</v>
      </c>
      <c r="B1129" s="59" t="s">
        <v>14</v>
      </c>
      <c r="C1129" s="59" t="s">
        <v>4583</v>
      </c>
      <c r="D1129" s="59" t="s">
        <v>4584</v>
      </c>
      <c r="E1129" s="59" t="s">
        <v>4585</v>
      </c>
      <c r="F1129" s="59" t="s">
        <v>3582</v>
      </c>
      <c r="H1129" s="59" t="s">
        <v>4586</v>
      </c>
      <c r="I1129" s="59" t="s">
        <v>748</v>
      </c>
    </row>
    <row r="1130" spans="1:9" ht="11.25" customHeight="1">
      <c r="A1130" s="59" t="s">
        <v>2162</v>
      </c>
      <c r="B1130" s="59" t="s">
        <v>14</v>
      </c>
      <c r="C1130" s="59" t="s">
        <v>3729</v>
      </c>
      <c r="D1130" s="59" t="s">
        <v>3730</v>
      </c>
      <c r="E1130" s="59" t="s">
        <v>3731</v>
      </c>
      <c r="F1130" s="59" t="s">
        <v>2248</v>
      </c>
      <c r="I1130" s="59" t="s">
        <v>748</v>
      </c>
    </row>
    <row r="1131" spans="1:9" ht="11.25" customHeight="1">
      <c r="A1131" s="59" t="s">
        <v>2162</v>
      </c>
      <c r="B1131" s="59" t="s">
        <v>14</v>
      </c>
      <c r="C1131" s="59" t="s">
        <v>3732</v>
      </c>
      <c r="D1131" s="59" t="s">
        <v>3733</v>
      </c>
      <c r="E1131" s="59" t="s">
        <v>3734</v>
      </c>
      <c r="F1131" s="59" t="s">
        <v>2677</v>
      </c>
      <c r="G1131" s="59" t="s">
        <v>3735</v>
      </c>
      <c r="I1131" s="59" t="s">
        <v>748</v>
      </c>
    </row>
    <row r="1132" spans="1:9" ht="11.25" customHeight="1">
      <c r="A1132" s="59" t="s">
        <v>2162</v>
      </c>
      <c r="B1132" s="59" t="s">
        <v>14</v>
      </c>
      <c r="C1132" s="59" t="s">
        <v>3750</v>
      </c>
      <c r="D1132" s="59" t="s">
        <v>3751</v>
      </c>
      <c r="E1132" s="59" t="s">
        <v>3752</v>
      </c>
      <c r="F1132" s="59" t="s">
        <v>2233</v>
      </c>
      <c r="G1132" s="59" t="s">
        <v>3753</v>
      </c>
      <c r="I1132" s="59" t="s">
        <v>748</v>
      </c>
    </row>
    <row r="1133" spans="1:9" ht="11.25" customHeight="1">
      <c r="A1133" s="59" t="s">
        <v>2162</v>
      </c>
      <c r="B1133" s="59" t="s">
        <v>14</v>
      </c>
      <c r="C1133" s="59" t="s">
        <v>3761</v>
      </c>
      <c r="D1133" s="59" t="s">
        <v>3762</v>
      </c>
      <c r="E1133" s="59" t="s">
        <v>3763</v>
      </c>
      <c r="F1133" s="59" t="s">
        <v>2233</v>
      </c>
      <c r="G1133" s="59" t="s">
        <v>3764</v>
      </c>
      <c r="I1133" s="59" t="s">
        <v>748</v>
      </c>
    </row>
    <row r="1134" spans="1:9" ht="11.25" customHeight="1">
      <c r="A1134" s="59" t="s">
        <v>2162</v>
      </c>
      <c r="B1134" s="59" t="s">
        <v>14</v>
      </c>
      <c r="C1134" s="59" t="s">
        <v>3784</v>
      </c>
      <c r="D1134" s="59" t="s">
        <v>3785</v>
      </c>
      <c r="E1134" s="59" t="s">
        <v>3786</v>
      </c>
      <c r="F1134" s="59" t="s">
        <v>2486</v>
      </c>
      <c r="G1134" s="59" t="s">
        <v>3787</v>
      </c>
      <c r="I1134" s="59" t="s">
        <v>748</v>
      </c>
    </row>
    <row r="1135" spans="1:9" ht="11.25" customHeight="1">
      <c r="A1135" s="59" t="s">
        <v>2162</v>
      </c>
      <c r="B1135" s="59" t="s">
        <v>14</v>
      </c>
      <c r="C1135" s="59" t="s">
        <v>4587</v>
      </c>
      <c r="D1135" s="59" t="s">
        <v>4588</v>
      </c>
      <c r="E1135" s="59" t="s">
        <v>4589</v>
      </c>
      <c r="F1135" s="59" t="s">
        <v>2248</v>
      </c>
      <c r="G1135" s="59" t="s">
        <v>4590</v>
      </c>
      <c r="I1135" s="59" t="s">
        <v>748</v>
      </c>
    </row>
    <row r="1136" spans="1:9" ht="11.25" customHeight="1">
      <c r="A1136" s="59" t="s">
        <v>2162</v>
      </c>
      <c r="B1136" s="59" t="s">
        <v>14</v>
      </c>
      <c r="C1136" s="59" t="s">
        <v>3822</v>
      </c>
      <c r="D1136" s="59" t="s">
        <v>3823</v>
      </c>
      <c r="E1136" s="59" t="s">
        <v>3824</v>
      </c>
      <c r="F1136" s="59" t="s">
        <v>2233</v>
      </c>
      <c r="G1136" s="59" t="s">
        <v>2558</v>
      </c>
      <c r="I1136" s="59" t="s">
        <v>748</v>
      </c>
    </row>
    <row r="1137" spans="1:9" ht="11.25" customHeight="1">
      <c r="A1137" s="59" t="s">
        <v>2162</v>
      </c>
      <c r="B1137" s="59" t="s">
        <v>14</v>
      </c>
      <c r="C1137" s="59" t="s">
        <v>3828</v>
      </c>
      <c r="D1137" s="59" t="s">
        <v>3829</v>
      </c>
      <c r="E1137" s="59" t="s">
        <v>3830</v>
      </c>
      <c r="F1137" s="59" t="s">
        <v>2391</v>
      </c>
      <c r="G1137" s="59" t="s">
        <v>3831</v>
      </c>
      <c r="I1137" s="59" t="s">
        <v>748</v>
      </c>
    </row>
    <row r="1138" spans="1:9" ht="11.25" customHeight="1">
      <c r="A1138" s="59" t="s">
        <v>2162</v>
      </c>
      <c r="B1138" s="59" t="s">
        <v>14</v>
      </c>
      <c r="C1138" s="59" t="s">
        <v>3835</v>
      </c>
      <c r="D1138" s="59" t="s">
        <v>3836</v>
      </c>
      <c r="E1138" s="59" t="s">
        <v>3837</v>
      </c>
      <c r="F1138" s="59" t="s">
        <v>2233</v>
      </c>
      <c r="I1138" s="59" t="s">
        <v>748</v>
      </c>
    </row>
    <row r="1139" spans="1:9" ht="11.25" customHeight="1">
      <c r="A1139" s="59" t="s">
        <v>2162</v>
      </c>
      <c r="B1139" s="59" t="s">
        <v>14</v>
      </c>
      <c r="C1139" s="59" t="s">
        <v>4591</v>
      </c>
      <c r="D1139" s="59" t="s">
        <v>4592</v>
      </c>
      <c r="E1139" s="59" t="s">
        <v>4593</v>
      </c>
      <c r="F1139" s="59" t="s">
        <v>2291</v>
      </c>
      <c r="G1139" s="59" t="s">
        <v>4594</v>
      </c>
      <c r="I1139" s="59" t="s">
        <v>748</v>
      </c>
    </row>
    <row r="1140" spans="1:9" ht="11.25" customHeight="1">
      <c r="A1140" s="59" t="s">
        <v>2162</v>
      </c>
      <c r="B1140" s="59" t="s">
        <v>14</v>
      </c>
      <c r="C1140" s="59" t="s">
        <v>3838</v>
      </c>
      <c r="D1140" s="59" t="s">
        <v>3839</v>
      </c>
      <c r="E1140" s="59" t="s">
        <v>3840</v>
      </c>
      <c r="F1140" s="59" t="s">
        <v>2166</v>
      </c>
      <c r="I1140" s="59" t="s">
        <v>748</v>
      </c>
    </row>
    <row r="1141" spans="1:9" ht="11.25" customHeight="1">
      <c r="A1141" s="59" t="s">
        <v>2162</v>
      </c>
      <c r="B1141" s="59" t="s">
        <v>14</v>
      </c>
      <c r="C1141" s="59" t="s">
        <v>3841</v>
      </c>
      <c r="D1141" s="59" t="s">
        <v>3842</v>
      </c>
      <c r="E1141" s="59" t="s">
        <v>3843</v>
      </c>
      <c r="F1141" s="59" t="s">
        <v>2233</v>
      </c>
      <c r="G1141" s="59" t="s">
        <v>3844</v>
      </c>
      <c r="I1141" s="59" t="s">
        <v>748</v>
      </c>
    </row>
    <row r="1142" spans="1:9" ht="11.25" customHeight="1">
      <c r="A1142" s="59" t="s">
        <v>2162</v>
      </c>
      <c r="B1142" s="59" t="s">
        <v>14</v>
      </c>
      <c r="C1142" s="59" t="s">
        <v>3845</v>
      </c>
      <c r="D1142" s="59" t="s">
        <v>3846</v>
      </c>
      <c r="E1142" s="59" t="s">
        <v>3847</v>
      </c>
      <c r="F1142" s="59" t="s">
        <v>2252</v>
      </c>
      <c r="G1142" s="59" t="s">
        <v>3848</v>
      </c>
      <c r="H1142" s="59" t="s">
        <v>3849</v>
      </c>
      <c r="I1142" s="59" t="s">
        <v>748</v>
      </c>
    </row>
    <row r="1143" spans="1:9" ht="11.25" customHeight="1">
      <c r="A1143" s="59" t="s">
        <v>2162</v>
      </c>
      <c r="B1143" s="59" t="s">
        <v>14</v>
      </c>
      <c r="C1143" s="59" t="s">
        <v>3854</v>
      </c>
      <c r="D1143" s="59" t="s">
        <v>3855</v>
      </c>
      <c r="E1143" s="59" t="s">
        <v>3856</v>
      </c>
      <c r="F1143" s="59" t="s">
        <v>2291</v>
      </c>
      <c r="G1143" s="59" t="s">
        <v>3857</v>
      </c>
      <c r="I1143" s="59" t="s">
        <v>748</v>
      </c>
    </row>
    <row r="1144" spans="1:9" ht="11.25" customHeight="1">
      <c r="A1144" s="59" t="s">
        <v>2162</v>
      </c>
      <c r="B1144" s="59" t="s">
        <v>14</v>
      </c>
      <c r="C1144" s="59" t="s">
        <v>3861</v>
      </c>
      <c r="D1144" s="59" t="s">
        <v>3862</v>
      </c>
      <c r="E1144" s="59" t="s">
        <v>3863</v>
      </c>
      <c r="F1144" s="59" t="s">
        <v>2478</v>
      </c>
      <c r="G1144" s="59" t="s">
        <v>3864</v>
      </c>
      <c r="I1144" s="59" t="s">
        <v>748</v>
      </c>
    </row>
    <row r="1145" spans="1:9" ht="11.25" customHeight="1">
      <c r="A1145" s="59" t="s">
        <v>2162</v>
      </c>
      <c r="B1145" s="59" t="s">
        <v>14</v>
      </c>
      <c r="C1145" s="59" t="s">
        <v>3894</v>
      </c>
      <c r="D1145" s="59" t="s">
        <v>3895</v>
      </c>
      <c r="E1145" s="59" t="s">
        <v>3896</v>
      </c>
      <c r="F1145" s="59" t="s">
        <v>2166</v>
      </c>
      <c r="G1145" s="59" t="s">
        <v>3897</v>
      </c>
      <c r="I1145" s="59" t="s">
        <v>748</v>
      </c>
    </row>
    <row r="1146" spans="1:9" ht="11.25" customHeight="1">
      <c r="A1146" s="59" t="s">
        <v>2162</v>
      </c>
      <c r="B1146" s="59" t="s">
        <v>14</v>
      </c>
      <c r="C1146" s="59" t="s">
        <v>3898</v>
      </c>
      <c r="D1146" s="59" t="s">
        <v>3899</v>
      </c>
      <c r="E1146" s="59" t="s">
        <v>3900</v>
      </c>
      <c r="F1146" s="59" t="s">
        <v>2291</v>
      </c>
      <c r="G1146" s="59" t="s">
        <v>3901</v>
      </c>
      <c r="I1146" s="59" t="s">
        <v>748</v>
      </c>
    </row>
    <row r="1147" spans="1:9" ht="11.25" customHeight="1">
      <c r="A1147" s="59" t="s">
        <v>2162</v>
      </c>
      <c r="B1147" s="59" t="s">
        <v>14</v>
      </c>
      <c r="C1147" s="59" t="s">
        <v>3902</v>
      </c>
      <c r="D1147" s="59" t="s">
        <v>3903</v>
      </c>
      <c r="E1147" s="59" t="s">
        <v>3904</v>
      </c>
      <c r="F1147" s="59" t="s">
        <v>2299</v>
      </c>
      <c r="G1147" s="59" t="s">
        <v>3905</v>
      </c>
      <c r="I1147" s="59" t="s">
        <v>748</v>
      </c>
    </row>
    <row r="1148" spans="1:9" ht="11.25" customHeight="1">
      <c r="A1148" s="59" t="s">
        <v>2162</v>
      </c>
      <c r="B1148" s="59" t="s">
        <v>14</v>
      </c>
      <c r="C1148" s="59" t="s">
        <v>3909</v>
      </c>
      <c r="D1148" s="59" t="s">
        <v>3910</v>
      </c>
      <c r="E1148" s="59" t="s">
        <v>3911</v>
      </c>
      <c r="F1148" s="59" t="s">
        <v>2233</v>
      </c>
      <c r="I1148" s="59" t="s">
        <v>748</v>
      </c>
    </row>
    <row r="1149" spans="1:9" ht="11.25" customHeight="1">
      <c r="A1149" s="59" t="s">
        <v>2162</v>
      </c>
      <c r="B1149" s="59" t="s">
        <v>14</v>
      </c>
      <c r="C1149" s="59" t="s">
        <v>4595</v>
      </c>
      <c r="D1149" s="59" t="s">
        <v>4596</v>
      </c>
      <c r="E1149" s="59" t="s">
        <v>4597</v>
      </c>
      <c r="F1149" s="59" t="s">
        <v>3671</v>
      </c>
      <c r="G1149" s="59" t="s">
        <v>4598</v>
      </c>
      <c r="I1149" s="59" t="s">
        <v>748</v>
      </c>
    </row>
    <row r="1150" spans="1:9" ht="11.25" customHeight="1">
      <c r="A1150" s="59" t="s">
        <v>2162</v>
      </c>
      <c r="B1150" s="59" t="s">
        <v>14</v>
      </c>
      <c r="C1150" s="59" t="s">
        <v>4599</v>
      </c>
      <c r="D1150" s="59" t="s">
        <v>4600</v>
      </c>
      <c r="E1150" s="59" t="s">
        <v>4601</v>
      </c>
      <c r="F1150" s="59" t="s">
        <v>2266</v>
      </c>
      <c r="I1150" s="59" t="s">
        <v>748</v>
      </c>
    </row>
    <row r="1151" spans="1:9" ht="11.25" customHeight="1">
      <c r="A1151" s="59" t="s">
        <v>2162</v>
      </c>
      <c r="B1151" s="59" t="s">
        <v>14</v>
      </c>
      <c r="C1151" s="59" t="s">
        <v>3924</v>
      </c>
      <c r="D1151" s="59" t="s">
        <v>3925</v>
      </c>
      <c r="E1151" s="59" t="s">
        <v>3926</v>
      </c>
      <c r="F1151" s="59" t="s">
        <v>2252</v>
      </c>
      <c r="I1151" s="59" t="s">
        <v>748</v>
      </c>
    </row>
    <row r="1152" spans="1:9" ht="11.25" customHeight="1">
      <c r="A1152" s="59" t="s">
        <v>2162</v>
      </c>
      <c r="B1152" s="59" t="s">
        <v>14</v>
      </c>
      <c r="C1152" s="59" t="s">
        <v>3933</v>
      </c>
      <c r="D1152" s="59" t="s">
        <v>3934</v>
      </c>
      <c r="E1152" s="59" t="s">
        <v>3935</v>
      </c>
      <c r="F1152" s="59" t="s">
        <v>2478</v>
      </c>
      <c r="I1152" s="59" t="s">
        <v>748</v>
      </c>
    </row>
    <row r="1153" spans="1:9" ht="11.25" customHeight="1">
      <c r="A1153" s="59" t="s">
        <v>2162</v>
      </c>
      <c r="B1153" s="59" t="s">
        <v>14</v>
      </c>
      <c r="C1153" s="59" t="s">
        <v>3944</v>
      </c>
      <c r="D1153" s="59" t="s">
        <v>3945</v>
      </c>
      <c r="E1153" s="59" t="s">
        <v>3946</v>
      </c>
      <c r="F1153" s="59" t="s">
        <v>2248</v>
      </c>
      <c r="I1153" s="59" t="s">
        <v>748</v>
      </c>
    </row>
    <row r="1154" spans="1:9" ht="11.25" customHeight="1">
      <c r="A1154" s="59" t="s">
        <v>2162</v>
      </c>
      <c r="B1154" s="59" t="s">
        <v>14</v>
      </c>
      <c r="C1154" s="59" t="s">
        <v>3954</v>
      </c>
      <c r="D1154" s="59" t="s">
        <v>3955</v>
      </c>
      <c r="E1154" s="59" t="s">
        <v>3956</v>
      </c>
      <c r="F1154" s="59" t="s">
        <v>3957</v>
      </c>
      <c r="G1154" s="59" t="s">
        <v>3958</v>
      </c>
      <c r="I1154" s="59" t="s">
        <v>748</v>
      </c>
    </row>
    <row r="1155" spans="1:9" ht="11.25" customHeight="1">
      <c r="A1155" s="59" t="s">
        <v>2162</v>
      </c>
      <c r="B1155" s="59" t="s">
        <v>14</v>
      </c>
      <c r="C1155" s="59" t="s">
        <v>3970</v>
      </c>
      <c r="D1155" s="59" t="s">
        <v>3971</v>
      </c>
      <c r="E1155" s="59" t="s">
        <v>3972</v>
      </c>
      <c r="F1155" s="59" t="s">
        <v>2210</v>
      </c>
      <c r="I1155" s="59" t="s">
        <v>748</v>
      </c>
    </row>
    <row r="1156" spans="1:9" ht="11.25" customHeight="1">
      <c r="A1156" s="59" t="s">
        <v>2162</v>
      </c>
      <c r="B1156" s="59" t="s">
        <v>14</v>
      </c>
      <c r="C1156" s="59" t="s">
        <v>3973</v>
      </c>
      <c r="D1156" s="59" t="s">
        <v>3974</v>
      </c>
      <c r="E1156" s="59" t="s">
        <v>3975</v>
      </c>
      <c r="F1156" s="59" t="s">
        <v>2210</v>
      </c>
      <c r="I1156" s="59" t="s">
        <v>748</v>
      </c>
    </row>
    <row r="1157" spans="1:9" ht="11.25" customHeight="1">
      <c r="A1157" s="59" t="s">
        <v>2162</v>
      </c>
      <c r="B1157" s="59" t="s">
        <v>14</v>
      </c>
      <c r="C1157" s="59" t="s">
        <v>4602</v>
      </c>
      <c r="D1157" s="59" t="s">
        <v>4603</v>
      </c>
      <c r="E1157" s="59" t="s">
        <v>4604</v>
      </c>
      <c r="F1157" s="59" t="s">
        <v>2261</v>
      </c>
      <c r="G1157" s="59" t="s">
        <v>4605</v>
      </c>
      <c r="I1157" s="59" t="s">
        <v>748</v>
      </c>
    </row>
    <row r="1158" spans="1:9" ht="11.25" customHeight="1">
      <c r="A1158" s="59" t="s">
        <v>2162</v>
      </c>
      <c r="B1158" s="59" t="s">
        <v>14</v>
      </c>
      <c r="C1158" s="59" t="s">
        <v>3976</v>
      </c>
      <c r="D1158" s="59" t="s">
        <v>3977</v>
      </c>
      <c r="E1158" s="59" t="s">
        <v>3978</v>
      </c>
      <c r="F1158" s="59" t="s">
        <v>2166</v>
      </c>
      <c r="H1158" s="59" t="s">
        <v>3979</v>
      </c>
      <c r="I1158" s="59" t="s">
        <v>748</v>
      </c>
    </row>
    <row r="1159" spans="1:9" ht="11.25" customHeight="1">
      <c r="A1159" s="59" t="s">
        <v>2162</v>
      </c>
      <c r="B1159" s="59" t="s">
        <v>14</v>
      </c>
      <c r="C1159" s="59" t="s">
        <v>3997</v>
      </c>
      <c r="D1159" s="59" t="s">
        <v>3998</v>
      </c>
      <c r="E1159" s="59" t="s">
        <v>3999</v>
      </c>
      <c r="F1159" s="59" t="s">
        <v>2486</v>
      </c>
      <c r="I1159" s="59" t="s">
        <v>748</v>
      </c>
    </row>
    <row r="1160" spans="1:9" ht="11.25" customHeight="1">
      <c r="A1160" s="59" t="s">
        <v>2162</v>
      </c>
      <c r="B1160" s="59" t="s">
        <v>14</v>
      </c>
      <c r="C1160" s="59" t="s">
        <v>4000</v>
      </c>
      <c r="D1160" s="59" t="s">
        <v>4001</v>
      </c>
      <c r="E1160" s="59" t="s">
        <v>4002</v>
      </c>
      <c r="F1160" s="59" t="s">
        <v>2677</v>
      </c>
      <c r="I1160" s="59" t="s">
        <v>748</v>
      </c>
    </row>
    <row r="1161" spans="1:9" ht="11.25" customHeight="1">
      <c r="A1161" s="59" t="s">
        <v>2162</v>
      </c>
      <c r="B1161" s="59" t="s">
        <v>14</v>
      </c>
      <c r="C1161" s="59" t="s">
        <v>4003</v>
      </c>
      <c r="D1161" s="59" t="s">
        <v>4004</v>
      </c>
      <c r="E1161" s="59" t="s">
        <v>4005</v>
      </c>
      <c r="F1161" s="59" t="s">
        <v>3086</v>
      </c>
      <c r="G1161" s="59" t="s">
        <v>4006</v>
      </c>
      <c r="I1161" s="59" t="s">
        <v>748</v>
      </c>
    </row>
    <row r="1162" spans="1:9" ht="11.25" customHeight="1">
      <c r="A1162" s="59" t="s">
        <v>2162</v>
      </c>
      <c r="B1162" s="59" t="s">
        <v>14</v>
      </c>
      <c r="C1162" s="59" t="s">
        <v>4007</v>
      </c>
      <c r="D1162" s="59" t="s">
        <v>4008</v>
      </c>
      <c r="E1162" s="59" t="s">
        <v>4009</v>
      </c>
      <c r="F1162" s="59" t="s">
        <v>2486</v>
      </c>
      <c r="G1162" s="59" t="s">
        <v>4010</v>
      </c>
      <c r="I1162" s="59" t="s">
        <v>748</v>
      </c>
    </row>
    <row r="1163" spans="1:9" ht="11.25" customHeight="1">
      <c r="A1163" s="59" t="s">
        <v>2162</v>
      </c>
      <c r="B1163" s="59" t="s">
        <v>14</v>
      </c>
      <c r="C1163" s="59" t="s">
        <v>4011</v>
      </c>
      <c r="D1163" s="59" t="s">
        <v>4012</v>
      </c>
      <c r="E1163" s="59" t="s">
        <v>4013</v>
      </c>
      <c r="F1163" s="59" t="s">
        <v>2220</v>
      </c>
      <c r="I1163" s="59" t="s">
        <v>748</v>
      </c>
    </row>
    <row r="1164" spans="1:9" ht="11.25" customHeight="1">
      <c r="A1164" s="59" t="s">
        <v>2162</v>
      </c>
      <c r="B1164" s="59" t="s">
        <v>14</v>
      </c>
      <c r="C1164" s="59" t="s">
        <v>4027</v>
      </c>
      <c r="D1164" s="59" t="s">
        <v>4028</v>
      </c>
      <c r="E1164" s="59" t="s">
        <v>4029</v>
      </c>
      <c r="F1164" s="59" t="s">
        <v>2277</v>
      </c>
      <c r="I1164" s="59" t="s">
        <v>748</v>
      </c>
    </row>
    <row r="1165" spans="1:9" ht="11.25" customHeight="1">
      <c r="A1165" s="59" t="s">
        <v>2162</v>
      </c>
      <c r="B1165" s="59" t="s">
        <v>14</v>
      </c>
      <c r="C1165" s="59" t="s">
        <v>4606</v>
      </c>
      <c r="D1165" s="59" t="s">
        <v>4607</v>
      </c>
      <c r="E1165" s="59" t="s">
        <v>4608</v>
      </c>
      <c r="F1165" s="59" t="s">
        <v>2243</v>
      </c>
      <c r="I1165" s="59" t="s">
        <v>748</v>
      </c>
    </row>
    <row r="1166" spans="1:9" ht="11.25" customHeight="1">
      <c r="A1166" s="59" t="s">
        <v>2162</v>
      </c>
      <c r="B1166" s="59" t="s">
        <v>14</v>
      </c>
      <c r="C1166" s="59" t="s">
        <v>4043</v>
      </c>
      <c r="D1166" s="59" t="s">
        <v>4044</v>
      </c>
      <c r="E1166" s="59" t="s">
        <v>4045</v>
      </c>
      <c r="F1166" s="59" t="s">
        <v>2228</v>
      </c>
      <c r="G1166" s="59" t="s">
        <v>3112</v>
      </c>
      <c r="I1166" s="59" t="s">
        <v>748</v>
      </c>
    </row>
    <row r="1167" spans="1:9" ht="11.25" customHeight="1">
      <c r="A1167" s="59" t="s">
        <v>2162</v>
      </c>
      <c r="B1167" s="59" t="s">
        <v>14</v>
      </c>
      <c r="C1167" s="59" t="s">
        <v>4046</v>
      </c>
      <c r="D1167" s="59" t="s">
        <v>4047</v>
      </c>
      <c r="E1167" s="59" t="s">
        <v>4048</v>
      </c>
      <c r="F1167" s="59" t="s">
        <v>2299</v>
      </c>
      <c r="G1167" s="59" t="s">
        <v>4049</v>
      </c>
      <c r="I1167" s="59" t="s">
        <v>748</v>
      </c>
    </row>
    <row r="1168" spans="1:9" ht="11.25" customHeight="1">
      <c r="A1168" s="59" t="s">
        <v>2162</v>
      </c>
      <c r="B1168" s="59" t="s">
        <v>14</v>
      </c>
      <c r="C1168" s="59" t="s">
        <v>4050</v>
      </c>
      <c r="D1168" s="59" t="s">
        <v>4051</v>
      </c>
      <c r="E1168" s="59" t="s">
        <v>2444</v>
      </c>
      <c r="F1168" s="59" t="s">
        <v>4052</v>
      </c>
      <c r="I1168" s="59" t="s">
        <v>748</v>
      </c>
    </row>
    <row r="1169" spans="1:9" ht="11.25" customHeight="1">
      <c r="A1169" s="59" t="s">
        <v>2162</v>
      </c>
      <c r="B1169" s="59" t="s">
        <v>14</v>
      </c>
      <c r="C1169" s="59" t="s">
        <v>4053</v>
      </c>
      <c r="D1169" s="59" t="s">
        <v>4054</v>
      </c>
      <c r="E1169" s="59" t="s">
        <v>2444</v>
      </c>
      <c r="F1169" s="59" t="s">
        <v>4055</v>
      </c>
      <c r="I1169" s="59" t="s">
        <v>748</v>
      </c>
    </row>
    <row r="1170" spans="1:9" ht="11.25" customHeight="1">
      <c r="A1170" s="59" t="s">
        <v>2162</v>
      </c>
      <c r="B1170" s="59" t="s">
        <v>14</v>
      </c>
      <c r="C1170" s="59" t="s">
        <v>4056</v>
      </c>
      <c r="D1170" s="59" t="s">
        <v>4057</v>
      </c>
      <c r="E1170" s="59" t="s">
        <v>4058</v>
      </c>
      <c r="F1170" s="59" t="s">
        <v>2486</v>
      </c>
      <c r="G1170" s="59" t="s">
        <v>4059</v>
      </c>
      <c r="I1170" s="59" t="s">
        <v>748</v>
      </c>
    </row>
    <row r="1171" spans="1:9" ht="11.25" customHeight="1">
      <c r="A1171" s="59" t="s">
        <v>2162</v>
      </c>
      <c r="B1171" s="59" t="s">
        <v>14</v>
      </c>
      <c r="C1171" s="59" t="s">
        <v>4063</v>
      </c>
      <c r="D1171" s="59" t="s">
        <v>4064</v>
      </c>
      <c r="E1171" s="59" t="s">
        <v>4065</v>
      </c>
      <c r="F1171" s="59" t="s">
        <v>2653</v>
      </c>
      <c r="I1171" s="59" t="s">
        <v>748</v>
      </c>
    </row>
    <row r="1172" spans="1:9" ht="11.25" customHeight="1">
      <c r="A1172" s="59" t="s">
        <v>2162</v>
      </c>
      <c r="B1172" s="59" t="s">
        <v>14</v>
      </c>
      <c r="C1172" s="59" t="s">
        <v>4066</v>
      </c>
      <c r="D1172" s="59" t="s">
        <v>4067</v>
      </c>
      <c r="E1172" s="59" t="s">
        <v>4068</v>
      </c>
      <c r="F1172" s="59" t="s">
        <v>2266</v>
      </c>
      <c r="G1172" s="59" t="s">
        <v>3656</v>
      </c>
      <c r="I1172" s="59" t="s">
        <v>748</v>
      </c>
    </row>
    <row r="1173" spans="1:9" ht="11.25" customHeight="1">
      <c r="A1173" s="59" t="s">
        <v>2162</v>
      </c>
      <c r="B1173" s="59" t="s">
        <v>14</v>
      </c>
      <c r="C1173" s="59" t="s">
        <v>4609</v>
      </c>
      <c r="D1173" s="59" t="s">
        <v>4610</v>
      </c>
      <c r="E1173" s="59" t="s">
        <v>4611</v>
      </c>
      <c r="F1173" s="59" t="s">
        <v>2220</v>
      </c>
      <c r="I1173" s="59" t="s">
        <v>748</v>
      </c>
    </row>
    <row r="1174" spans="1:9" ht="11.25" customHeight="1">
      <c r="A1174" s="59" t="s">
        <v>2162</v>
      </c>
      <c r="B1174" s="59" t="s">
        <v>14</v>
      </c>
      <c r="C1174" s="59" t="s">
        <v>4081</v>
      </c>
      <c r="D1174" s="59" t="s">
        <v>4082</v>
      </c>
      <c r="E1174" s="59" t="s">
        <v>4083</v>
      </c>
      <c r="F1174" s="59" t="s">
        <v>2808</v>
      </c>
      <c r="I1174" s="59" t="s">
        <v>748</v>
      </c>
    </row>
    <row r="1175" spans="1:9" ht="11.25" customHeight="1">
      <c r="A1175" s="59" t="s">
        <v>2162</v>
      </c>
      <c r="B1175" s="59" t="s">
        <v>14</v>
      </c>
      <c r="C1175" s="59" t="s">
        <v>4084</v>
      </c>
      <c r="D1175" s="59" t="s">
        <v>4085</v>
      </c>
      <c r="E1175" s="59" t="s">
        <v>4086</v>
      </c>
      <c r="F1175" s="59" t="s">
        <v>3086</v>
      </c>
      <c r="I1175" s="59" t="s">
        <v>748</v>
      </c>
    </row>
    <row r="1176" spans="1:9" ht="11.25" customHeight="1">
      <c r="A1176" s="59" t="s">
        <v>2162</v>
      </c>
      <c r="B1176" s="59" t="s">
        <v>14</v>
      </c>
      <c r="C1176" s="59" t="s">
        <v>4094</v>
      </c>
      <c r="D1176" s="59" t="s">
        <v>4095</v>
      </c>
      <c r="E1176" s="59" t="s">
        <v>4096</v>
      </c>
      <c r="F1176" s="59" t="s">
        <v>4097</v>
      </c>
      <c r="I1176" s="59" t="s">
        <v>748</v>
      </c>
    </row>
    <row r="1177" spans="1:9" ht="11.25" customHeight="1">
      <c r="A1177" s="59" t="s">
        <v>2162</v>
      </c>
      <c r="B1177" s="59" t="s">
        <v>14</v>
      </c>
      <c r="C1177" s="59" t="s">
        <v>4098</v>
      </c>
      <c r="D1177" s="59" t="s">
        <v>4099</v>
      </c>
      <c r="E1177" s="59" t="s">
        <v>4100</v>
      </c>
      <c r="F1177" s="59" t="s">
        <v>2478</v>
      </c>
      <c r="G1177" s="59" t="s">
        <v>3656</v>
      </c>
      <c r="I1177" s="59" t="s">
        <v>748</v>
      </c>
    </row>
    <row r="1178" spans="1:9" ht="11.25" customHeight="1">
      <c r="A1178" s="59" t="s">
        <v>2162</v>
      </c>
      <c r="B1178" s="59" t="s">
        <v>14</v>
      </c>
      <c r="C1178" s="59" t="s">
        <v>4105</v>
      </c>
      <c r="D1178" s="59" t="s">
        <v>4106</v>
      </c>
      <c r="E1178" s="59" t="s">
        <v>4107</v>
      </c>
      <c r="F1178" s="59" t="s">
        <v>3957</v>
      </c>
      <c r="G1178" s="59" t="s">
        <v>4108</v>
      </c>
      <c r="I1178" s="59" t="s">
        <v>748</v>
      </c>
    </row>
    <row r="1179" spans="1:9" ht="11.25" customHeight="1">
      <c r="A1179" s="59" t="s">
        <v>2162</v>
      </c>
      <c r="B1179" s="59" t="s">
        <v>14</v>
      </c>
      <c r="C1179" s="59" t="s">
        <v>4109</v>
      </c>
      <c r="D1179" s="59" t="s">
        <v>4110</v>
      </c>
      <c r="E1179" s="59" t="s">
        <v>4111</v>
      </c>
      <c r="F1179" s="59" t="s">
        <v>2291</v>
      </c>
      <c r="I1179" s="59" t="s">
        <v>748</v>
      </c>
    </row>
    <row r="1180" spans="1:9" ht="11.25" customHeight="1">
      <c r="A1180" s="59" t="s">
        <v>2162</v>
      </c>
      <c r="B1180" s="59" t="s">
        <v>14</v>
      </c>
      <c r="C1180" s="59" t="s">
        <v>4112</v>
      </c>
      <c r="D1180" s="59" t="s">
        <v>4113</v>
      </c>
      <c r="E1180" s="59" t="s">
        <v>4114</v>
      </c>
      <c r="F1180" s="59" t="s">
        <v>2228</v>
      </c>
      <c r="G1180" s="59" t="s">
        <v>4115</v>
      </c>
      <c r="I1180" s="59" t="s">
        <v>748</v>
      </c>
    </row>
    <row r="1181" spans="1:9" ht="11.25" customHeight="1">
      <c r="A1181" s="59" t="s">
        <v>2162</v>
      </c>
      <c r="B1181" s="59" t="s">
        <v>14</v>
      </c>
      <c r="C1181" s="59" t="s">
        <v>4612</v>
      </c>
      <c r="D1181" s="59" t="s">
        <v>4613</v>
      </c>
      <c r="E1181" s="59" t="s">
        <v>4614</v>
      </c>
      <c r="F1181" s="59" t="s">
        <v>2228</v>
      </c>
      <c r="G1181" s="59" t="s">
        <v>4615</v>
      </c>
      <c r="I1181" s="59" t="s">
        <v>748</v>
      </c>
    </row>
    <row r="1182" spans="1:9" ht="11.25" customHeight="1">
      <c r="A1182" s="59" t="s">
        <v>2162</v>
      </c>
      <c r="B1182" s="59" t="s">
        <v>14</v>
      </c>
      <c r="C1182" s="59" t="s">
        <v>4126</v>
      </c>
      <c r="D1182" s="59" t="s">
        <v>4127</v>
      </c>
      <c r="E1182" s="59" t="s">
        <v>4128</v>
      </c>
      <c r="F1182" s="59" t="s">
        <v>2277</v>
      </c>
      <c r="I1182" s="59" t="s">
        <v>748</v>
      </c>
    </row>
    <row r="1183" spans="1:9" ht="11.25" customHeight="1">
      <c r="A1183" s="59" t="s">
        <v>2162</v>
      </c>
      <c r="B1183" s="59" t="s">
        <v>14</v>
      </c>
      <c r="C1183" s="59" t="s">
        <v>4129</v>
      </c>
      <c r="D1183" s="59" t="s">
        <v>4130</v>
      </c>
      <c r="E1183" s="59" t="s">
        <v>4131</v>
      </c>
      <c r="F1183" s="59" t="s">
        <v>2220</v>
      </c>
      <c r="G1183" s="59" t="s">
        <v>4132</v>
      </c>
      <c r="I1183" s="59" t="s">
        <v>748</v>
      </c>
    </row>
    <row r="1184" spans="1:9" ht="11.25" customHeight="1">
      <c r="A1184" s="59" t="s">
        <v>2162</v>
      </c>
      <c r="B1184" s="59" t="s">
        <v>14</v>
      </c>
      <c r="C1184" s="59" t="s">
        <v>4133</v>
      </c>
      <c r="D1184" s="59" t="s">
        <v>4134</v>
      </c>
      <c r="E1184" s="59" t="s">
        <v>4135</v>
      </c>
      <c r="F1184" s="59" t="s">
        <v>2248</v>
      </c>
      <c r="G1184" s="59" t="s">
        <v>4136</v>
      </c>
      <c r="I1184" s="59" t="s">
        <v>748</v>
      </c>
    </row>
    <row r="1185" spans="1:9" ht="11.25" customHeight="1">
      <c r="A1185" s="59" t="s">
        <v>2162</v>
      </c>
      <c r="B1185" s="59" t="s">
        <v>14</v>
      </c>
      <c r="C1185" s="59" t="s">
        <v>4137</v>
      </c>
      <c r="D1185" s="59" t="s">
        <v>4138</v>
      </c>
      <c r="E1185" s="59" t="s">
        <v>4139</v>
      </c>
      <c r="F1185" s="59" t="s">
        <v>3154</v>
      </c>
      <c r="G1185" s="59" t="s">
        <v>4140</v>
      </c>
      <c r="I1185" s="59" t="s">
        <v>748</v>
      </c>
    </row>
    <row r="1186" spans="1:9" ht="11.25" customHeight="1">
      <c r="A1186" s="59" t="s">
        <v>2162</v>
      </c>
      <c r="B1186" s="59" t="s">
        <v>14</v>
      </c>
      <c r="C1186" s="59" t="s">
        <v>4141</v>
      </c>
      <c r="D1186" s="59" t="s">
        <v>4142</v>
      </c>
      <c r="E1186" s="59" t="s">
        <v>4143</v>
      </c>
      <c r="F1186" s="59" t="s">
        <v>4144</v>
      </c>
      <c r="G1186" s="59" t="s">
        <v>4145</v>
      </c>
      <c r="I1186" s="59" t="s">
        <v>748</v>
      </c>
    </row>
    <row r="1187" spans="1:9" ht="11.25" customHeight="1">
      <c r="A1187" s="59" t="s">
        <v>2162</v>
      </c>
      <c r="B1187" s="59" t="s">
        <v>14</v>
      </c>
      <c r="C1187" s="59" t="s">
        <v>4150</v>
      </c>
      <c r="D1187" s="59" t="s">
        <v>4151</v>
      </c>
      <c r="E1187" s="59" t="s">
        <v>4152</v>
      </c>
      <c r="F1187" s="59" t="s">
        <v>2299</v>
      </c>
      <c r="I1187" s="59" t="s">
        <v>748</v>
      </c>
    </row>
    <row r="1188" spans="1:9" ht="11.25" customHeight="1">
      <c r="A1188" s="59" t="s">
        <v>2162</v>
      </c>
      <c r="B1188" s="59" t="s">
        <v>14</v>
      </c>
      <c r="C1188" s="59" t="s">
        <v>4153</v>
      </c>
      <c r="D1188" s="59" t="s">
        <v>4154</v>
      </c>
      <c r="E1188" s="59" t="s">
        <v>4111</v>
      </c>
      <c r="F1188" s="59" t="s">
        <v>4155</v>
      </c>
      <c r="I1188" s="59" t="s">
        <v>748</v>
      </c>
    </row>
    <row r="1189" spans="1:9" ht="11.25" customHeight="1">
      <c r="A1189" s="59" t="s">
        <v>2162</v>
      </c>
      <c r="B1189" s="59" t="s">
        <v>14</v>
      </c>
      <c r="C1189" s="59" t="s">
        <v>4156</v>
      </c>
      <c r="D1189" s="59" t="s">
        <v>4157</v>
      </c>
      <c r="E1189" s="59" t="s">
        <v>4111</v>
      </c>
      <c r="F1189" s="59" t="s">
        <v>2743</v>
      </c>
      <c r="G1189" s="59" t="s">
        <v>4158</v>
      </c>
      <c r="I1189" s="59" t="s">
        <v>748</v>
      </c>
    </row>
    <row r="1190" spans="1:9" ht="11.25" customHeight="1">
      <c r="A1190" s="59" t="s">
        <v>2162</v>
      </c>
      <c r="B1190" s="59" t="s">
        <v>14</v>
      </c>
      <c r="C1190" s="59" t="s">
        <v>4159</v>
      </c>
      <c r="D1190" s="59" t="s">
        <v>4160</v>
      </c>
      <c r="E1190" s="59" t="s">
        <v>4161</v>
      </c>
      <c r="F1190" s="59" t="s">
        <v>2441</v>
      </c>
      <c r="I1190" s="59" t="s">
        <v>748</v>
      </c>
    </row>
    <row r="1191" spans="1:9" ht="11.25" customHeight="1">
      <c r="A1191" s="59" t="s">
        <v>2162</v>
      </c>
      <c r="B1191" s="59" t="s">
        <v>14</v>
      </c>
      <c r="D1191" s="59" t="s">
        <v>4162</v>
      </c>
      <c r="E1191" s="59" t="s">
        <v>4163</v>
      </c>
      <c r="F1191" s="59" t="s">
        <v>2291</v>
      </c>
      <c r="I1191" s="59" t="s">
        <v>748</v>
      </c>
    </row>
    <row r="1192" spans="1:9" ht="11.25" customHeight="1">
      <c r="A1192" s="59" t="s">
        <v>2162</v>
      </c>
      <c r="B1192" s="59" t="s">
        <v>14</v>
      </c>
      <c r="C1192" s="59" t="s">
        <v>4616</v>
      </c>
      <c r="D1192" s="59" t="s">
        <v>4617</v>
      </c>
      <c r="E1192" s="59" t="s">
        <v>4618</v>
      </c>
      <c r="F1192" s="59" t="s">
        <v>4619</v>
      </c>
      <c r="I1192" s="59" t="s">
        <v>748</v>
      </c>
    </row>
    <row r="1193" spans="1:9" ht="11.25" customHeight="1">
      <c r="A1193" s="59" t="s">
        <v>2162</v>
      </c>
      <c r="B1193" s="59" t="s">
        <v>14</v>
      </c>
      <c r="C1193" s="59" t="s">
        <v>4620</v>
      </c>
      <c r="D1193" s="59" t="s">
        <v>4621</v>
      </c>
      <c r="E1193" s="59" t="s">
        <v>4622</v>
      </c>
      <c r="F1193" s="59" t="s">
        <v>2750</v>
      </c>
      <c r="I1193" s="59" t="s">
        <v>748</v>
      </c>
    </row>
    <row r="1194" spans="1:9" ht="11.25" customHeight="1">
      <c r="A1194" s="59" t="s">
        <v>2162</v>
      </c>
      <c r="B1194" s="59" t="s">
        <v>14</v>
      </c>
      <c r="C1194" s="59" t="s">
        <v>4164</v>
      </c>
      <c r="D1194" s="59" t="s">
        <v>4165</v>
      </c>
      <c r="E1194" s="59" t="s">
        <v>4166</v>
      </c>
      <c r="F1194" s="59" t="s">
        <v>2193</v>
      </c>
      <c r="G1194" s="59" t="s">
        <v>4167</v>
      </c>
      <c r="I1194" s="59" t="s">
        <v>748</v>
      </c>
    </row>
    <row r="1195" spans="1:9" ht="11.25" customHeight="1">
      <c r="A1195" s="59" t="s">
        <v>2162</v>
      </c>
      <c r="B1195" s="59" t="s">
        <v>14</v>
      </c>
      <c r="C1195" s="59" t="s">
        <v>4623</v>
      </c>
      <c r="D1195" s="59" t="s">
        <v>4624</v>
      </c>
      <c r="E1195" s="59" t="s">
        <v>4625</v>
      </c>
      <c r="F1195" s="59" t="s">
        <v>2750</v>
      </c>
      <c r="G1195" s="59" t="s">
        <v>4626</v>
      </c>
      <c r="I1195" s="59" t="s">
        <v>748</v>
      </c>
    </row>
    <row r="1196" spans="1:9" ht="11.25" customHeight="1">
      <c r="A1196" s="59" t="s">
        <v>2162</v>
      </c>
      <c r="B1196" s="59" t="s">
        <v>14</v>
      </c>
      <c r="C1196" s="59" t="s">
        <v>4627</v>
      </c>
      <c r="D1196" s="59" t="s">
        <v>4628</v>
      </c>
      <c r="E1196" s="59" t="s">
        <v>4629</v>
      </c>
      <c r="F1196" s="59" t="s">
        <v>4470</v>
      </c>
      <c r="I1196" s="59" t="s">
        <v>748</v>
      </c>
    </row>
    <row r="1197" spans="1:9" ht="11.25" customHeight="1">
      <c r="A1197" s="59" t="s">
        <v>2162</v>
      </c>
      <c r="B1197" s="59" t="s">
        <v>14</v>
      </c>
      <c r="C1197" s="59" t="s">
        <v>4630</v>
      </c>
      <c r="D1197" s="59" t="s">
        <v>4631</v>
      </c>
      <c r="E1197" s="59" t="s">
        <v>4632</v>
      </c>
      <c r="F1197" s="59" t="s">
        <v>2816</v>
      </c>
      <c r="I1197" s="59" t="s">
        <v>748</v>
      </c>
    </row>
    <row r="1198" spans="1:9" ht="11.25" customHeight="1">
      <c r="A1198" s="59" t="s">
        <v>2162</v>
      </c>
      <c r="B1198" s="59" t="s">
        <v>14</v>
      </c>
      <c r="C1198" s="59" t="s">
        <v>4633</v>
      </c>
      <c r="D1198" s="59" t="s">
        <v>4634</v>
      </c>
      <c r="E1198" s="59" t="s">
        <v>4635</v>
      </c>
      <c r="F1198" s="59" t="s">
        <v>2812</v>
      </c>
      <c r="I1198" s="59" t="s">
        <v>748</v>
      </c>
    </row>
    <row r="1199" spans="1:9" ht="11.25" customHeight="1">
      <c r="A1199" s="59" t="s">
        <v>2162</v>
      </c>
      <c r="B1199" s="59" t="s">
        <v>14</v>
      </c>
      <c r="C1199" s="59" t="s">
        <v>4636</v>
      </c>
      <c r="D1199" s="59" t="s">
        <v>4637</v>
      </c>
      <c r="E1199" s="59" t="s">
        <v>4638</v>
      </c>
      <c r="F1199" s="59" t="s">
        <v>2193</v>
      </c>
      <c r="I1199" s="59" t="s">
        <v>748</v>
      </c>
    </row>
    <row r="1200" spans="1:9" ht="11.25" customHeight="1">
      <c r="A1200" s="59" t="s">
        <v>2162</v>
      </c>
      <c r="B1200" s="59" t="s">
        <v>14</v>
      </c>
      <c r="C1200" s="59" t="s">
        <v>4639</v>
      </c>
      <c r="D1200" s="59" t="s">
        <v>4640</v>
      </c>
      <c r="E1200" s="59" t="s">
        <v>4641</v>
      </c>
      <c r="F1200" s="59" t="s">
        <v>2812</v>
      </c>
      <c r="I1200" s="59" t="s">
        <v>748</v>
      </c>
    </row>
    <row r="1201" spans="1:9" ht="11.25" customHeight="1">
      <c r="A1201" s="59" t="s">
        <v>2162</v>
      </c>
      <c r="B1201" s="59" t="s">
        <v>14</v>
      </c>
      <c r="C1201" s="59" t="s">
        <v>4642</v>
      </c>
      <c r="D1201" s="59" t="s">
        <v>4643</v>
      </c>
      <c r="E1201" s="59" t="s">
        <v>4644</v>
      </c>
      <c r="F1201" s="59" t="s">
        <v>2750</v>
      </c>
      <c r="I1201" s="59" t="s">
        <v>748</v>
      </c>
    </row>
    <row r="1202" spans="1:9" ht="11.25" customHeight="1">
      <c r="A1202" s="59" t="s">
        <v>2162</v>
      </c>
      <c r="B1202" s="59" t="s">
        <v>14</v>
      </c>
      <c r="C1202" s="59" t="s">
        <v>4645</v>
      </c>
      <c r="D1202" s="59" t="s">
        <v>4646</v>
      </c>
      <c r="E1202" s="59" t="s">
        <v>4647</v>
      </c>
      <c r="F1202" s="59" t="s">
        <v>2228</v>
      </c>
      <c r="G1202" s="59" t="s">
        <v>4648</v>
      </c>
      <c r="I1202" s="59" t="s">
        <v>748</v>
      </c>
    </row>
    <row r="1203" spans="1:9" ht="11.25" customHeight="1">
      <c r="A1203" s="59" t="s">
        <v>2162</v>
      </c>
      <c r="B1203" s="59" t="s">
        <v>14</v>
      </c>
      <c r="C1203" s="59" t="s">
        <v>4183</v>
      </c>
      <c r="D1203" s="59" t="s">
        <v>4184</v>
      </c>
      <c r="E1203" s="59" t="s">
        <v>4185</v>
      </c>
      <c r="F1203" s="59" t="s">
        <v>2166</v>
      </c>
      <c r="G1203" s="59" t="s">
        <v>4186</v>
      </c>
      <c r="I1203" s="59" t="s">
        <v>748</v>
      </c>
    </row>
    <row r="1204" spans="1:9" ht="11.25" customHeight="1">
      <c r="A1204" s="59" t="s">
        <v>2162</v>
      </c>
      <c r="B1204" s="59" t="s">
        <v>14</v>
      </c>
      <c r="C1204" s="59" t="s">
        <v>4187</v>
      </c>
      <c r="D1204" s="59" t="s">
        <v>4188</v>
      </c>
      <c r="E1204" s="59" t="s">
        <v>4189</v>
      </c>
      <c r="F1204" s="59" t="s">
        <v>4190</v>
      </c>
      <c r="I1204" s="59" t="s">
        <v>748</v>
      </c>
    </row>
    <row r="1205" spans="1:9" ht="11.25" customHeight="1">
      <c r="A1205" s="59" t="s">
        <v>2162</v>
      </c>
      <c r="B1205" s="59" t="s">
        <v>14</v>
      </c>
      <c r="C1205" s="59" t="s">
        <v>4207</v>
      </c>
      <c r="D1205" s="59" t="s">
        <v>4208</v>
      </c>
      <c r="E1205" s="59" t="s">
        <v>4209</v>
      </c>
      <c r="F1205" s="59" t="s">
        <v>2291</v>
      </c>
      <c r="I1205" s="59" t="s">
        <v>748</v>
      </c>
    </row>
    <row r="1206" spans="1:9" ht="11.25" customHeight="1">
      <c r="A1206" s="59" t="s">
        <v>2162</v>
      </c>
      <c r="B1206" s="59" t="s">
        <v>14</v>
      </c>
      <c r="C1206" s="59" t="s">
        <v>4217</v>
      </c>
      <c r="D1206" s="59" t="s">
        <v>4218</v>
      </c>
      <c r="E1206" s="59" t="s">
        <v>4219</v>
      </c>
      <c r="F1206" s="59" t="s">
        <v>2291</v>
      </c>
      <c r="I1206" s="59" t="s">
        <v>748</v>
      </c>
    </row>
    <row r="1207" spans="1:9" ht="11.25" customHeight="1">
      <c r="A1207" s="59" t="s">
        <v>2162</v>
      </c>
      <c r="B1207" s="59" t="s">
        <v>14</v>
      </c>
      <c r="C1207" s="59" t="s">
        <v>4223</v>
      </c>
      <c r="D1207" s="59" t="s">
        <v>4224</v>
      </c>
      <c r="E1207" s="59" t="s">
        <v>4225</v>
      </c>
      <c r="F1207" s="59" t="s">
        <v>2266</v>
      </c>
      <c r="G1207" s="59" t="s">
        <v>4226</v>
      </c>
      <c r="I1207" s="59" t="s">
        <v>748</v>
      </c>
    </row>
    <row r="1208" spans="1:9" ht="11.25" customHeight="1">
      <c r="A1208" s="59" t="s">
        <v>2162</v>
      </c>
      <c r="B1208" s="59" t="s">
        <v>14</v>
      </c>
      <c r="C1208" s="59" t="s">
        <v>4227</v>
      </c>
      <c r="D1208" s="59" t="s">
        <v>4228</v>
      </c>
      <c r="E1208" s="59" t="s">
        <v>4229</v>
      </c>
      <c r="F1208" s="59" t="s">
        <v>2478</v>
      </c>
      <c r="I1208" s="59" t="s">
        <v>748</v>
      </c>
    </row>
    <row r="1209" spans="1:9" ht="11.25" customHeight="1">
      <c r="A1209" s="59" t="s">
        <v>2162</v>
      </c>
      <c r="B1209" s="59" t="s">
        <v>14</v>
      </c>
      <c r="C1209" s="59" t="s">
        <v>4649</v>
      </c>
      <c r="D1209" s="59" t="s">
        <v>4650</v>
      </c>
      <c r="E1209" s="59" t="s">
        <v>4651</v>
      </c>
      <c r="F1209" s="59" t="s">
        <v>2197</v>
      </c>
      <c r="I1209" s="59" t="s">
        <v>748</v>
      </c>
    </row>
    <row r="1210" spans="1:9" ht="11.25" customHeight="1">
      <c r="A1210" s="59" t="s">
        <v>2162</v>
      </c>
      <c r="B1210" s="59" t="s">
        <v>14</v>
      </c>
      <c r="C1210" s="59" t="s">
        <v>4233</v>
      </c>
      <c r="D1210" s="59" t="s">
        <v>4234</v>
      </c>
      <c r="E1210" s="59" t="s">
        <v>4209</v>
      </c>
      <c r="F1210" s="59" t="s">
        <v>2669</v>
      </c>
      <c r="G1210" s="59" t="s">
        <v>4235</v>
      </c>
      <c r="I1210" s="59" t="s">
        <v>748</v>
      </c>
    </row>
    <row r="1211" spans="1:9" ht="11.25" customHeight="1">
      <c r="A1211" s="59" t="s">
        <v>2162</v>
      </c>
      <c r="B1211" s="59" t="s">
        <v>14</v>
      </c>
      <c r="C1211" s="59" t="s">
        <v>4239</v>
      </c>
      <c r="D1211" s="59" t="s">
        <v>4240</v>
      </c>
      <c r="E1211" s="59" t="s">
        <v>4143</v>
      </c>
      <c r="F1211" s="59" t="s">
        <v>4241</v>
      </c>
      <c r="G1211" s="59" t="s">
        <v>4242</v>
      </c>
      <c r="I1211" s="59" t="s">
        <v>748</v>
      </c>
    </row>
    <row r="1212" spans="1:9" ht="11.25" customHeight="1">
      <c r="A1212" s="59" t="s">
        <v>2162</v>
      </c>
      <c r="B1212" s="59" t="s">
        <v>14</v>
      </c>
      <c r="C1212" s="59" t="s">
        <v>4243</v>
      </c>
      <c r="D1212" s="59" t="s">
        <v>4244</v>
      </c>
      <c r="E1212" s="59" t="s">
        <v>2477</v>
      </c>
      <c r="F1212" s="59" t="s">
        <v>4245</v>
      </c>
      <c r="I1212" s="59" t="s">
        <v>748</v>
      </c>
    </row>
    <row r="1213" spans="1:9" ht="11.25" customHeight="1">
      <c r="A1213" s="59" t="s">
        <v>2162</v>
      </c>
      <c r="B1213" s="59" t="s">
        <v>14</v>
      </c>
      <c r="C1213" s="59" t="s">
        <v>4246</v>
      </c>
      <c r="D1213" s="59" t="s">
        <v>4247</v>
      </c>
      <c r="E1213" s="59" t="s">
        <v>2477</v>
      </c>
      <c r="F1213" s="59" t="s">
        <v>2573</v>
      </c>
      <c r="G1213" s="59" t="s">
        <v>4248</v>
      </c>
      <c r="I1213" s="59" t="s">
        <v>748</v>
      </c>
    </row>
    <row r="1214" spans="1:9" ht="11.25" customHeight="1">
      <c r="A1214" s="59" t="s">
        <v>2162</v>
      </c>
      <c r="B1214" s="59" t="s">
        <v>14</v>
      </c>
      <c r="C1214" s="59" t="s">
        <v>4254</v>
      </c>
      <c r="D1214" s="59" t="s">
        <v>4255</v>
      </c>
      <c r="E1214" s="59" t="s">
        <v>4256</v>
      </c>
      <c r="F1214" s="59" t="s">
        <v>4257</v>
      </c>
      <c r="I1214" s="59" t="s">
        <v>748</v>
      </c>
    </row>
    <row r="1215" spans="1:9" ht="11.25" customHeight="1">
      <c r="A1215" s="59" t="s">
        <v>2162</v>
      </c>
      <c r="B1215" s="59" t="s">
        <v>14</v>
      </c>
      <c r="C1215" s="59" t="s">
        <v>2163</v>
      </c>
      <c r="D1215" s="59" t="s">
        <v>2164</v>
      </c>
      <c r="E1215" s="59" t="s">
        <v>2165</v>
      </c>
      <c r="F1215" s="59" t="s">
        <v>2166</v>
      </c>
      <c r="G1215" s="59" t="s">
        <v>2167</v>
      </c>
      <c r="I1215" s="59" t="s">
        <v>800</v>
      </c>
    </row>
    <row r="1216" spans="1:9" ht="11.25" customHeight="1">
      <c r="A1216" s="59" t="s">
        <v>2162</v>
      </c>
      <c r="B1216" s="59" t="s">
        <v>14</v>
      </c>
      <c r="C1216" s="59" t="s">
        <v>4268</v>
      </c>
      <c r="D1216" s="59" t="s">
        <v>4269</v>
      </c>
      <c r="E1216" s="59" t="s">
        <v>4270</v>
      </c>
      <c r="F1216" s="59" t="s">
        <v>2210</v>
      </c>
      <c r="I1216" s="59" t="s">
        <v>800</v>
      </c>
    </row>
    <row r="1217" spans="1:9" ht="11.25" customHeight="1">
      <c r="A1217" s="59" t="s">
        <v>2162</v>
      </c>
      <c r="B1217" s="59" t="s">
        <v>14</v>
      </c>
      <c r="C1217" s="59" t="s">
        <v>2172</v>
      </c>
      <c r="D1217" s="59" t="s">
        <v>2173</v>
      </c>
      <c r="E1217" s="59" t="s">
        <v>2174</v>
      </c>
      <c r="F1217" s="59" t="s">
        <v>2175</v>
      </c>
      <c r="G1217" s="59" t="s">
        <v>2176</v>
      </c>
      <c r="I1217" s="59" t="s">
        <v>800</v>
      </c>
    </row>
    <row r="1218" spans="1:9" ht="11.25" customHeight="1">
      <c r="A1218" s="59" t="s">
        <v>2162</v>
      </c>
      <c r="B1218" s="59" t="s">
        <v>14</v>
      </c>
      <c r="C1218" s="59" t="s">
        <v>2181</v>
      </c>
      <c r="D1218" s="59" t="s">
        <v>2182</v>
      </c>
      <c r="E1218" s="59" t="s">
        <v>2183</v>
      </c>
      <c r="F1218" s="59" t="s">
        <v>2184</v>
      </c>
      <c r="I1218" s="59" t="s">
        <v>800</v>
      </c>
    </row>
    <row r="1219" spans="1:9" ht="11.25" customHeight="1">
      <c r="A1219" s="59" t="s">
        <v>2162</v>
      </c>
      <c r="B1219" s="59" t="s">
        <v>14</v>
      </c>
      <c r="C1219" s="59" t="s">
        <v>2199</v>
      </c>
      <c r="D1219" s="59" t="s">
        <v>2200</v>
      </c>
      <c r="E1219" s="59" t="s">
        <v>2201</v>
      </c>
      <c r="F1219" s="59" t="s">
        <v>2202</v>
      </c>
      <c r="I1219" s="59" t="s">
        <v>800</v>
      </c>
    </row>
    <row r="1220" spans="1:9" ht="11.25" customHeight="1">
      <c r="A1220" s="59" t="s">
        <v>2162</v>
      </c>
      <c r="B1220" s="59" t="s">
        <v>14</v>
      </c>
      <c r="C1220" s="59" t="s">
        <v>2207</v>
      </c>
      <c r="D1220" s="59" t="s">
        <v>2208</v>
      </c>
      <c r="E1220" s="59" t="s">
        <v>2209</v>
      </c>
      <c r="F1220" s="59" t="s">
        <v>2210</v>
      </c>
      <c r="I1220" s="59" t="s">
        <v>800</v>
      </c>
    </row>
    <row r="1221" spans="1:9" ht="11.25" customHeight="1">
      <c r="A1221" s="59" t="s">
        <v>2162</v>
      </c>
      <c r="B1221" s="59" t="s">
        <v>14</v>
      </c>
      <c r="C1221" s="59" t="s">
        <v>2218</v>
      </c>
      <c r="D1221" s="59" t="s">
        <v>2219</v>
      </c>
      <c r="E1221" s="59" t="s">
        <v>2216</v>
      </c>
      <c r="F1221" s="59" t="s">
        <v>2220</v>
      </c>
      <c r="G1221" s="59" t="s">
        <v>2221</v>
      </c>
      <c r="I1221" s="59" t="s">
        <v>800</v>
      </c>
    </row>
    <row r="1222" spans="1:9" ht="11.25" customHeight="1">
      <c r="A1222" s="59" t="s">
        <v>2162</v>
      </c>
      <c r="B1222" s="59" t="s">
        <v>14</v>
      </c>
      <c r="C1222" s="59" t="s">
        <v>2225</v>
      </c>
      <c r="D1222" s="59" t="s">
        <v>2226</v>
      </c>
      <c r="E1222" s="59" t="s">
        <v>2227</v>
      </c>
      <c r="F1222" s="59" t="s">
        <v>2228</v>
      </c>
      <c r="G1222" s="59" t="s">
        <v>2229</v>
      </c>
      <c r="I1222" s="59" t="s">
        <v>800</v>
      </c>
    </row>
    <row r="1223" spans="1:9" ht="11.25" customHeight="1">
      <c r="A1223" s="59" t="s">
        <v>2162</v>
      </c>
      <c r="B1223" s="59" t="s">
        <v>14</v>
      </c>
      <c r="C1223" s="59" t="s">
        <v>2234</v>
      </c>
      <c r="D1223" s="59" t="s">
        <v>2235</v>
      </c>
      <c r="E1223" s="59" t="s">
        <v>2236</v>
      </c>
      <c r="F1223" s="59" t="s">
        <v>2166</v>
      </c>
      <c r="I1223" s="59" t="s">
        <v>800</v>
      </c>
    </row>
    <row r="1224" spans="1:9" ht="11.25" customHeight="1">
      <c r="A1224" s="59" t="s">
        <v>2162</v>
      </c>
      <c r="B1224" s="59" t="s">
        <v>14</v>
      </c>
      <c r="C1224" s="59" t="s">
        <v>2249</v>
      </c>
      <c r="D1224" s="59" t="s">
        <v>2250</v>
      </c>
      <c r="E1224" s="59" t="s">
        <v>2251</v>
      </c>
      <c r="F1224" s="59" t="s">
        <v>2252</v>
      </c>
      <c r="G1224" s="59" t="s">
        <v>2253</v>
      </c>
      <c r="I1224" s="59" t="s">
        <v>800</v>
      </c>
    </row>
    <row r="1225" spans="1:9" ht="11.25" customHeight="1">
      <c r="A1225" s="59" t="s">
        <v>2162</v>
      </c>
      <c r="B1225" s="59" t="s">
        <v>14</v>
      </c>
      <c r="C1225" s="59" t="s">
        <v>4278</v>
      </c>
      <c r="D1225" s="59" t="s">
        <v>4279</v>
      </c>
      <c r="E1225" s="59" t="s">
        <v>4280</v>
      </c>
      <c r="F1225" s="59" t="s">
        <v>2478</v>
      </c>
      <c r="I1225" s="59" t="s">
        <v>800</v>
      </c>
    </row>
    <row r="1226" spans="1:9" ht="11.25" customHeight="1">
      <c r="A1226" s="59" t="s">
        <v>2162</v>
      </c>
      <c r="B1226" s="59" t="s">
        <v>14</v>
      </c>
      <c r="C1226" s="59" t="s">
        <v>4281</v>
      </c>
      <c r="D1226" s="59" t="s">
        <v>4282</v>
      </c>
      <c r="E1226" s="59" t="s">
        <v>4283</v>
      </c>
      <c r="F1226" s="59" t="s">
        <v>4284</v>
      </c>
      <c r="G1226" s="59" t="s">
        <v>4285</v>
      </c>
      <c r="I1226" s="59" t="s">
        <v>800</v>
      </c>
    </row>
    <row r="1227" spans="1:9" ht="11.25" customHeight="1">
      <c r="A1227" s="59" t="s">
        <v>2162</v>
      </c>
      <c r="B1227" s="59" t="s">
        <v>14</v>
      </c>
      <c r="C1227" s="59" t="s">
        <v>2282</v>
      </c>
      <c r="D1227" s="59" t="s">
        <v>2283</v>
      </c>
      <c r="E1227" s="59" t="s">
        <v>2284</v>
      </c>
      <c r="F1227" s="59" t="s">
        <v>2202</v>
      </c>
      <c r="I1227" s="59" t="s">
        <v>800</v>
      </c>
    </row>
    <row r="1228" spans="1:9" ht="11.25" customHeight="1">
      <c r="A1228" s="59" t="s">
        <v>2162</v>
      </c>
      <c r="B1228" s="59" t="s">
        <v>14</v>
      </c>
      <c r="C1228" s="59" t="s">
        <v>2292</v>
      </c>
      <c r="D1228" s="59" t="s">
        <v>2293</v>
      </c>
      <c r="E1228" s="59" t="s">
        <v>2294</v>
      </c>
      <c r="F1228" s="59" t="s">
        <v>2248</v>
      </c>
      <c r="G1228" s="59" t="s">
        <v>2295</v>
      </c>
      <c r="I1228" s="59" t="s">
        <v>800</v>
      </c>
    </row>
    <row r="1229" spans="1:9" ht="11.25" customHeight="1">
      <c r="A1229" s="59" t="s">
        <v>2162</v>
      </c>
      <c r="B1229" s="59" t="s">
        <v>14</v>
      </c>
      <c r="C1229" s="59" t="s">
        <v>2296</v>
      </c>
      <c r="D1229" s="59" t="s">
        <v>2297</v>
      </c>
      <c r="E1229" s="59" t="s">
        <v>2298</v>
      </c>
      <c r="F1229" s="59" t="s">
        <v>2299</v>
      </c>
      <c r="G1229" s="59" t="s">
        <v>2300</v>
      </c>
      <c r="I1229" s="59" t="s">
        <v>800</v>
      </c>
    </row>
    <row r="1230" spans="1:9" ht="11.25" customHeight="1">
      <c r="A1230" s="59" t="s">
        <v>2162</v>
      </c>
      <c r="B1230" s="59" t="s">
        <v>14</v>
      </c>
      <c r="C1230" s="59" t="s">
        <v>2301</v>
      </c>
      <c r="D1230" s="59" t="s">
        <v>2302</v>
      </c>
      <c r="E1230" s="59" t="s">
        <v>2179</v>
      </c>
      <c r="F1230" s="59" t="s">
        <v>2303</v>
      </c>
      <c r="G1230" s="59" t="s">
        <v>2304</v>
      </c>
      <c r="I1230" s="59" t="s">
        <v>800</v>
      </c>
    </row>
    <row r="1231" spans="1:9" ht="11.25" customHeight="1">
      <c r="A1231" s="59" t="s">
        <v>2162</v>
      </c>
      <c r="B1231" s="59" t="s">
        <v>14</v>
      </c>
      <c r="C1231" s="59" t="s">
        <v>4286</v>
      </c>
      <c r="D1231" s="59" t="s">
        <v>4287</v>
      </c>
      <c r="E1231" s="59" t="s">
        <v>4288</v>
      </c>
      <c r="F1231" s="59" t="s">
        <v>2478</v>
      </c>
      <c r="G1231" s="59" t="s">
        <v>4289</v>
      </c>
      <c r="I1231" s="59" t="s">
        <v>800</v>
      </c>
    </row>
    <row r="1232" spans="1:9" ht="11.25" customHeight="1">
      <c r="A1232" s="59" t="s">
        <v>2162</v>
      </c>
      <c r="B1232" s="59" t="s">
        <v>14</v>
      </c>
      <c r="C1232" s="59" t="s">
        <v>2310</v>
      </c>
      <c r="D1232" s="59" t="s">
        <v>2311</v>
      </c>
      <c r="E1232" s="59" t="s">
        <v>2312</v>
      </c>
      <c r="F1232" s="59" t="s">
        <v>2308</v>
      </c>
      <c r="G1232" s="59" t="s">
        <v>2313</v>
      </c>
      <c r="I1232" s="59" t="s">
        <v>800</v>
      </c>
    </row>
    <row r="1233" spans="1:9" ht="11.25" customHeight="1">
      <c r="A1233" s="59" t="s">
        <v>2162</v>
      </c>
      <c r="B1233" s="59" t="s">
        <v>14</v>
      </c>
      <c r="C1233" s="59" t="s">
        <v>2314</v>
      </c>
      <c r="D1233" s="59" t="s">
        <v>2315</v>
      </c>
      <c r="E1233" s="59" t="s">
        <v>2316</v>
      </c>
      <c r="F1233" s="59" t="s">
        <v>2317</v>
      </c>
      <c r="I1233" s="59" t="s">
        <v>800</v>
      </c>
    </row>
    <row r="1234" spans="1:9" ht="11.25" customHeight="1">
      <c r="A1234" s="59" t="s">
        <v>2162</v>
      </c>
      <c r="B1234" s="59" t="s">
        <v>14</v>
      </c>
      <c r="C1234" s="59" t="s">
        <v>2331</v>
      </c>
      <c r="D1234" s="59" t="s">
        <v>2332</v>
      </c>
      <c r="E1234" s="59" t="s">
        <v>2333</v>
      </c>
      <c r="F1234" s="59" t="s">
        <v>2291</v>
      </c>
      <c r="G1234" s="59" t="s">
        <v>2334</v>
      </c>
      <c r="I1234" s="59" t="s">
        <v>800</v>
      </c>
    </row>
    <row r="1235" spans="1:9" ht="11.25" customHeight="1">
      <c r="A1235" s="59" t="s">
        <v>2162</v>
      </c>
      <c r="B1235" s="59" t="s">
        <v>14</v>
      </c>
      <c r="C1235" s="59" t="s">
        <v>2350</v>
      </c>
      <c r="D1235" s="59" t="s">
        <v>2351</v>
      </c>
      <c r="E1235" s="59" t="s">
        <v>2333</v>
      </c>
      <c r="F1235" s="59" t="s">
        <v>2352</v>
      </c>
      <c r="I1235" s="59" t="s">
        <v>800</v>
      </c>
    </row>
    <row r="1236" spans="1:9" ht="11.25" customHeight="1">
      <c r="A1236" s="59" t="s">
        <v>2162</v>
      </c>
      <c r="B1236" s="59" t="s">
        <v>14</v>
      </c>
      <c r="C1236" s="59" t="s">
        <v>2353</v>
      </c>
      <c r="D1236" s="59" t="s">
        <v>2354</v>
      </c>
      <c r="E1236" s="59" t="s">
        <v>2333</v>
      </c>
      <c r="F1236" s="59" t="s">
        <v>2355</v>
      </c>
      <c r="I1236" s="59" t="s">
        <v>800</v>
      </c>
    </row>
    <row r="1237" spans="1:9" ht="11.25" customHeight="1">
      <c r="A1237" s="59" t="s">
        <v>2162</v>
      </c>
      <c r="B1237" s="59" t="s">
        <v>14</v>
      </c>
      <c r="C1237" s="59" t="s">
        <v>2359</v>
      </c>
      <c r="D1237" s="59" t="s">
        <v>2360</v>
      </c>
      <c r="E1237" s="59" t="s">
        <v>2333</v>
      </c>
      <c r="F1237" s="59" t="s">
        <v>2361</v>
      </c>
      <c r="I1237" s="59" t="s">
        <v>800</v>
      </c>
    </row>
    <row r="1238" spans="1:9" ht="11.25" customHeight="1">
      <c r="A1238" s="59" t="s">
        <v>2162</v>
      </c>
      <c r="B1238" s="59" t="s">
        <v>14</v>
      </c>
      <c r="C1238" s="59" t="s">
        <v>2374</v>
      </c>
      <c r="D1238" s="59" t="s">
        <v>2375</v>
      </c>
      <c r="E1238" s="59" t="s">
        <v>2376</v>
      </c>
      <c r="F1238" s="59" t="s">
        <v>2228</v>
      </c>
      <c r="G1238" s="59" t="s">
        <v>2377</v>
      </c>
      <c r="I1238" s="59" t="s">
        <v>800</v>
      </c>
    </row>
    <row r="1239" spans="1:9" ht="11.25" customHeight="1">
      <c r="A1239" s="59" t="s">
        <v>2162</v>
      </c>
      <c r="B1239" s="59" t="s">
        <v>14</v>
      </c>
      <c r="C1239" s="59" t="s">
        <v>4652</v>
      </c>
      <c r="D1239" s="59" t="s">
        <v>4653</v>
      </c>
      <c r="E1239" s="59" t="s">
        <v>4654</v>
      </c>
      <c r="F1239" s="59" t="s">
        <v>2299</v>
      </c>
      <c r="G1239" s="59" t="s">
        <v>4655</v>
      </c>
      <c r="I1239" s="59" t="s">
        <v>800</v>
      </c>
    </row>
    <row r="1240" spans="1:9" ht="11.25" customHeight="1">
      <c r="A1240" s="59" t="s">
        <v>2162</v>
      </c>
      <c r="B1240" s="59" t="s">
        <v>14</v>
      </c>
      <c r="C1240" s="59" t="s">
        <v>4290</v>
      </c>
      <c r="D1240" s="59" t="s">
        <v>4291</v>
      </c>
      <c r="E1240" s="59" t="s">
        <v>4292</v>
      </c>
      <c r="F1240" s="59" t="s">
        <v>2166</v>
      </c>
      <c r="G1240" s="59" t="s">
        <v>4293</v>
      </c>
      <c r="I1240" s="59" t="s">
        <v>800</v>
      </c>
    </row>
    <row r="1241" spans="1:9" ht="11.25" customHeight="1">
      <c r="A1241" s="59" t="s">
        <v>2162</v>
      </c>
      <c r="B1241" s="59" t="s">
        <v>14</v>
      </c>
      <c r="C1241" s="59" t="s">
        <v>2381</v>
      </c>
      <c r="D1241" s="59" t="s">
        <v>2382</v>
      </c>
      <c r="E1241" s="59" t="s">
        <v>2383</v>
      </c>
      <c r="F1241" s="59" t="s">
        <v>2166</v>
      </c>
      <c r="I1241" s="59" t="s">
        <v>800</v>
      </c>
    </row>
    <row r="1242" spans="1:9" ht="11.25" customHeight="1">
      <c r="A1242" s="59" t="s">
        <v>2162</v>
      </c>
      <c r="B1242" s="59" t="s">
        <v>14</v>
      </c>
      <c r="C1242" s="59" t="s">
        <v>2384</v>
      </c>
      <c r="D1242" s="59" t="s">
        <v>2385</v>
      </c>
      <c r="E1242" s="59" t="s">
        <v>2386</v>
      </c>
      <c r="F1242" s="59" t="s">
        <v>2228</v>
      </c>
      <c r="G1242" s="59" t="s">
        <v>2387</v>
      </c>
      <c r="I1242" s="59" t="s">
        <v>800</v>
      </c>
    </row>
    <row r="1243" spans="1:9" ht="11.25" customHeight="1">
      <c r="A1243" s="59" t="s">
        <v>2162</v>
      </c>
      <c r="B1243" s="59" t="s">
        <v>14</v>
      </c>
      <c r="C1243" s="59" t="s">
        <v>2442</v>
      </c>
      <c r="D1243" s="59" t="s">
        <v>2443</v>
      </c>
      <c r="E1243" s="59" t="s">
        <v>2444</v>
      </c>
      <c r="F1243" s="59" t="s">
        <v>2445</v>
      </c>
      <c r="I1243" s="59" t="s">
        <v>800</v>
      </c>
    </row>
    <row r="1244" spans="1:9" ht="11.25" customHeight="1">
      <c r="A1244" s="59" t="s">
        <v>2162</v>
      </c>
      <c r="B1244" s="59" t="s">
        <v>14</v>
      </c>
      <c r="C1244" s="59" t="s">
        <v>2453</v>
      </c>
      <c r="D1244" s="59" t="s">
        <v>2454</v>
      </c>
      <c r="E1244" s="59" t="s">
        <v>2455</v>
      </c>
      <c r="F1244" s="59" t="s">
        <v>2391</v>
      </c>
      <c r="I1244" s="59" t="s">
        <v>800</v>
      </c>
    </row>
    <row r="1245" spans="1:9" ht="11.25" customHeight="1">
      <c r="A1245" s="59" t="s">
        <v>2162</v>
      </c>
      <c r="B1245" s="59" t="s">
        <v>14</v>
      </c>
      <c r="C1245" s="59" t="s">
        <v>2456</v>
      </c>
      <c r="D1245" s="59" t="s">
        <v>2457</v>
      </c>
      <c r="E1245" s="59" t="s">
        <v>2458</v>
      </c>
      <c r="F1245" s="59" t="s">
        <v>2291</v>
      </c>
      <c r="I1245" s="59" t="s">
        <v>800</v>
      </c>
    </row>
    <row r="1246" spans="1:9" ht="11.25" customHeight="1">
      <c r="A1246" s="59" t="s">
        <v>2162</v>
      </c>
      <c r="B1246" s="59" t="s">
        <v>14</v>
      </c>
      <c r="C1246" s="59" t="s">
        <v>2465</v>
      </c>
      <c r="D1246" s="59" t="s">
        <v>2466</v>
      </c>
      <c r="E1246" s="59" t="s">
        <v>2467</v>
      </c>
      <c r="F1246" s="59" t="s">
        <v>2299</v>
      </c>
      <c r="G1246" s="59" t="s">
        <v>2468</v>
      </c>
      <c r="I1246" s="59" t="s">
        <v>800</v>
      </c>
    </row>
    <row r="1247" spans="1:9" ht="11.25" customHeight="1">
      <c r="A1247" s="59" t="s">
        <v>2162</v>
      </c>
      <c r="B1247" s="59" t="s">
        <v>14</v>
      </c>
      <c r="C1247" s="59" t="s">
        <v>4294</v>
      </c>
      <c r="D1247" s="59" t="s">
        <v>4295</v>
      </c>
      <c r="E1247" s="59" t="s">
        <v>4296</v>
      </c>
      <c r="F1247" s="59" t="s">
        <v>2478</v>
      </c>
      <c r="I1247" s="59" t="s">
        <v>800</v>
      </c>
    </row>
    <row r="1248" spans="1:9" ht="11.25" customHeight="1">
      <c r="A1248" s="59" t="s">
        <v>2162</v>
      </c>
      <c r="B1248" s="59" t="s">
        <v>14</v>
      </c>
      <c r="C1248" s="59" t="s">
        <v>2483</v>
      </c>
      <c r="D1248" s="59" t="s">
        <v>2484</v>
      </c>
      <c r="E1248" s="59" t="s">
        <v>2485</v>
      </c>
      <c r="F1248" s="59" t="s">
        <v>2486</v>
      </c>
      <c r="G1248" s="59" t="s">
        <v>2487</v>
      </c>
      <c r="I1248" s="59" t="s">
        <v>800</v>
      </c>
    </row>
    <row r="1249" spans="1:9" ht="11.25" customHeight="1">
      <c r="A1249" s="59" t="s">
        <v>2162</v>
      </c>
      <c r="B1249" s="59" t="s">
        <v>14</v>
      </c>
      <c r="C1249" s="59" t="s">
        <v>2488</v>
      </c>
      <c r="D1249" s="59" t="s">
        <v>2489</v>
      </c>
      <c r="E1249" s="59" t="s">
        <v>2490</v>
      </c>
      <c r="F1249" s="59" t="s">
        <v>2299</v>
      </c>
      <c r="G1249" s="59" t="s">
        <v>2491</v>
      </c>
      <c r="I1249" s="59" t="s">
        <v>800</v>
      </c>
    </row>
    <row r="1250" spans="1:9" ht="11.25" customHeight="1">
      <c r="A1250" s="59" t="s">
        <v>2162</v>
      </c>
      <c r="B1250" s="59" t="s">
        <v>14</v>
      </c>
      <c r="C1250" s="59" t="s">
        <v>4656</v>
      </c>
      <c r="D1250" s="59" t="s">
        <v>4657</v>
      </c>
      <c r="E1250" s="59" t="s">
        <v>4658</v>
      </c>
      <c r="F1250" s="59" t="s">
        <v>2166</v>
      </c>
      <c r="I1250" s="59" t="s">
        <v>800</v>
      </c>
    </row>
    <row r="1251" spans="1:9" ht="11.25" customHeight="1">
      <c r="A1251" s="59" t="s">
        <v>2162</v>
      </c>
      <c r="B1251" s="59" t="s">
        <v>14</v>
      </c>
      <c r="C1251" s="59" t="s">
        <v>2505</v>
      </c>
      <c r="D1251" s="59" t="s">
        <v>2506</v>
      </c>
      <c r="E1251" s="59" t="s">
        <v>2507</v>
      </c>
      <c r="F1251" s="59" t="s">
        <v>2277</v>
      </c>
      <c r="G1251" s="59" t="s">
        <v>2508</v>
      </c>
      <c r="I1251" s="59" t="s">
        <v>800</v>
      </c>
    </row>
    <row r="1252" spans="1:9" ht="11.25" customHeight="1">
      <c r="A1252" s="59" t="s">
        <v>2162</v>
      </c>
      <c r="B1252" s="59" t="s">
        <v>14</v>
      </c>
      <c r="C1252" s="59" t="s">
        <v>2509</v>
      </c>
      <c r="D1252" s="59" t="s">
        <v>2510</v>
      </c>
      <c r="E1252" s="59" t="s">
        <v>2511</v>
      </c>
      <c r="F1252" s="59" t="s">
        <v>2166</v>
      </c>
      <c r="I1252" s="59" t="s">
        <v>800</v>
      </c>
    </row>
    <row r="1253" spans="1:9" ht="11.25" customHeight="1">
      <c r="A1253" s="59" t="s">
        <v>2162</v>
      </c>
      <c r="B1253" s="59" t="s">
        <v>14</v>
      </c>
      <c r="C1253" s="59" t="s">
        <v>2521</v>
      </c>
      <c r="D1253" s="59" t="s">
        <v>2522</v>
      </c>
      <c r="E1253" s="59" t="s">
        <v>2523</v>
      </c>
      <c r="F1253" s="59" t="s">
        <v>2248</v>
      </c>
      <c r="I1253" s="59" t="s">
        <v>800</v>
      </c>
    </row>
    <row r="1254" spans="1:9" ht="11.25" customHeight="1">
      <c r="A1254" s="59" t="s">
        <v>2162</v>
      </c>
      <c r="B1254" s="59" t="s">
        <v>14</v>
      </c>
      <c r="C1254" s="59" t="s">
        <v>2524</v>
      </c>
      <c r="D1254" s="59" t="s">
        <v>2525</v>
      </c>
      <c r="E1254" s="59" t="s">
        <v>2526</v>
      </c>
      <c r="F1254" s="59" t="s">
        <v>2233</v>
      </c>
      <c r="I1254" s="59" t="s">
        <v>800</v>
      </c>
    </row>
    <row r="1255" spans="1:9" ht="11.25" customHeight="1">
      <c r="A1255" s="59" t="s">
        <v>2162</v>
      </c>
      <c r="B1255" s="59" t="s">
        <v>14</v>
      </c>
      <c r="C1255" s="59" t="s">
        <v>2527</v>
      </c>
      <c r="D1255" s="59" t="s">
        <v>2528</v>
      </c>
      <c r="E1255" s="59" t="s">
        <v>2529</v>
      </c>
      <c r="F1255" s="59" t="s">
        <v>2530</v>
      </c>
      <c r="G1255" s="59" t="s">
        <v>2531</v>
      </c>
      <c r="I1255" s="59" t="s">
        <v>800</v>
      </c>
    </row>
    <row r="1256" spans="1:9" ht="11.25" customHeight="1">
      <c r="A1256" s="59" t="s">
        <v>2162</v>
      </c>
      <c r="B1256" s="59" t="s">
        <v>14</v>
      </c>
      <c r="C1256" s="59" t="s">
        <v>2535</v>
      </c>
      <c r="D1256" s="59" t="s">
        <v>2536</v>
      </c>
      <c r="E1256" s="59" t="s">
        <v>2537</v>
      </c>
      <c r="F1256" s="59" t="s">
        <v>2538</v>
      </c>
      <c r="I1256" s="59" t="s">
        <v>800</v>
      </c>
    </row>
    <row r="1257" spans="1:9" ht="11.25" customHeight="1">
      <c r="A1257" s="59" t="s">
        <v>2162</v>
      </c>
      <c r="B1257" s="59" t="s">
        <v>14</v>
      </c>
      <c r="C1257" s="59" t="s">
        <v>2539</v>
      </c>
      <c r="D1257" s="59" t="s">
        <v>2540</v>
      </c>
      <c r="E1257" s="59" t="s">
        <v>2537</v>
      </c>
      <c r="F1257" s="59" t="s">
        <v>2248</v>
      </c>
      <c r="G1257" s="59" t="s">
        <v>2387</v>
      </c>
      <c r="I1257" s="59" t="s">
        <v>800</v>
      </c>
    </row>
    <row r="1258" spans="1:9" ht="11.25" customHeight="1">
      <c r="A1258" s="59" t="s">
        <v>2162</v>
      </c>
      <c r="B1258" s="59" t="s">
        <v>14</v>
      </c>
      <c r="C1258" s="59" t="s">
        <v>2545</v>
      </c>
      <c r="D1258" s="59" t="s">
        <v>2546</v>
      </c>
      <c r="E1258" s="59" t="s">
        <v>2547</v>
      </c>
      <c r="F1258" s="59" t="s">
        <v>2202</v>
      </c>
      <c r="G1258" s="59" t="s">
        <v>2548</v>
      </c>
      <c r="I1258" s="59" t="s">
        <v>800</v>
      </c>
    </row>
    <row r="1259" spans="1:9" ht="11.25" customHeight="1">
      <c r="A1259" s="59" t="s">
        <v>2162</v>
      </c>
      <c r="B1259" s="59" t="s">
        <v>14</v>
      </c>
      <c r="C1259" s="59" t="s">
        <v>4659</v>
      </c>
      <c r="D1259" s="59" t="s">
        <v>4660</v>
      </c>
      <c r="E1259" s="59" t="s">
        <v>4661</v>
      </c>
      <c r="F1259" s="59" t="s">
        <v>3146</v>
      </c>
      <c r="I1259" s="59" t="s">
        <v>800</v>
      </c>
    </row>
    <row r="1260" spans="1:9" ht="11.25" customHeight="1">
      <c r="A1260" s="59" t="s">
        <v>2162</v>
      </c>
      <c r="B1260" s="59" t="s">
        <v>14</v>
      </c>
      <c r="C1260" s="59" t="s">
        <v>4662</v>
      </c>
      <c r="D1260" s="59" t="s">
        <v>4663</v>
      </c>
      <c r="E1260" s="59" t="s">
        <v>4664</v>
      </c>
      <c r="F1260" s="59" t="s">
        <v>2486</v>
      </c>
      <c r="I1260" s="59" t="s">
        <v>800</v>
      </c>
    </row>
    <row r="1261" spans="1:9" ht="11.25" customHeight="1">
      <c r="A1261" s="59" t="s">
        <v>2162</v>
      </c>
      <c r="B1261" s="59" t="s">
        <v>14</v>
      </c>
      <c r="C1261" s="59" t="s">
        <v>2583</v>
      </c>
      <c r="D1261" s="59" t="s">
        <v>2584</v>
      </c>
      <c r="E1261" s="59" t="s">
        <v>2444</v>
      </c>
      <c r="F1261" s="59" t="s">
        <v>2585</v>
      </c>
      <c r="I1261" s="59" t="s">
        <v>800</v>
      </c>
    </row>
    <row r="1262" spans="1:9" ht="11.25" customHeight="1">
      <c r="A1262" s="59" t="s">
        <v>2162</v>
      </c>
      <c r="B1262" s="59" t="s">
        <v>14</v>
      </c>
      <c r="C1262" s="59" t="s">
        <v>2596</v>
      </c>
      <c r="D1262" s="59" t="s">
        <v>2597</v>
      </c>
      <c r="E1262" s="59" t="s">
        <v>2598</v>
      </c>
      <c r="F1262" s="59" t="s">
        <v>2592</v>
      </c>
      <c r="I1262" s="59" t="s">
        <v>800</v>
      </c>
    </row>
    <row r="1263" spans="1:9" ht="11.25" customHeight="1">
      <c r="A1263" s="59" t="s">
        <v>2162</v>
      </c>
      <c r="B1263" s="59" t="s">
        <v>14</v>
      </c>
      <c r="C1263" s="59" t="s">
        <v>4665</v>
      </c>
      <c r="D1263" s="59" t="s">
        <v>4666</v>
      </c>
      <c r="E1263" s="59" t="s">
        <v>4667</v>
      </c>
      <c r="F1263" s="59" t="s">
        <v>2210</v>
      </c>
      <c r="G1263" s="59" t="s">
        <v>4668</v>
      </c>
      <c r="I1263" s="59" t="s">
        <v>800</v>
      </c>
    </row>
    <row r="1264" spans="1:9" ht="11.25" customHeight="1">
      <c r="A1264" s="59" t="s">
        <v>2162</v>
      </c>
      <c r="B1264" s="59" t="s">
        <v>14</v>
      </c>
      <c r="C1264" s="59" t="s">
        <v>2602</v>
      </c>
      <c r="D1264" s="59" t="s">
        <v>2603</v>
      </c>
      <c r="E1264" s="59" t="s">
        <v>2604</v>
      </c>
      <c r="F1264" s="59" t="s">
        <v>2299</v>
      </c>
      <c r="I1264" s="59" t="s">
        <v>800</v>
      </c>
    </row>
    <row r="1265" spans="1:9" ht="11.25" customHeight="1">
      <c r="A1265" s="59" t="s">
        <v>2162</v>
      </c>
      <c r="B1265" s="59" t="s">
        <v>14</v>
      </c>
      <c r="C1265" s="59" t="s">
        <v>2605</v>
      </c>
      <c r="D1265" s="59" t="s">
        <v>2606</v>
      </c>
      <c r="E1265" s="59" t="s">
        <v>2607</v>
      </c>
      <c r="F1265" s="59" t="s">
        <v>2166</v>
      </c>
      <c r="G1265" s="59" t="s">
        <v>2608</v>
      </c>
      <c r="I1265" s="59" t="s">
        <v>800</v>
      </c>
    </row>
    <row r="1266" spans="1:9" ht="11.25" customHeight="1">
      <c r="A1266" s="59" t="s">
        <v>2162</v>
      </c>
      <c r="B1266" s="59" t="s">
        <v>14</v>
      </c>
      <c r="C1266" s="59" t="s">
        <v>2616</v>
      </c>
      <c r="D1266" s="59" t="s">
        <v>2617</v>
      </c>
      <c r="E1266" s="59" t="s">
        <v>2618</v>
      </c>
      <c r="F1266" s="59" t="s">
        <v>2193</v>
      </c>
      <c r="I1266" s="59" t="s">
        <v>800</v>
      </c>
    </row>
    <row r="1267" spans="1:9" ht="11.25" customHeight="1">
      <c r="A1267" s="59" t="s">
        <v>2162</v>
      </c>
      <c r="B1267" s="59" t="s">
        <v>14</v>
      </c>
      <c r="C1267" s="59" t="s">
        <v>2633</v>
      </c>
      <c r="D1267" s="59" t="s">
        <v>2634</v>
      </c>
      <c r="E1267" s="59" t="s">
        <v>2635</v>
      </c>
      <c r="F1267" s="59" t="s">
        <v>2636</v>
      </c>
      <c r="G1267" s="59" t="s">
        <v>2637</v>
      </c>
      <c r="I1267" s="59" t="s">
        <v>800</v>
      </c>
    </row>
    <row r="1268" spans="1:9" ht="11.25" customHeight="1">
      <c r="A1268" s="59" t="s">
        <v>2162</v>
      </c>
      <c r="B1268" s="59" t="s">
        <v>14</v>
      </c>
      <c r="C1268" s="59" t="s">
        <v>2654</v>
      </c>
      <c r="D1268" s="59" t="s">
        <v>2655</v>
      </c>
      <c r="E1268" s="59" t="s">
        <v>2656</v>
      </c>
      <c r="F1268" s="59" t="s">
        <v>2210</v>
      </c>
      <c r="I1268" s="59" t="s">
        <v>800</v>
      </c>
    </row>
    <row r="1269" spans="1:9" ht="11.25" customHeight="1">
      <c r="A1269" s="59" t="s">
        <v>2162</v>
      </c>
      <c r="B1269" s="59" t="s">
        <v>14</v>
      </c>
      <c r="C1269" s="59" t="s">
        <v>4307</v>
      </c>
      <c r="D1269" s="59" t="s">
        <v>4308</v>
      </c>
      <c r="E1269" s="59" t="s">
        <v>4309</v>
      </c>
      <c r="F1269" s="59" t="s">
        <v>2233</v>
      </c>
      <c r="G1269" s="59" t="s">
        <v>4310</v>
      </c>
      <c r="I1269" s="59" t="s">
        <v>800</v>
      </c>
    </row>
    <row r="1270" spans="1:9" ht="11.25" customHeight="1">
      <c r="A1270" s="59" t="s">
        <v>2162</v>
      </c>
      <c r="B1270" s="59" t="s">
        <v>14</v>
      </c>
      <c r="C1270" s="59" t="s">
        <v>4669</v>
      </c>
      <c r="D1270" s="59" t="s">
        <v>4670</v>
      </c>
      <c r="E1270" s="59" t="s">
        <v>4671</v>
      </c>
      <c r="F1270" s="59" t="s">
        <v>3571</v>
      </c>
      <c r="I1270" s="59" t="s">
        <v>800</v>
      </c>
    </row>
    <row r="1271" spans="1:9" ht="11.25" customHeight="1">
      <c r="A1271" s="59" t="s">
        <v>2162</v>
      </c>
      <c r="B1271" s="59" t="s">
        <v>14</v>
      </c>
      <c r="C1271" s="59" t="s">
        <v>2674</v>
      </c>
      <c r="D1271" s="59" t="s">
        <v>2675</v>
      </c>
      <c r="E1271" s="59" t="s">
        <v>2676</v>
      </c>
      <c r="F1271" s="59" t="s">
        <v>2677</v>
      </c>
      <c r="I1271" s="59" t="s">
        <v>800</v>
      </c>
    </row>
    <row r="1272" spans="1:9" ht="11.25" customHeight="1">
      <c r="A1272" s="59" t="s">
        <v>2162</v>
      </c>
      <c r="B1272" s="59" t="s">
        <v>14</v>
      </c>
      <c r="C1272" s="59" t="s">
        <v>2681</v>
      </c>
      <c r="D1272" s="59" t="s">
        <v>2682</v>
      </c>
      <c r="E1272" s="59" t="s">
        <v>2683</v>
      </c>
      <c r="F1272" s="59" t="s">
        <v>2291</v>
      </c>
      <c r="G1272" s="59" t="s">
        <v>2684</v>
      </c>
      <c r="I1272" s="59" t="s">
        <v>800</v>
      </c>
    </row>
    <row r="1273" spans="1:9" ht="11.25" customHeight="1">
      <c r="A1273" s="59" t="s">
        <v>2162</v>
      </c>
      <c r="B1273" s="59" t="s">
        <v>14</v>
      </c>
      <c r="C1273" s="59" t="s">
        <v>2694</v>
      </c>
      <c r="D1273" s="59" t="s">
        <v>2695</v>
      </c>
      <c r="E1273" s="59" t="s">
        <v>2696</v>
      </c>
      <c r="F1273" s="59" t="s">
        <v>555</v>
      </c>
      <c r="I1273" s="59" t="s">
        <v>800</v>
      </c>
    </row>
    <row r="1274" spans="1:9" ht="11.25" customHeight="1">
      <c r="A1274" s="59" t="s">
        <v>2162</v>
      </c>
      <c r="B1274" s="59" t="s">
        <v>14</v>
      </c>
      <c r="C1274" s="59" t="s">
        <v>4672</v>
      </c>
      <c r="D1274" s="59" t="s">
        <v>4673</v>
      </c>
      <c r="E1274" s="59" t="s">
        <v>4674</v>
      </c>
      <c r="F1274" s="59" t="s">
        <v>2166</v>
      </c>
      <c r="I1274" s="59" t="s">
        <v>800</v>
      </c>
    </row>
    <row r="1275" spans="1:9" ht="11.25" customHeight="1">
      <c r="A1275" s="59" t="s">
        <v>2162</v>
      </c>
      <c r="B1275" s="59" t="s">
        <v>14</v>
      </c>
      <c r="C1275" s="59" t="s">
        <v>4321</v>
      </c>
      <c r="D1275" s="59" t="s">
        <v>4322</v>
      </c>
      <c r="E1275" s="59" t="s">
        <v>4323</v>
      </c>
      <c r="F1275" s="59" t="s">
        <v>3154</v>
      </c>
      <c r="I1275" s="59" t="s">
        <v>800</v>
      </c>
    </row>
    <row r="1276" spans="1:9" ht="11.25" customHeight="1">
      <c r="A1276" s="59" t="s">
        <v>2162</v>
      </c>
      <c r="B1276" s="59" t="s">
        <v>14</v>
      </c>
      <c r="C1276" s="59" t="s">
        <v>2754</v>
      </c>
      <c r="D1276" s="59" t="s">
        <v>2755</v>
      </c>
      <c r="E1276" s="59" t="s">
        <v>2756</v>
      </c>
      <c r="F1276" s="59" t="s">
        <v>2486</v>
      </c>
      <c r="I1276" s="59" t="s">
        <v>800</v>
      </c>
    </row>
    <row r="1277" spans="1:9" ht="11.25" customHeight="1">
      <c r="A1277" s="59" t="s">
        <v>2162</v>
      </c>
      <c r="B1277" s="59" t="s">
        <v>14</v>
      </c>
      <c r="C1277" s="59" t="s">
        <v>4327</v>
      </c>
      <c r="D1277" s="59" t="s">
        <v>4328</v>
      </c>
      <c r="E1277" s="59" t="s">
        <v>4329</v>
      </c>
      <c r="F1277" s="59" t="s">
        <v>2266</v>
      </c>
      <c r="I1277" s="59" t="s">
        <v>800</v>
      </c>
    </row>
    <row r="1278" spans="1:9" ht="11.25" customHeight="1">
      <c r="A1278" s="59" t="s">
        <v>2162</v>
      </c>
      <c r="B1278" s="59" t="s">
        <v>14</v>
      </c>
      <c r="C1278" s="59" t="s">
        <v>4330</v>
      </c>
      <c r="D1278" s="59" t="s">
        <v>4331</v>
      </c>
      <c r="E1278" s="59" t="s">
        <v>4332</v>
      </c>
      <c r="F1278" s="59" t="s">
        <v>2257</v>
      </c>
      <c r="I1278" s="59" t="s">
        <v>800</v>
      </c>
    </row>
    <row r="1279" spans="1:9" ht="11.25" customHeight="1">
      <c r="A1279" s="59" t="s">
        <v>2162</v>
      </c>
      <c r="B1279" s="59" t="s">
        <v>14</v>
      </c>
      <c r="C1279" s="59" t="s">
        <v>4333</v>
      </c>
      <c r="D1279" s="59" t="s">
        <v>4334</v>
      </c>
      <c r="E1279" s="59" t="s">
        <v>4335</v>
      </c>
      <c r="F1279" s="59" t="s">
        <v>2266</v>
      </c>
      <c r="I1279" s="59" t="s">
        <v>800</v>
      </c>
    </row>
    <row r="1280" spans="1:9" ht="11.25" customHeight="1">
      <c r="A1280" s="59" t="s">
        <v>2162</v>
      </c>
      <c r="B1280" s="59" t="s">
        <v>14</v>
      </c>
      <c r="C1280" s="59" t="s">
        <v>4675</v>
      </c>
      <c r="D1280" s="59" t="s">
        <v>4676</v>
      </c>
      <c r="E1280" s="59" t="s">
        <v>4677</v>
      </c>
      <c r="F1280" s="59" t="s">
        <v>2775</v>
      </c>
      <c r="I1280" s="59" t="s">
        <v>800</v>
      </c>
    </row>
    <row r="1281" spans="1:9" ht="11.25" customHeight="1">
      <c r="A1281" s="59" t="s">
        <v>2162</v>
      </c>
      <c r="B1281" s="59" t="s">
        <v>14</v>
      </c>
      <c r="C1281" s="59" t="s">
        <v>4678</v>
      </c>
      <c r="D1281" s="59" t="s">
        <v>4679</v>
      </c>
      <c r="E1281" s="59" t="s">
        <v>4680</v>
      </c>
      <c r="F1281" s="59" t="s">
        <v>2775</v>
      </c>
      <c r="I1281" s="59" t="s">
        <v>800</v>
      </c>
    </row>
    <row r="1282" spans="1:9" ht="11.25" customHeight="1">
      <c r="A1282" s="59" t="s">
        <v>2162</v>
      </c>
      <c r="B1282" s="59" t="s">
        <v>14</v>
      </c>
      <c r="C1282" s="59" t="s">
        <v>2757</v>
      </c>
      <c r="D1282" s="59" t="s">
        <v>2758</v>
      </c>
      <c r="E1282" s="59" t="s">
        <v>2759</v>
      </c>
      <c r="F1282" s="59" t="s">
        <v>2202</v>
      </c>
      <c r="I1282" s="59" t="s">
        <v>800</v>
      </c>
    </row>
    <row r="1283" spans="1:9" ht="11.25" customHeight="1">
      <c r="A1283" s="59" t="s">
        <v>2162</v>
      </c>
      <c r="B1283" s="59" t="s">
        <v>14</v>
      </c>
      <c r="C1283" s="59" t="s">
        <v>4339</v>
      </c>
      <c r="D1283" s="59" t="s">
        <v>4340</v>
      </c>
      <c r="E1283" s="59" t="s">
        <v>4341</v>
      </c>
      <c r="F1283" s="59" t="s">
        <v>2592</v>
      </c>
      <c r="I1283" s="59" t="s">
        <v>800</v>
      </c>
    </row>
    <row r="1284" spans="1:9" ht="11.25" customHeight="1">
      <c r="A1284" s="59" t="s">
        <v>2162</v>
      </c>
      <c r="B1284" s="59" t="s">
        <v>14</v>
      </c>
      <c r="C1284" s="59" t="s">
        <v>4342</v>
      </c>
      <c r="D1284" s="59" t="s">
        <v>4343</v>
      </c>
      <c r="E1284" s="59" t="s">
        <v>4344</v>
      </c>
      <c r="F1284" s="59" t="s">
        <v>2261</v>
      </c>
      <c r="I1284" s="59" t="s">
        <v>800</v>
      </c>
    </row>
    <row r="1285" spans="1:9" ht="11.25" customHeight="1">
      <c r="A1285" s="59" t="s">
        <v>2162</v>
      </c>
      <c r="B1285" s="59" t="s">
        <v>14</v>
      </c>
      <c r="C1285" s="59" t="s">
        <v>2766</v>
      </c>
      <c r="D1285" s="59" t="s">
        <v>2767</v>
      </c>
      <c r="E1285" s="59" t="s">
        <v>2768</v>
      </c>
      <c r="F1285" s="59" t="s">
        <v>2202</v>
      </c>
      <c r="I1285" s="59" t="s">
        <v>800</v>
      </c>
    </row>
    <row r="1286" spans="1:9" ht="11.25" customHeight="1">
      <c r="A1286" s="59" t="s">
        <v>2162</v>
      </c>
      <c r="B1286" s="59" t="s">
        <v>14</v>
      </c>
      <c r="C1286" s="59" t="s">
        <v>2769</v>
      </c>
      <c r="D1286" s="59" t="s">
        <v>2770</v>
      </c>
      <c r="E1286" s="59" t="s">
        <v>2771</v>
      </c>
      <c r="F1286" s="59" t="s">
        <v>2202</v>
      </c>
      <c r="I1286" s="59" t="s">
        <v>800</v>
      </c>
    </row>
    <row r="1287" spans="1:9" ht="11.25" customHeight="1">
      <c r="A1287" s="59" t="s">
        <v>2162</v>
      </c>
      <c r="B1287" s="59" t="s">
        <v>14</v>
      </c>
      <c r="C1287" s="59" t="s">
        <v>4345</v>
      </c>
      <c r="D1287" s="59" t="s">
        <v>4346</v>
      </c>
      <c r="E1287" s="59" t="s">
        <v>4347</v>
      </c>
      <c r="F1287" s="59" t="s">
        <v>2202</v>
      </c>
      <c r="I1287" s="59" t="s">
        <v>800</v>
      </c>
    </row>
    <row r="1288" spans="1:9" ht="11.25" customHeight="1">
      <c r="A1288" s="59" t="s">
        <v>2162</v>
      </c>
      <c r="B1288" s="59" t="s">
        <v>14</v>
      </c>
      <c r="C1288" s="59" t="s">
        <v>4348</v>
      </c>
      <c r="D1288" s="59" t="s">
        <v>4349</v>
      </c>
      <c r="E1288" s="59" t="s">
        <v>4350</v>
      </c>
      <c r="F1288" s="59" t="s">
        <v>2261</v>
      </c>
      <c r="I1288" s="59" t="s">
        <v>800</v>
      </c>
    </row>
    <row r="1289" spans="1:9" ht="11.25" customHeight="1">
      <c r="A1289" s="59" t="s">
        <v>2162</v>
      </c>
      <c r="B1289" s="59" t="s">
        <v>14</v>
      </c>
      <c r="C1289" s="59" t="s">
        <v>4351</v>
      </c>
      <c r="D1289" s="59" t="s">
        <v>4352</v>
      </c>
      <c r="E1289" s="59" t="s">
        <v>4353</v>
      </c>
      <c r="F1289" s="59" t="s">
        <v>2261</v>
      </c>
      <c r="I1289" s="59" t="s">
        <v>800</v>
      </c>
    </row>
    <row r="1290" spans="1:9" ht="11.25" customHeight="1">
      <c r="A1290" s="59" t="s">
        <v>2162</v>
      </c>
      <c r="B1290" s="59" t="s">
        <v>14</v>
      </c>
      <c r="C1290" s="59" t="s">
        <v>2785</v>
      </c>
      <c r="D1290" s="59" t="s">
        <v>2786</v>
      </c>
      <c r="E1290" s="59" t="s">
        <v>2787</v>
      </c>
      <c r="F1290" s="59" t="s">
        <v>2266</v>
      </c>
      <c r="I1290" s="59" t="s">
        <v>800</v>
      </c>
    </row>
    <row r="1291" spans="1:9" ht="11.25" customHeight="1">
      <c r="A1291" s="59" t="s">
        <v>2162</v>
      </c>
      <c r="B1291" s="59" t="s">
        <v>14</v>
      </c>
      <c r="C1291" s="59" t="s">
        <v>4354</v>
      </c>
      <c r="D1291" s="59" t="s">
        <v>4355</v>
      </c>
      <c r="E1291" s="59" t="s">
        <v>4356</v>
      </c>
      <c r="F1291" s="59" t="s">
        <v>2486</v>
      </c>
      <c r="I1291" s="59" t="s">
        <v>800</v>
      </c>
    </row>
    <row r="1292" spans="1:9" ht="11.25" customHeight="1">
      <c r="A1292" s="59" t="s">
        <v>2162</v>
      </c>
      <c r="B1292" s="59" t="s">
        <v>14</v>
      </c>
      <c r="C1292" s="59" t="s">
        <v>2788</v>
      </c>
      <c r="D1292" s="59" t="s">
        <v>2789</v>
      </c>
      <c r="E1292" s="59" t="s">
        <v>2790</v>
      </c>
      <c r="F1292" s="59" t="s">
        <v>2636</v>
      </c>
      <c r="G1292" s="59" t="s">
        <v>2791</v>
      </c>
      <c r="I1292" s="59" t="s">
        <v>800</v>
      </c>
    </row>
    <row r="1293" spans="1:9" ht="11.25" customHeight="1">
      <c r="A1293" s="59" t="s">
        <v>2162</v>
      </c>
      <c r="B1293" s="59" t="s">
        <v>14</v>
      </c>
      <c r="C1293" s="59" t="s">
        <v>4357</v>
      </c>
      <c r="D1293" s="59" t="s">
        <v>4358</v>
      </c>
      <c r="E1293" s="59" t="s">
        <v>4359</v>
      </c>
      <c r="F1293" s="59" t="s">
        <v>2486</v>
      </c>
      <c r="I1293" s="59" t="s">
        <v>800</v>
      </c>
    </row>
    <row r="1294" spans="1:9" ht="11.25" customHeight="1">
      <c r="A1294" s="59" t="s">
        <v>2162</v>
      </c>
      <c r="B1294" s="59" t="s">
        <v>14</v>
      </c>
      <c r="C1294" s="59" t="s">
        <v>4360</v>
      </c>
      <c r="D1294" s="59" t="s">
        <v>4361</v>
      </c>
      <c r="E1294" s="59" t="s">
        <v>4362</v>
      </c>
      <c r="F1294" s="59" t="s">
        <v>2248</v>
      </c>
      <c r="I1294" s="59" t="s">
        <v>800</v>
      </c>
    </row>
    <row r="1295" spans="1:9" ht="11.25" customHeight="1">
      <c r="A1295" s="59" t="s">
        <v>2162</v>
      </c>
      <c r="B1295" s="59" t="s">
        <v>14</v>
      </c>
      <c r="C1295" s="59" t="s">
        <v>2795</v>
      </c>
      <c r="D1295" s="59" t="s">
        <v>2796</v>
      </c>
      <c r="E1295" s="59" t="s">
        <v>2797</v>
      </c>
      <c r="F1295" s="59" t="s">
        <v>2478</v>
      </c>
      <c r="I1295" s="59" t="s">
        <v>800</v>
      </c>
    </row>
    <row r="1296" spans="1:9" ht="11.25" customHeight="1">
      <c r="A1296" s="59" t="s">
        <v>2162</v>
      </c>
      <c r="B1296" s="59" t="s">
        <v>14</v>
      </c>
      <c r="C1296" s="59" t="s">
        <v>4363</v>
      </c>
      <c r="D1296" s="59" t="s">
        <v>4364</v>
      </c>
      <c r="E1296" s="59" t="s">
        <v>4365</v>
      </c>
      <c r="F1296" s="59" t="s">
        <v>2257</v>
      </c>
      <c r="I1296" s="59" t="s">
        <v>800</v>
      </c>
    </row>
    <row r="1297" spans="1:9" ht="11.25" customHeight="1">
      <c r="A1297" s="59" t="s">
        <v>2162</v>
      </c>
      <c r="B1297" s="59" t="s">
        <v>14</v>
      </c>
      <c r="C1297" s="59" t="s">
        <v>4366</v>
      </c>
      <c r="D1297" s="59" t="s">
        <v>4367</v>
      </c>
      <c r="E1297" s="59" t="s">
        <v>4368</v>
      </c>
      <c r="F1297" s="59" t="s">
        <v>3154</v>
      </c>
      <c r="I1297" s="59" t="s">
        <v>800</v>
      </c>
    </row>
    <row r="1298" spans="1:9" ht="11.25" customHeight="1">
      <c r="A1298" s="59" t="s">
        <v>2162</v>
      </c>
      <c r="B1298" s="59" t="s">
        <v>14</v>
      </c>
      <c r="C1298" s="59" t="s">
        <v>4372</v>
      </c>
      <c r="D1298" s="59" t="s">
        <v>4373</v>
      </c>
      <c r="E1298" s="59" t="s">
        <v>4374</v>
      </c>
      <c r="F1298" s="59" t="s">
        <v>2193</v>
      </c>
      <c r="I1298" s="59" t="s">
        <v>800</v>
      </c>
    </row>
    <row r="1299" spans="1:9" ht="11.25" customHeight="1">
      <c r="A1299" s="59" t="s">
        <v>2162</v>
      </c>
      <c r="B1299" s="59" t="s">
        <v>14</v>
      </c>
      <c r="C1299" s="59" t="s">
        <v>4375</v>
      </c>
      <c r="D1299" s="59" t="s">
        <v>4376</v>
      </c>
      <c r="E1299" s="59" t="s">
        <v>4377</v>
      </c>
      <c r="F1299" s="59" t="s">
        <v>2266</v>
      </c>
      <c r="I1299" s="59" t="s">
        <v>800</v>
      </c>
    </row>
    <row r="1300" spans="1:9" ht="11.25" customHeight="1">
      <c r="A1300" s="59" t="s">
        <v>2162</v>
      </c>
      <c r="B1300" s="59" t="s">
        <v>14</v>
      </c>
      <c r="C1300" s="59" t="s">
        <v>4681</v>
      </c>
      <c r="D1300" s="59" t="s">
        <v>4682</v>
      </c>
      <c r="E1300" s="59" t="s">
        <v>4683</v>
      </c>
      <c r="F1300" s="59" t="s">
        <v>3154</v>
      </c>
      <c r="I1300" s="59" t="s">
        <v>800</v>
      </c>
    </row>
    <row r="1301" spans="1:9" ht="11.25" customHeight="1">
      <c r="A1301" s="59" t="s">
        <v>2162</v>
      </c>
      <c r="B1301" s="59" t="s">
        <v>14</v>
      </c>
      <c r="C1301" s="59" t="s">
        <v>2798</v>
      </c>
      <c r="D1301" s="59" t="s">
        <v>2799</v>
      </c>
      <c r="E1301" s="59" t="s">
        <v>2800</v>
      </c>
      <c r="F1301" s="59" t="s">
        <v>2193</v>
      </c>
      <c r="I1301" s="59" t="s">
        <v>800</v>
      </c>
    </row>
    <row r="1302" spans="1:9" ht="11.25" customHeight="1">
      <c r="A1302" s="59" t="s">
        <v>2162</v>
      </c>
      <c r="B1302" s="59" t="s">
        <v>14</v>
      </c>
      <c r="C1302" s="59" t="s">
        <v>4684</v>
      </c>
      <c r="D1302" s="59" t="s">
        <v>4685</v>
      </c>
      <c r="E1302" s="59" t="s">
        <v>4686</v>
      </c>
      <c r="F1302" s="59" t="s">
        <v>2486</v>
      </c>
      <c r="I1302" s="59" t="s">
        <v>800</v>
      </c>
    </row>
    <row r="1303" spans="1:9" ht="11.25" customHeight="1">
      <c r="A1303" s="59" t="s">
        <v>2162</v>
      </c>
      <c r="B1303" s="59" t="s">
        <v>14</v>
      </c>
      <c r="C1303" s="59" t="s">
        <v>4378</v>
      </c>
      <c r="D1303" s="59" t="s">
        <v>4379</v>
      </c>
      <c r="E1303" s="59" t="s">
        <v>4380</v>
      </c>
      <c r="F1303" s="59" t="s">
        <v>2228</v>
      </c>
      <c r="I1303" s="59" t="s">
        <v>800</v>
      </c>
    </row>
    <row r="1304" spans="1:9" ht="11.25" customHeight="1">
      <c r="A1304" s="59" t="s">
        <v>2162</v>
      </c>
      <c r="B1304" s="59" t="s">
        <v>14</v>
      </c>
      <c r="C1304" s="59" t="s">
        <v>2825</v>
      </c>
      <c r="D1304" s="59" t="s">
        <v>2826</v>
      </c>
      <c r="E1304" s="59" t="s">
        <v>2827</v>
      </c>
      <c r="F1304" s="59" t="s">
        <v>2592</v>
      </c>
      <c r="G1304" s="59" t="s">
        <v>2828</v>
      </c>
      <c r="I1304" s="59" t="s">
        <v>800</v>
      </c>
    </row>
    <row r="1305" spans="1:9" ht="11.25" customHeight="1">
      <c r="A1305" s="59" t="s">
        <v>2162</v>
      </c>
      <c r="B1305" s="59" t="s">
        <v>14</v>
      </c>
      <c r="C1305" s="59" t="s">
        <v>2845</v>
      </c>
      <c r="D1305" s="59" t="s">
        <v>2846</v>
      </c>
      <c r="E1305" s="59" t="s">
        <v>2847</v>
      </c>
      <c r="F1305" s="59" t="s">
        <v>2775</v>
      </c>
      <c r="G1305" s="59" t="s">
        <v>2848</v>
      </c>
      <c r="I1305" s="59" t="s">
        <v>800</v>
      </c>
    </row>
    <row r="1306" spans="1:9" ht="11.25" customHeight="1">
      <c r="A1306" s="59" t="s">
        <v>2162</v>
      </c>
      <c r="B1306" s="59" t="s">
        <v>14</v>
      </c>
      <c r="C1306" s="59" t="s">
        <v>4384</v>
      </c>
      <c r="D1306" s="59" t="s">
        <v>4385</v>
      </c>
      <c r="E1306" s="59" t="s">
        <v>4386</v>
      </c>
      <c r="F1306" s="59" t="s">
        <v>2308</v>
      </c>
      <c r="I1306" s="59" t="s">
        <v>800</v>
      </c>
    </row>
    <row r="1307" spans="1:9" ht="11.25" customHeight="1">
      <c r="A1307" s="59" t="s">
        <v>2162</v>
      </c>
      <c r="B1307" s="59" t="s">
        <v>14</v>
      </c>
      <c r="C1307" s="59" t="s">
        <v>2849</v>
      </c>
      <c r="D1307" s="59" t="s">
        <v>2850</v>
      </c>
      <c r="E1307" s="59" t="s">
        <v>2851</v>
      </c>
      <c r="F1307" s="59" t="s">
        <v>2775</v>
      </c>
      <c r="I1307" s="59" t="s">
        <v>800</v>
      </c>
    </row>
    <row r="1308" spans="1:9" ht="11.25" customHeight="1">
      <c r="A1308" s="59" t="s">
        <v>2162</v>
      </c>
      <c r="B1308" s="59" t="s">
        <v>14</v>
      </c>
      <c r="C1308" s="59" t="s">
        <v>4387</v>
      </c>
      <c r="D1308" s="59" t="s">
        <v>4388</v>
      </c>
      <c r="E1308" s="59" t="s">
        <v>4389</v>
      </c>
      <c r="F1308" s="59" t="s">
        <v>2592</v>
      </c>
      <c r="I1308" s="59" t="s">
        <v>800</v>
      </c>
    </row>
    <row r="1309" spans="1:9" ht="11.25" customHeight="1">
      <c r="A1309" s="59" t="s">
        <v>2162</v>
      </c>
      <c r="B1309" s="59" t="s">
        <v>14</v>
      </c>
      <c r="C1309" s="59" t="s">
        <v>4390</v>
      </c>
      <c r="D1309" s="59" t="s">
        <v>4391</v>
      </c>
      <c r="E1309" s="59" t="s">
        <v>4392</v>
      </c>
      <c r="F1309" s="59" t="s">
        <v>2486</v>
      </c>
      <c r="I1309" s="59" t="s">
        <v>800</v>
      </c>
    </row>
    <row r="1310" spans="1:9" ht="11.25" customHeight="1">
      <c r="A1310" s="59" t="s">
        <v>2162</v>
      </c>
      <c r="B1310" s="59" t="s">
        <v>14</v>
      </c>
      <c r="C1310" s="59" t="s">
        <v>4393</v>
      </c>
      <c r="D1310" s="59" t="s">
        <v>4394</v>
      </c>
      <c r="E1310" s="59" t="s">
        <v>4395</v>
      </c>
      <c r="F1310" s="59" t="s">
        <v>2808</v>
      </c>
      <c r="G1310" s="59" t="s">
        <v>4396</v>
      </c>
      <c r="I1310" s="59" t="s">
        <v>800</v>
      </c>
    </row>
    <row r="1311" spans="1:9" ht="11.25" customHeight="1">
      <c r="A1311" s="59" t="s">
        <v>2162</v>
      </c>
      <c r="B1311" s="59" t="s">
        <v>14</v>
      </c>
      <c r="C1311" s="59" t="s">
        <v>4397</v>
      </c>
      <c r="D1311" s="59" t="s">
        <v>4398</v>
      </c>
      <c r="E1311" s="59" t="s">
        <v>4399</v>
      </c>
      <c r="F1311" s="59" t="s">
        <v>2228</v>
      </c>
      <c r="G1311" s="59" t="s">
        <v>2992</v>
      </c>
      <c r="H1311" s="59" t="s">
        <v>4400</v>
      </c>
      <c r="I1311" s="59" t="s">
        <v>800</v>
      </c>
    </row>
    <row r="1312" spans="1:9" ht="11.25" customHeight="1">
      <c r="A1312" s="59" t="s">
        <v>2162</v>
      </c>
      <c r="B1312" s="59" t="s">
        <v>14</v>
      </c>
      <c r="C1312" s="59" t="s">
        <v>4405</v>
      </c>
      <c r="D1312" s="59" t="s">
        <v>4406</v>
      </c>
      <c r="E1312" s="59" t="s">
        <v>4407</v>
      </c>
      <c r="F1312" s="59" t="s">
        <v>3154</v>
      </c>
      <c r="I1312" s="59" t="s">
        <v>800</v>
      </c>
    </row>
    <row r="1313" spans="1:9" ht="11.25" customHeight="1">
      <c r="A1313" s="59" t="s">
        <v>2162</v>
      </c>
      <c r="B1313" s="59" t="s">
        <v>14</v>
      </c>
      <c r="C1313" s="59" t="s">
        <v>4408</v>
      </c>
      <c r="D1313" s="59" t="s">
        <v>4409</v>
      </c>
      <c r="E1313" s="59" t="s">
        <v>4410</v>
      </c>
      <c r="F1313" s="59" t="s">
        <v>2248</v>
      </c>
      <c r="G1313" s="59" t="s">
        <v>4411</v>
      </c>
      <c r="I1313" s="59" t="s">
        <v>800</v>
      </c>
    </row>
    <row r="1314" spans="1:9" ht="11.25" customHeight="1">
      <c r="A1314" s="59" t="s">
        <v>2162</v>
      </c>
      <c r="B1314" s="59" t="s">
        <v>14</v>
      </c>
      <c r="C1314" s="59" t="s">
        <v>2859</v>
      </c>
      <c r="D1314" s="59" t="s">
        <v>2860</v>
      </c>
      <c r="E1314" s="59" t="s">
        <v>2861</v>
      </c>
      <c r="F1314" s="59" t="s">
        <v>2261</v>
      </c>
      <c r="G1314" s="59" t="s">
        <v>2862</v>
      </c>
      <c r="I1314" s="59" t="s">
        <v>800</v>
      </c>
    </row>
    <row r="1315" spans="1:9" ht="11.25" customHeight="1">
      <c r="A1315" s="59" t="s">
        <v>2162</v>
      </c>
      <c r="B1315" s="59" t="s">
        <v>14</v>
      </c>
      <c r="C1315" s="59" t="s">
        <v>4412</v>
      </c>
      <c r="D1315" s="59" t="s">
        <v>4413</v>
      </c>
      <c r="E1315" s="59" t="s">
        <v>4414</v>
      </c>
      <c r="F1315" s="59" t="s">
        <v>2486</v>
      </c>
      <c r="G1315" s="59" t="s">
        <v>4415</v>
      </c>
      <c r="I1315" s="59" t="s">
        <v>800</v>
      </c>
    </row>
    <row r="1316" spans="1:9" ht="11.25" customHeight="1">
      <c r="A1316" s="59" t="s">
        <v>2162</v>
      </c>
      <c r="B1316" s="59" t="s">
        <v>14</v>
      </c>
      <c r="C1316" s="59" t="s">
        <v>4416</v>
      </c>
      <c r="D1316" s="59" t="s">
        <v>4417</v>
      </c>
      <c r="E1316" s="59" t="s">
        <v>4418</v>
      </c>
      <c r="F1316" s="59" t="s">
        <v>2257</v>
      </c>
      <c r="G1316" s="59" t="s">
        <v>4419</v>
      </c>
      <c r="I1316" s="59" t="s">
        <v>800</v>
      </c>
    </row>
    <row r="1317" spans="1:9" ht="11.25" customHeight="1">
      <c r="A1317" s="59" t="s">
        <v>2162</v>
      </c>
      <c r="B1317" s="59" t="s">
        <v>14</v>
      </c>
      <c r="C1317" s="59" t="s">
        <v>2866</v>
      </c>
      <c r="D1317" s="59" t="s">
        <v>2867</v>
      </c>
      <c r="E1317" s="59" t="s">
        <v>2868</v>
      </c>
      <c r="F1317" s="59" t="s">
        <v>2202</v>
      </c>
      <c r="G1317" s="59" t="s">
        <v>2869</v>
      </c>
      <c r="I1317" s="59" t="s">
        <v>800</v>
      </c>
    </row>
    <row r="1318" spans="1:9" ht="11.25" customHeight="1">
      <c r="A1318" s="59" t="s">
        <v>2162</v>
      </c>
      <c r="B1318" s="59" t="s">
        <v>14</v>
      </c>
      <c r="C1318" s="59" t="s">
        <v>4420</v>
      </c>
      <c r="D1318" s="59" t="s">
        <v>4421</v>
      </c>
      <c r="E1318" s="59" t="s">
        <v>4422</v>
      </c>
      <c r="F1318" s="59" t="s">
        <v>2812</v>
      </c>
      <c r="G1318" s="59" t="s">
        <v>4423</v>
      </c>
      <c r="H1318" s="59" t="s">
        <v>3295</v>
      </c>
      <c r="I1318" s="59" t="s">
        <v>800</v>
      </c>
    </row>
    <row r="1319" spans="1:9" ht="11.25" customHeight="1">
      <c r="A1319" s="59" t="s">
        <v>2162</v>
      </c>
      <c r="B1319" s="59" t="s">
        <v>14</v>
      </c>
      <c r="C1319" s="59" t="s">
        <v>2878</v>
      </c>
      <c r="D1319" s="59" t="s">
        <v>2879</v>
      </c>
      <c r="E1319" s="59" t="s">
        <v>2880</v>
      </c>
      <c r="F1319" s="59" t="s">
        <v>2391</v>
      </c>
      <c r="G1319" s="59" t="s">
        <v>2881</v>
      </c>
      <c r="I1319" s="59" t="s">
        <v>800</v>
      </c>
    </row>
    <row r="1320" spans="1:9" ht="11.25" customHeight="1">
      <c r="A1320" s="59" t="s">
        <v>2162</v>
      </c>
      <c r="B1320" s="59" t="s">
        <v>14</v>
      </c>
      <c r="C1320" s="59" t="s">
        <v>4424</v>
      </c>
      <c r="D1320" s="59" t="s">
        <v>4425</v>
      </c>
      <c r="E1320" s="59" t="s">
        <v>4426</v>
      </c>
      <c r="F1320" s="59" t="s">
        <v>2808</v>
      </c>
      <c r="I1320" s="59" t="s">
        <v>800</v>
      </c>
    </row>
    <row r="1321" spans="1:9" ht="11.25" customHeight="1">
      <c r="A1321" s="59" t="s">
        <v>2162</v>
      </c>
      <c r="B1321" s="59" t="s">
        <v>14</v>
      </c>
      <c r="C1321" s="59" t="s">
        <v>2885</v>
      </c>
      <c r="D1321" s="59" t="s">
        <v>2886</v>
      </c>
      <c r="E1321" s="59" t="s">
        <v>2887</v>
      </c>
      <c r="F1321" s="59" t="s">
        <v>2193</v>
      </c>
      <c r="I1321" s="59" t="s">
        <v>800</v>
      </c>
    </row>
    <row r="1322" spans="1:9" ht="11.25" customHeight="1">
      <c r="A1322" s="59" t="s">
        <v>2162</v>
      </c>
      <c r="B1322" s="59" t="s">
        <v>14</v>
      </c>
      <c r="C1322" s="59" t="s">
        <v>2888</v>
      </c>
      <c r="D1322" s="59" t="s">
        <v>2889</v>
      </c>
      <c r="E1322" s="59" t="s">
        <v>2890</v>
      </c>
      <c r="F1322" s="59" t="s">
        <v>2257</v>
      </c>
      <c r="I1322" s="59" t="s">
        <v>800</v>
      </c>
    </row>
    <row r="1323" spans="1:9" ht="11.25" customHeight="1">
      <c r="A1323" s="59" t="s">
        <v>2162</v>
      </c>
      <c r="B1323" s="59" t="s">
        <v>14</v>
      </c>
      <c r="C1323" s="59" t="s">
        <v>2891</v>
      </c>
      <c r="D1323" s="59" t="s">
        <v>2892</v>
      </c>
      <c r="E1323" s="59" t="s">
        <v>2893</v>
      </c>
      <c r="F1323" s="59" t="s">
        <v>2257</v>
      </c>
      <c r="G1323" s="59" t="s">
        <v>2894</v>
      </c>
      <c r="I1323" s="59" t="s">
        <v>800</v>
      </c>
    </row>
    <row r="1324" spans="1:9" ht="11.25" customHeight="1">
      <c r="A1324" s="59" t="s">
        <v>2162</v>
      </c>
      <c r="B1324" s="59" t="s">
        <v>14</v>
      </c>
      <c r="C1324" s="59" t="s">
        <v>2895</v>
      </c>
      <c r="D1324" s="59" t="s">
        <v>2896</v>
      </c>
      <c r="E1324" s="59" t="s">
        <v>2897</v>
      </c>
      <c r="F1324" s="59" t="s">
        <v>2252</v>
      </c>
      <c r="G1324" s="59" t="s">
        <v>2898</v>
      </c>
      <c r="I1324" s="59" t="s">
        <v>800</v>
      </c>
    </row>
    <row r="1325" spans="1:9" ht="11.25" customHeight="1">
      <c r="A1325" s="59" t="s">
        <v>2162</v>
      </c>
      <c r="B1325" s="59" t="s">
        <v>14</v>
      </c>
      <c r="C1325" s="59" t="s">
        <v>2899</v>
      </c>
      <c r="D1325" s="59" t="s">
        <v>2900</v>
      </c>
      <c r="E1325" s="59" t="s">
        <v>2901</v>
      </c>
      <c r="F1325" s="59" t="s">
        <v>2592</v>
      </c>
      <c r="I1325" s="59" t="s">
        <v>800</v>
      </c>
    </row>
    <row r="1326" spans="1:9" ht="11.25" customHeight="1">
      <c r="A1326" s="59" t="s">
        <v>2162</v>
      </c>
      <c r="B1326" s="59" t="s">
        <v>14</v>
      </c>
      <c r="C1326" s="59" t="s">
        <v>2902</v>
      </c>
      <c r="D1326" s="59" t="s">
        <v>2903</v>
      </c>
      <c r="E1326" s="59" t="s">
        <v>2904</v>
      </c>
      <c r="F1326" s="59" t="s">
        <v>2257</v>
      </c>
      <c r="I1326" s="59" t="s">
        <v>800</v>
      </c>
    </row>
    <row r="1327" spans="1:9" ht="11.25" customHeight="1">
      <c r="A1327" s="59" t="s">
        <v>2162</v>
      </c>
      <c r="B1327" s="59" t="s">
        <v>14</v>
      </c>
      <c r="C1327" s="59" t="s">
        <v>2914</v>
      </c>
      <c r="D1327" s="59" t="s">
        <v>2915</v>
      </c>
      <c r="E1327" s="59" t="s">
        <v>2916</v>
      </c>
      <c r="F1327" s="59" t="s">
        <v>2486</v>
      </c>
      <c r="G1327" s="59" t="s">
        <v>2917</v>
      </c>
      <c r="I1327" s="59" t="s">
        <v>800</v>
      </c>
    </row>
    <row r="1328" spans="1:9" ht="11.25" customHeight="1">
      <c r="A1328" s="59" t="s">
        <v>2162</v>
      </c>
      <c r="B1328" s="59" t="s">
        <v>14</v>
      </c>
      <c r="C1328" s="59" t="s">
        <v>2918</v>
      </c>
      <c r="D1328" s="59" t="s">
        <v>2919</v>
      </c>
      <c r="E1328" s="59" t="s">
        <v>2920</v>
      </c>
      <c r="F1328" s="59" t="s">
        <v>2478</v>
      </c>
      <c r="I1328" s="59" t="s">
        <v>800</v>
      </c>
    </row>
    <row r="1329" spans="1:9" ht="11.25" customHeight="1">
      <c r="A1329" s="59" t="s">
        <v>2162</v>
      </c>
      <c r="B1329" s="59" t="s">
        <v>14</v>
      </c>
      <c r="C1329" s="59" t="s">
        <v>2921</v>
      </c>
      <c r="D1329" s="59" t="s">
        <v>2922</v>
      </c>
      <c r="E1329" s="59" t="s">
        <v>2923</v>
      </c>
      <c r="F1329" s="59" t="s">
        <v>2592</v>
      </c>
      <c r="G1329" s="59" t="s">
        <v>2924</v>
      </c>
      <c r="I1329" s="59" t="s">
        <v>800</v>
      </c>
    </row>
    <row r="1330" spans="1:9" ht="11.25" customHeight="1">
      <c r="A1330" s="59" t="s">
        <v>2162</v>
      </c>
      <c r="B1330" s="59" t="s">
        <v>14</v>
      </c>
      <c r="C1330" s="59" t="s">
        <v>2925</v>
      </c>
      <c r="D1330" s="59" t="s">
        <v>2926</v>
      </c>
      <c r="E1330" s="59" t="s">
        <v>2927</v>
      </c>
      <c r="F1330" s="59" t="s">
        <v>2261</v>
      </c>
      <c r="G1330" s="59" t="s">
        <v>2928</v>
      </c>
      <c r="I1330" s="59" t="s">
        <v>800</v>
      </c>
    </row>
    <row r="1331" spans="1:9" ht="11.25" customHeight="1">
      <c r="A1331" s="59" t="s">
        <v>2162</v>
      </c>
      <c r="B1331" s="59" t="s">
        <v>14</v>
      </c>
      <c r="C1331" s="59" t="s">
        <v>4427</v>
      </c>
      <c r="D1331" s="59" t="s">
        <v>4428</v>
      </c>
      <c r="E1331" s="59" t="s">
        <v>4429</v>
      </c>
      <c r="F1331" s="59" t="s">
        <v>2266</v>
      </c>
      <c r="G1331" s="59" t="s">
        <v>4430</v>
      </c>
      <c r="I1331" s="59" t="s">
        <v>800</v>
      </c>
    </row>
    <row r="1332" spans="1:9" ht="11.25" customHeight="1">
      <c r="A1332" s="59" t="s">
        <v>2162</v>
      </c>
      <c r="B1332" s="59" t="s">
        <v>14</v>
      </c>
      <c r="C1332" s="59" t="s">
        <v>4687</v>
      </c>
      <c r="D1332" s="59" t="s">
        <v>4688</v>
      </c>
      <c r="E1332" s="59" t="s">
        <v>4689</v>
      </c>
      <c r="F1332" s="59" t="s">
        <v>3582</v>
      </c>
      <c r="G1332" s="59" t="s">
        <v>2722</v>
      </c>
      <c r="H1332" s="59" t="s">
        <v>4690</v>
      </c>
      <c r="I1332" s="59" t="s">
        <v>800</v>
      </c>
    </row>
    <row r="1333" spans="1:9" ht="11.25" customHeight="1">
      <c r="A1333" s="59" t="s">
        <v>2162</v>
      </c>
      <c r="B1333" s="59" t="s">
        <v>14</v>
      </c>
      <c r="C1333" s="59" t="s">
        <v>4431</v>
      </c>
      <c r="D1333" s="59" t="s">
        <v>4432</v>
      </c>
      <c r="E1333" s="59" t="s">
        <v>4433</v>
      </c>
      <c r="F1333" s="59" t="s">
        <v>2308</v>
      </c>
      <c r="I1333" s="59" t="s">
        <v>800</v>
      </c>
    </row>
    <row r="1334" spans="1:9" ht="11.25" customHeight="1">
      <c r="A1334" s="59" t="s">
        <v>2162</v>
      </c>
      <c r="B1334" s="59" t="s">
        <v>14</v>
      </c>
      <c r="C1334" s="59" t="s">
        <v>2932</v>
      </c>
      <c r="D1334" s="59" t="s">
        <v>2933</v>
      </c>
      <c r="E1334" s="59" t="s">
        <v>2934</v>
      </c>
      <c r="F1334" s="59" t="s">
        <v>2775</v>
      </c>
      <c r="I1334" s="59" t="s">
        <v>800</v>
      </c>
    </row>
    <row r="1335" spans="1:9" ht="11.25" customHeight="1">
      <c r="A1335" s="59" t="s">
        <v>2162</v>
      </c>
      <c r="B1335" s="59" t="s">
        <v>14</v>
      </c>
      <c r="C1335" s="59" t="s">
        <v>4434</v>
      </c>
      <c r="D1335" s="59" t="s">
        <v>4435</v>
      </c>
      <c r="E1335" s="59" t="s">
        <v>4436</v>
      </c>
      <c r="F1335" s="59" t="s">
        <v>2202</v>
      </c>
      <c r="G1335" s="59" t="s">
        <v>4437</v>
      </c>
      <c r="I1335" s="59" t="s">
        <v>800</v>
      </c>
    </row>
    <row r="1336" spans="1:9" ht="11.25" customHeight="1">
      <c r="A1336" s="59" t="s">
        <v>2162</v>
      </c>
      <c r="B1336" s="59" t="s">
        <v>14</v>
      </c>
      <c r="C1336" s="59" t="s">
        <v>4438</v>
      </c>
      <c r="D1336" s="59" t="s">
        <v>4439</v>
      </c>
      <c r="E1336" s="59" t="s">
        <v>4440</v>
      </c>
      <c r="F1336" s="59" t="s">
        <v>2664</v>
      </c>
      <c r="I1336" s="59" t="s">
        <v>800</v>
      </c>
    </row>
    <row r="1337" spans="1:9" ht="11.25" customHeight="1">
      <c r="A1337" s="59" t="s">
        <v>2162</v>
      </c>
      <c r="B1337" s="59" t="s">
        <v>14</v>
      </c>
      <c r="C1337" s="59" t="s">
        <v>2943</v>
      </c>
      <c r="D1337" s="59" t="s">
        <v>2944</v>
      </c>
      <c r="E1337" s="59" t="s">
        <v>2945</v>
      </c>
      <c r="F1337" s="59" t="s">
        <v>2261</v>
      </c>
      <c r="G1337" s="59" t="s">
        <v>2946</v>
      </c>
      <c r="I1337" s="59" t="s">
        <v>800</v>
      </c>
    </row>
    <row r="1338" spans="1:9" ht="11.25" customHeight="1">
      <c r="A1338" s="59" t="s">
        <v>2162</v>
      </c>
      <c r="B1338" s="59" t="s">
        <v>14</v>
      </c>
      <c r="C1338" s="59" t="s">
        <v>2951</v>
      </c>
      <c r="D1338" s="59" t="s">
        <v>2952</v>
      </c>
      <c r="E1338" s="59" t="s">
        <v>2953</v>
      </c>
      <c r="F1338" s="59" t="s">
        <v>2202</v>
      </c>
      <c r="G1338" s="59" t="s">
        <v>2954</v>
      </c>
      <c r="I1338" s="59" t="s">
        <v>800</v>
      </c>
    </row>
    <row r="1339" spans="1:9" ht="11.25" customHeight="1">
      <c r="A1339" s="59" t="s">
        <v>2162</v>
      </c>
      <c r="B1339" s="59" t="s">
        <v>14</v>
      </c>
      <c r="C1339" s="59" t="s">
        <v>2959</v>
      </c>
      <c r="D1339" s="59" t="s">
        <v>2960</v>
      </c>
      <c r="E1339" s="59" t="s">
        <v>2961</v>
      </c>
      <c r="F1339" s="59" t="s">
        <v>2193</v>
      </c>
      <c r="G1339" s="59" t="s">
        <v>2913</v>
      </c>
      <c r="I1339" s="59" t="s">
        <v>800</v>
      </c>
    </row>
    <row r="1340" spans="1:9" ht="11.25" customHeight="1">
      <c r="A1340" s="59" t="s">
        <v>2162</v>
      </c>
      <c r="B1340" s="59" t="s">
        <v>14</v>
      </c>
      <c r="C1340" s="59" t="s">
        <v>2962</v>
      </c>
      <c r="D1340" s="59" t="s">
        <v>2963</v>
      </c>
      <c r="E1340" s="59" t="s">
        <v>2964</v>
      </c>
      <c r="F1340" s="59" t="s">
        <v>2193</v>
      </c>
      <c r="G1340" s="59" t="s">
        <v>2965</v>
      </c>
      <c r="I1340" s="59" t="s">
        <v>800</v>
      </c>
    </row>
    <row r="1341" spans="1:9" ht="11.25" customHeight="1">
      <c r="A1341" s="59" t="s">
        <v>2162</v>
      </c>
      <c r="B1341" s="59" t="s">
        <v>14</v>
      </c>
      <c r="C1341" s="59" t="s">
        <v>2966</v>
      </c>
      <c r="D1341" s="59" t="s">
        <v>2967</v>
      </c>
      <c r="E1341" s="59" t="s">
        <v>2968</v>
      </c>
      <c r="F1341" s="59" t="s">
        <v>2202</v>
      </c>
      <c r="I1341" s="59" t="s">
        <v>800</v>
      </c>
    </row>
    <row r="1342" spans="1:9" ht="11.25" customHeight="1">
      <c r="A1342" s="59" t="s">
        <v>2162</v>
      </c>
      <c r="B1342" s="59" t="s">
        <v>14</v>
      </c>
      <c r="C1342" s="59" t="s">
        <v>4441</v>
      </c>
      <c r="D1342" s="59" t="s">
        <v>4442</v>
      </c>
      <c r="E1342" s="59" t="s">
        <v>4443</v>
      </c>
      <c r="F1342" s="59" t="s">
        <v>2486</v>
      </c>
      <c r="G1342" s="59" t="s">
        <v>4444</v>
      </c>
      <c r="H1342" s="59" t="s">
        <v>4445</v>
      </c>
      <c r="I1342" s="59" t="s">
        <v>800</v>
      </c>
    </row>
    <row r="1343" spans="1:9" ht="11.25" customHeight="1">
      <c r="A1343" s="59" t="s">
        <v>2162</v>
      </c>
      <c r="B1343" s="59" t="s">
        <v>14</v>
      </c>
      <c r="C1343" s="59" t="s">
        <v>2969</v>
      </c>
      <c r="D1343" s="59" t="s">
        <v>2970</v>
      </c>
      <c r="E1343" s="59" t="s">
        <v>2971</v>
      </c>
      <c r="F1343" s="59" t="s">
        <v>2261</v>
      </c>
      <c r="G1343" s="59" t="s">
        <v>2972</v>
      </c>
      <c r="I1343" s="59" t="s">
        <v>800</v>
      </c>
    </row>
    <row r="1344" spans="1:9" ht="11.25" customHeight="1">
      <c r="A1344" s="59" t="s">
        <v>2162</v>
      </c>
      <c r="B1344" s="59" t="s">
        <v>14</v>
      </c>
      <c r="C1344" s="59" t="s">
        <v>2973</v>
      </c>
      <c r="D1344" s="59" t="s">
        <v>2974</v>
      </c>
      <c r="E1344" s="59" t="s">
        <v>2975</v>
      </c>
      <c r="F1344" s="59" t="s">
        <v>2257</v>
      </c>
      <c r="G1344" s="59" t="s">
        <v>2976</v>
      </c>
      <c r="I1344" s="59" t="s">
        <v>800</v>
      </c>
    </row>
    <row r="1345" spans="1:9" ht="11.25" customHeight="1">
      <c r="A1345" s="59" t="s">
        <v>2162</v>
      </c>
      <c r="B1345" s="59" t="s">
        <v>14</v>
      </c>
      <c r="C1345" s="59" t="s">
        <v>2981</v>
      </c>
      <c r="D1345" s="59" t="s">
        <v>2982</v>
      </c>
      <c r="E1345" s="59" t="s">
        <v>2983</v>
      </c>
      <c r="F1345" s="59" t="s">
        <v>2808</v>
      </c>
      <c r="H1345" s="59" t="s">
        <v>2984</v>
      </c>
      <c r="I1345" s="59" t="s">
        <v>800</v>
      </c>
    </row>
    <row r="1346" spans="1:9" ht="11.25" customHeight="1">
      <c r="A1346" s="59" t="s">
        <v>2162</v>
      </c>
      <c r="B1346" s="59" t="s">
        <v>14</v>
      </c>
      <c r="C1346" s="59" t="s">
        <v>2996</v>
      </c>
      <c r="D1346" s="59" t="s">
        <v>2997</v>
      </c>
      <c r="E1346" s="59" t="s">
        <v>2998</v>
      </c>
      <c r="F1346" s="59" t="s">
        <v>2308</v>
      </c>
      <c r="G1346" s="59" t="s">
        <v>2999</v>
      </c>
      <c r="I1346" s="59" t="s">
        <v>800</v>
      </c>
    </row>
    <row r="1347" spans="1:9" ht="11.25" customHeight="1">
      <c r="A1347" s="59" t="s">
        <v>2162</v>
      </c>
      <c r="B1347" s="59" t="s">
        <v>14</v>
      </c>
      <c r="C1347" s="59" t="s">
        <v>3000</v>
      </c>
      <c r="D1347" s="59" t="s">
        <v>3001</v>
      </c>
      <c r="E1347" s="59" t="s">
        <v>3002</v>
      </c>
      <c r="F1347" s="59" t="s">
        <v>3003</v>
      </c>
      <c r="G1347" s="59" t="s">
        <v>3004</v>
      </c>
      <c r="I1347" s="59" t="s">
        <v>800</v>
      </c>
    </row>
    <row r="1348" spans="1:9" ht="11.25" customHeight="1">
      <c r="A1348" s="59" t="s">
        <v>2162</v>
      </c>
      <c r="B1348" s="59" t="s">
        <v>14</v>
      </c>
      <c r="C1348" s="59" t="s">
        <v>3008</v>
      </c>
      <c r="D1348" s="59" t="s">
        <v>3009</v>
      </c>
      <c r="E1348" s="59" t="s">
        <v>3010</v>
      </c>
      <c r="F1348" s="59" t="s">
        <v>2261</v>
      </c>
      <c r="G1348" s="59" t="s">
        <v>3011</v>
      </c>
      <c r="I1348" s="59" t="s">
        <v>800</v>
      </c>
    </row>
    <row r="1349" spans="1:9" ht="11.25" customHeight="1">
      <c r="A1349" s="59" t="s">
        <v>2162</v>
      </c>
      <c r="B1349" s="59" t="s">
        <v>14</v>
      </c>
      <c r="C1349" s="59" t="s">
        <v>3012</v>
      </c>
      <c r="D1349" s="59" t="s">
        <v>3013</v>
      </c>
      <c r="E1349" s="59" t="s">
        <v>3014</v>
      </c>
      <c r="F1349" s="59" t="s">
        <v>2257</v>
      </c>
      <c r="G1349" s="59" t="s">
        <v>3015</v>
      </c>
      <c r="I1349" s="59" t="s">
        <v>800</v>
      </c>
    </row>
    <row r="1350" spans="1:9" ht="11.25" customHeight="1">
      <c r="A1350" s="59" t="s">
        <v>2162</v>
      </c>
      <c r="B1350" s="59" t="s">
        <v>14</v>
      </c>
      <c r="C1350" s="59" t="s">
        <v>3016</v>
      </c>
      <c r="D1350" s="59" t="s">
        <v>3017</v>
      </c>
      <c r="E1350" s="59" t="s">
        <v>3018</v>
      </c>
      <c r="F1350" s="59" t="s">
        <v>2257</v>
      </c>
      <c r="G1350" s="59" t="s">
        <v>3019</v>
      </c>
      <c r="I1350" s="59" t="s">
        <v>800</v>
      </c>
    </row>
    <row r="1351" spans="1:9" ht="11.25" customHeight="1">
      <c r="A1351" s="59" t="s">
        <v>2162</v>
      </c>
      <c r="B1351" s="59" t="s">
        <v>14</v>
      </c>
      <c r="C1351" s="59" t="s">
        <v>4446</v>
      </c>
      <c r="D1351" s="59" t="s">
        <v>4447</v>
      </c>
      <c r="E1351" s="59" t="s">
        <v>4448</v>
      </c>
      <c r="F1351" s="59" t="s">
        <v>2266</v>
      </c>
      <c r="I1351" s="59" t="s">
        <v>800</v>
      </c>
    </row>
    <row r="1352" spans="1:9" ht="11.25" customHeight="1">
      <c r="A1352" s="59" t="s">
        <v>2162</v>
      </c>
      <c r="B1352" s="59" t="s">
        <v>14</v>
      </c>
      <c r="C1352" s="59" t="s">
        <v>4449</v>
      </c>
      <c r="D1352" s="59" t="s">
        <v>4450</v>
      </c>
      <c r="E1352" s="59" t="s">
        <v>4451</v>
      </c>
      <c r="F1352" s="59" t="s">
        <v>2299</v>
      </c>
      <c r="I1352" s="59" t="s">
        <v>800</v>
      </c>
    </row>
    <row r="1353" spans="1:9" ht="11.25" customHeight="1">
      <c r="A1353" s="59" t="s">
        <v>2162</v>
      </c>
      <c r="B1353" s="59" t="s">
        <v>14</v>
      </c>
      <c r="C1353" s="59" t="s">
        <v>4452</v>
      </c>
      <c r="D1353" s="59" t="s">
        <v>4453</v>
      </c>
      <c r="E1353" s="59" t="s">
        <v>4454</v>
      </c>
      <c r="F1353" s="59" t="s">
        <v>2391</v>
      </c>
      <c r="G1353" s="59" t="s">
        <v>4455</v>
      </c>
      <c r="I1353" s="59" t="s">
        <v>800</v>
      </c>
    </row>
    <row r="1354" spans="1:9" ht="11.25" customHeight="1">
      <c r="A1354" s="59" t="s">
        <v>2162</v>
      </c>
      <c r="B1354" s="59" t="s">
        <v>14</v>
      </c>
      <c r="C1354" s="59" t="s">
        <v>3043</v>
      </c>
      <c r="D1354" s="59" t="s">
        <v>3044</v>
      </c>
      <c r="E1354" s="59" t="s">
        <v>3045</v>
      </c>
      <c r="F1354" s="59" t="s">
        <v>2266</v>
      </c>
      <c r="G1354" s="59" t="s">
        <v>3046</v>
      </c>
      <c r="I1354" s="59" t="s">
        <v>800</v>
      </c>
    </row>
    <row r="1355" spans="1:9" ht="11.25" customHeight="1">
      <c r="A1355" s="59" t="s">
        <v>2162</v>
      </c>
      <c r="B1355" s="59" t="s">
        <v>14</v>
      </c>
      <c r="C1355" s="59" t="s">
        <v>4456</v>
      </c>
      <c r="D1355" s="59" t="s">
        <v>4457</v>
      </c>
      <c r="E1355" s="59" t="s">
        <v>4458</v>
      </c>
      <c r="F1355" s="59" t="s">
        <v>2266</v>
      </c>
      <c r="I1355" s="59" t="s">
        <v>800</v>
      </c>
    </row>
    <row r="1356" spans="1:9" ht="11.25" customHeight="1">
      <c r="A1356" s="59" t="s">
        <v>2162</v>
      </c>
      <c r="B1356" s="59" t="s">
        <v>14</v>
      </c>
      <c r="C1356" s="59" t="s">
        <v>4459</v>
      </c>
      <c r="D1356" s="59" t="s">
        <v>4460</v>
      </c>
      <c r="E1356" s="59" t="s">
        <v>4461</v>
      </c>
      <c r="F1356" s="59" t="s">
        <v>3057</v>
      </c>
      <c r="H1356" s="59" t="s">
        <v>4462</v>
      </c>
      <c r="I1356" s="59" t="s">
        <v>800</v>
      </c>
    </row>
    <row r="1357" spans="1:9" ht="11.25" customHeight="1">
      <c r="A1357" s="59" t="s">
        <v>2162</v>
      </c>
      <c r="B1357" s="59" t="s">
        <v>14</v>
      </c>
      <c r="C1357" s="59" t="s">
        <v>4463</v>
      </c>
      <c r="D1357" s="59" t="s">
        <v>4464</v>
      </c>
      <c r="E1357" s="59" t="s">
        <v>4465</v>
      </c>
      <c r="F1357" s="59" t="s">
        <v>3697</v>
      </c>
      <c r="G1357" s="59" t="s">
        <v>4466</v>
      </c>
      <c r="I1357" s="59" t="s">
        <v>800</v>
      </c>
    </row>
    <row r="1358" spans="1:9" ht="11.25" customHeight="1">
      <c r="A1358" s="59" t="s">
        <v>2162</v>
      </c>
      <c r="B1358" s="59" t="s">
        <v>14</v>
      </c>
      <c r="C1358" s="59" t="s">
        <v>3061</v>
      </c>
      <c r="D1358" s="59" t="s">
        <v>3062</v>
      </c>
      <c r="E1358" s="59" t="s">
        <v>3063</v>
      </c>
      <c r="F1358" s="59" t="s">
        <v>2299</v>
      </c>
      <c r="G1358" s="59" t="s">
        <v>2924</v>
      </c>
      <c r="H1358" s="59" t="s">
        <v>3064</v>
      </c>
      <c r="I1358" s="59" t="s">
        <v>800</v>
      </c>
    </row>
    <row r="1359" spans="1:9" ht="11.25" customHeight="1">
      <c r="A1359" s="59" t="s">
        <v>2162</v>
      </c>
      <c r="B1359" s="59" t="s">
        <v>14</v>
      </c>
      <c r="C1359" s="59" t="s">
        <v>4467</v>
      </c>
      <c r="D1359" s="59" t="s">
        <v>4468</v>
      </c>
      <c r="E1359" s="59" t="s">
        <v>4469</v>
      </c>
      <c r="F1359" s="59" t="s">
        <v>4470</v>
      </c>
      <c r="I1359" s="59" t="s">
        <v>800</v>
      </c>
    </row>
    <row r="1360" spans="1:9" ht="11.25" customHeight="1">
      <c r="A1360" s="59" t="s">
        <v>2162</v>
      </c>
      <c r="B1360" s="59" t="s">
        <v>14</v>
      </c>
      <c r="C1360" s="59" t="s">
        <v>3079</v>
      </c>
      <c r="D1360" s="59" t="s">
        <v>3080</v>
      </c>
      <c r="E1360" s="59" t="s">
        <v>3081</v>
      </c>
      <c r="F1360" s="59" t="s">
        <v>2486</v>
      </c>
      <c r="G1360" s="59" t="s">
        <v>3082</v>
      </c>
      <c r="I1360" s="59" t="s">
        <v>800</v>
      </c>
    </row>
    <row r="1361" spans="1:9" ht="11.25" customHeight="1">
      <c r="A1361" s="59" t="s">
        <v>2162</v>
      </c>
      <c r="B1361" s="59" t="s">
        <v>14</v>
      </c>
      <c r="C1361" s="59" t="s">
        <v>3087</v>
      </c>
      <c r="D1361" s="59" t="s">
        <v>3088</v>
      </c>
      <c r="E1361" s="59" t="s">
        <v>3089</v>
      </c>
      <c r="F1361" s="59" t="s">
        <v>2228</v>
      </c>
      <c r="G1361" s="59" t="s">
        <v>3090</v>
      </c>
      <c r="I1361" s="59" t="s">
        <v>800</v>
      </c>
    </row>
    <row r="1362" spans="1:9" ht="11.25" customHeight="1">
      <c r="A1362" s="59" t="s">
        <v>2162</v>
      </c>
      <c r="B1362" s="59" t="s">
        <v>14</v>
      </c>
      <c r="C1362" s="59" t="s">
        <v>4475</v>
      </c>
      <c r="D1362" s="59" t="s">
        <v>4476</v>
      </c>
      <c r="E1362" s="59" t="s">
        <v>4477</v>
      </c>
      <c r="F1362" s="59" t="s">
        <v>2486</v>
      </c>
      <c r="G1362" s="59" t="s">
        <v>4478</v>
      </c>
      <c r="I1362" s="59" t="s">
        <v>800</v>
      </c>
    </row>
    <row r="1363" spans="1:9" ht="11.25" customHeight="1">
      <c r="A1363" s="59" t="s">
        <v>2162</v>
      </c>
      <c r="B1363" s="59" t="s">
        <v>14</v>
      </c>
      <c r="C1363" s="59" t="s">
        <v>4479</v>
      </c>
      <c r="D1363" s="59" t="s">
        <v>4480</v>
      </c>
      <c r="E1363" s="59" t="s">
        <v>4481</v>
      </c>
      <c r="F1363" s="59" t="s">
        <v>2775</v>
      </c>
      <c r="G1363" s="59" t="s">
        <v>4482</v>
      </c>
      <c r="I1363" s="59" t="s">
        <v>800</v>
      </c>
    </row>
    <row r="1364" spans="1:9" ht="11.25" customHeight="1">
      <c r="A1364" s="59" t="s">
        <v>2162</v>
      </c>
      <c r="B1364" s="59" t="s">
        <v>14</v>
      </c>
      <c r="C1364" s="59" t="s">
        <v>4483</v>
      </c>
      <c r="D1364" s="59" t="s">
        <v>4484</v>
      </c>
      <c r="E1364" s="59" t="s">
        <v>4485</v>
      </c>
      <c r="F1364" s="59" t="s">
        <v>2193</v>
      </c>
      <c r="I1364" s="59" t="s">
        <v>800</v>
      </c>
    </row>
    <row r="1365" spans="1:9" ht="11.25" customHeight="1">
      <c r="A1365" s="59" t="s">
        <v>2162</v>
      </c>
      <c r="B1365" s="59" t="s">
        <v>14</v>
      </c>
      <c r="C1365" s="59" t="s">
        <v>3095</v>
      </c>
      <c r="D1365" s="59" t="s">
        <v>3096</v>
      </c>
      <c r="E1365" s="59" t="s">
        <v>3097</v>
      </c>
      <c r="F1365" s="59" t="s">
        <v>2202</v>
      </c>
      <c r="I1365" s="59" t="s">
        <v>800</v>
      </c>
    </row>
    <row r="1366" spans="1:9" ht="11.25" customHeight="1">
      <c r="A1366" s="59" t="s">
        <v>2162</v>
      </c>
      <c r="B1366" s="59" t="s">
        <v>14</v>
      </c>
      <c r="C1366" s="59" t="s">
        <v>3101</v>
      </c>
      <c r="D1366" s="59" t="s">
        <v>3102</v>
      </c>
      <c r="E1366" s="59" t="s">
        <v>3103</v>
      </c>
      <c r="F1366" s="59" t="s">
        <v>2166</v>
      </c>
      <c r="G1366" s="59" t="s">
        <v>3104</v>
      </c>
      <c r="I1366" s="59" t="s">
        <v>800</v>
      </c>
    </row>
    <row r="1367" spans="1:9" ht="11.25" customHeight="1">
      <c r="A1367" s="59" t="s">
        <v>2162</v>
      </c>
      <c r="B1367" s="59" t="s">
        <v>14</v>
      </c>
      <c r="C1367" s="59" t="s">
        <v>3105</v>
      </c>
      <c r="D1367" s="59" t="s">
        <v>3106</v>
      </c>
      <c r="E1367" s="59" t="s">
        <v>3107</v>
      </c>
      <c r="F1367" s="59" t="s">
        <v>2202</v>
      </c>
      <c r="G1367" s="59" t="s">
        <v>3108</v>
      </c>
      <c r="I1367" s="59" t="s">
        <v>800</v>
      </c>
    </row>
    <row r="1368" spans="1:9" ht="11.25" customHeight="1">
      <c r="A1368" s="59" t="s">
        <v>2162</v>
      </c>
      <c r="B1368" s="59" t="s">
        <v>14</v>
      </c>
      <c r="C1368" s="59" t="s">
        <v>3109</v>
      </c>
      <c r="D1368" s="59" t="s">
        <v>3110</v>
      </c>
      <c r="E1368" s="59" t="s">
        <v>3111</v>
      </c>
      <c r="F1368" s="59" t="s">
        <v>2166</v>
      </c>
      <c r="G1368" s="59" t="s">
        <v>3112</v>
      </c>
      <c r="I1368" s="59" t="s">
        <v>800</v>
      </c>
    </row>
    <row r="1369" spans="1:9" ht="11.25" customHeight="1">
      <c r="A1369" s="59" t="s">
        <v>2162</v>
      </c>
      <c r="B1369" s="59" t="s">
        <v>14</v>
      </c>
      <c r="C1369" s="59" t="s">
        <v>4486</v>
      </c>
      <c r="D1369" s="59" t="s">
        <v>4487</v>
      </c>
      <c r="E1369" s="59" t="s">
        <v>4488</v>
      </c>
      <c r="F1369" s="59" t="s">
        <v>3962</v>
      </c>
      <c r="I1369" s="59" t="s">
        <v>800</v>
      </c>
    </row>
    <row r="1370" spans="1:9" ht="11.25" customHeight="1">
      <c r="A1370" s="59" t="s">
        <v>2162</v>
      </c>
      <c r="B1370" s="59" t="s">
        <v>14</v>
      </c>
      <c r="C1370" s="59" t="s">
        <v>3131</v>
      </c>
      <c r="D1370" s="59" t="s">
        <v>3132</v>
      </c>
      <c r="E1370" s="59" t="s">
        <v>3133</v>
      </c>
      <c r="F1370" s="59" t="s">
        <v>2166</v>
      </c>
      <c r="G1370" s="59" t="s">
        <v>3134</v>
      </c>
      <c r="I1370" s="59" t="s">
        <v>800</v>
      </c>
    </row>
    <row r="1371" spans="1:9" ht="11.25" customHeight="1">
      <c r="A1371" s="59" t="s">
        <v>2162</v>
      </c>
      <c r="B1371" s="59" t="s">
        <v>14</v>
      </c>
      <c r="C1371" s="59" t="s">
        <v>3135</v>
      </c>
      <c r="D1371" s="59" t="s">
        <v>3136</v>
      </c>
      <c r="E1371" s="59" t="s">
        <v>3137</v>
      </c>
      <c r="F1371" s="59" t="s">
        <v>2257</v>
      </c>
      <c r="G1371" s="59" t="s">
        <v>3138</v>
      </c>
      <c r="I1371" s="59" t="s">
        <v>800</v>
      </c>
    </row>
    <row r="1372" spans="1:9" ht="11.25" customHeight="1">
      <c r="A1372" s="59" t="s">
        <v>2162</v>
      </c>
      <c r="B1372" s="59" t="s">
        <v>14</v>
      </c>
      <c r="C1372" s="59" t="s">
        <v>3143</v>
      </c>
      <c r="D1372" s="59" t="s">
        <v>3144</v>
      </c>
      <c r="E1372" s="59" t="s">
        <v>3145</v>
      </c>
      <c r="F1372" s="59" t="s">
        <v>3146</v>
      </c>
      <c r="G1372" s="59" t="s">
        <v>3147</v>
      </c>
      <c r="I1372" s="59" t="s">
        <v>800</v>
      </c>
    </row>
    <row r="1373" spans="1:9" ht="11.25" customHeight="1">
      <c r="A1373" s="59" t="s">
        <v>2162</v>
      </c>
      <c r="B1373" s="59" t="s">
        <v>14</v>
      </c>
      <c r="C1373" s="59" t="s">
        <v>3148</v>
      </c>
      <c r="D1373" s="59" t="s">
        <v>3149</v>
      </c>
      <c r="E1373" s="59" t="s">
        <v>3150</v>
      </c>
      <c r="F1373" s="59" t="s">
        <v>2808</v>
      </c>
      <c r="I1373" s="59" t="s">
        <v>800</v>
      </c>
    </row>
    <row r="1374" spans="1:9" ht="11.25" customHeight="1">
      <c r="A1374" s="59" t="s">
        <v>2162</v>
      </c>
      <c r="B1374" s="59" t="s">
        <v>14</v>
      </c>
      <c r="C1374" s="59" t="s">
        <v>4489</v>
      </c>
      <c r="D1374" s="59" t="s">
        <v>4490</v>
      </c>
      <c r="E1374" s="59" t="s">
        <v>4491</v>
      </c>
      <c r="F1374" s="59" t="s">
        <v>2478</v>
      </c>
      <c r="H1374" s="59" t="s">
        <v>4492</v>
      </c>
      <c r="I1374" s="59" t="s">
        <v>800</v>
      </c>
    </row>
    <row r="1375" spans="1:9" ht="11.25" customHeight="1">
      <c r="A1375" s="59" t="s">
        <v>2162</v>
      </c>
      <c r="B1375" s="59" t="s">
        <v>14</v>
      </c>
      <c r="C1375" s="59" t="s">
        <v>3156</v>
      </c>
      <c r="D1375" s="59" t="s">
        <v>3157</v>
      </c>
      <c r="E1375" s="59" t="s">
        <v>3158</v>
      </c>
      <c r="F1375" s="59" t="s">
        <v>2202</v>
      </c>
      <c r="I1375" s="59" t="s">
        <v>800</v>
      </c>
    </row>
    <row r="1376" spans="1:9" ht="11.25" customHeight="1">
      <c r="A1376" s="59" t="s">
        <v>2162</v>
      </c>
      <c r="B1376" s="59" t="s">
        <v>14</v>
      </c>
      <c r="C1376" s="59" t="s">
        <v>3167</v>
      </c>
      <c r="D1376" s="59" t="s">
        <v>3168</v>
      </c>
      <c r="E1376" s="59" t="s">
        <v>3169</v>
      </c>
      <c r="F1376" s="59" t="s">
        <v>2202</v>
      </c>
      <c r="I1376" s="59" t="s">
        <v>800</v>
      </c>
    </row>
    <row r="1377" spans="1:9" ht="11.25" customHeight="1">
      <c r="A1377" s="59" t="s">
        <v>2162</v>
      </c>
      <c r="B1377" s="59" t="s">
        <v>14</v>
      </c>
      <c r="C1377" s="59" t="s">
        <v>3170</v>
      </c>
      <c r="D1377" s="59" t="s">
        <v>3171</v>
      </c>
      <c r="E1377" s="59" t="s">
        <v>3172</v>
      </c>
      <c r="F1377" s="59" t="s">
        <v>3173</v>
      </c>
      <c r="I1377" s="59" t="s">
        <v>800</v>
      </c>
    </row>
    <row r="1378" spans="1:9" ht="11.25" customHeight="1">
      <c r="A1378" s="59" t="s">
        <v>2162</v>
      </c>
      <c r="B1378" s="59" t="s">
        <v>14</v>
      </c>
      <c r="C1378" s="59" t="s">
        <v>4493</v>
      </c>
      <c r="D1378" s="59" t="s">
        <v>4494</v>
      </c>
      <c r="E1378" s="59" t="s">
        <v>4495</v>
      </c>
      <c r="F1378" s="59" t="s">
        <v>2166</v>
      </c>
      <c r="I1378" s="59" t="s">
        <v>800</v>
      </c>
    </row>
    <row r="1379" spans="1:9" ht="11.25" customHeight="1">
      <c r="A1379" s="59" t="s">
        <v>2162</v>
      </c>
      <c r="B1379" s="59" t="s">
        <v>14</v>
      </c>
      <c r="C1379" s="59" t="s">
        <v>4691</v>
      </c>
      <c r="D1379" s="59" t="s">
        <v>4692</v>
      </c>
      <c r="E1379" s="59" t="s">
        <v>4693</v>
      </c>
      <c r="F1379" s="59" t="s">
        <v>2252</v>
      </c>
      <c r="I1379" s="59" t="s">
        <v>800</v>
      </c>
    </row>
    <row r="1380" spans="1:9" ht="11.25" customHeight="1">
      <c r="A1380" s="59" t="s">
        <v>2162</v>
      </c>
      <c r="B1380" s="59" t="s">
        <v>14</v>
      </c>
      <c r="C1380" s="59" t="s">
        <v>3174</v>
      </c>
      <c r="D1380" s="59" t="s">
        <v>3175</v>
      </c>
      <c r="E1380" s="59" t="s">
        <v>3176</v>
      </c>
      <c r="F1380" s="59" t="s">
        <v>2308</v>
      </c>
      <c r="I1380" s="59" t="s">
        <v>800</v>
      </c>
    </row>
    <row r="1381" spans="1:9" ht="11.25" customHeight="1">
      <c r="A1381" s="59" t="s">
        <v>2162</v>
      </c>
      <c r="B1381" s="59" t="s">
        <v>14</v>
      </c>
      <c r="C1381" s="59" t="s">
        <v>3196</v>
      </c>
      <c r="D1381" s="59" t="s">
        <v>3197</v>
      </c>
      <c r="E1381" s="59" t="s">
        <v>3198</v>
      </c>
      <c r="F1381" s="59" t="s">
        <v>2248</v>
      </c>
      <c r="I1381" s="59" t="s">
        <v>800</v>
      </c>
    </row>
    <row r="1382" spans="1:9" ht="11.25" customHeight="1">
      <c r="A1382" s="59" t="s">
        <v>2162</v>
      </c>
      <c r="B1382" s="59" t="s">
        <v>14</v>
      </c>
      <c r="C1382" s="59" t="s">
        <v>3205</v>
      </c>
      <c r="D1382" s="59" t="s">
        <v>3206</v>
      </c>
      <c r="E1382" s="59" t="s">
        <v>3207</v>
      </c>
      <c r="F1382" s="59" t="s">
        <v>2202</v>
      </c>
      <c r="I1382" s="59" t="s">
        <v>800</v>
      </c>
    </row>
    <row r="1383" spans="1:9" ht="11.25" customHeight="1">
      <c r="A1383" s="59" t="s">
        <v>2162</v>
      </c>
      <c r="B1383" s="59" t="s">
        <v>14</v>
      </c>
      <c r="C1383" s="59" t="s">
        <v>4496</v>
      </c>
      <c r="D1383" s="59" t="s">
        <v>4497</v>
      </c>
      <c r="E1383" s="59" t="s">
        <v>4498</v>
      </c>
      <c r="F1383" s="59" t="s">
        <v>2266</v>
      </c>
      <c r="I1383" s="59" t="s">
        <v>800</v>
      </c>
    </row>
    <row r="1384" spans="1:9" ht="11.25" customHeight="1">
      <c r="A1384" s="59" t="s">
        <v>2162</v>
      </c>
      <c r="B1384" s="59" t="s">
        <v>14</v>
      </c>
      <c r="C1384" s="59" t="s">
        <v>3241</v>
      </c>
      <c r="D1384" s="59" t="s">
        <v>3242</v>
      </c>
      <c r="E1384" s="59" t="s">
        <v>3243</v>
      </c>
      <c r="F1384" s="59" t="s">
        <v>3244</v>
      </c>
      <c r="I1384" s="59" t="s">
        <v>800</v>
      </c>
    </row>
    <row r="1385" spans="1:9" ht="11.25" customHeight="1">
      <c r="A1385" s="59" t="s">
        <v>2162</v>
      </c>
      <c r="B1385" s="59" t="s">
        <v>14</v>
      </c>
      <c r="C1385" s="59" t="s">
        <v>3259</v>
      </c>
      <c r="D1385" s="59" t="s">
        <v>3260</v>
      </c>
      <c r="E1385" s="59" t="s">
        <v>3261</v>
      </c>
      <c r="F1385" s="59" t="s">
        <v>2391</v>
      </c>
      <c r="I1385" s="59" t="s">
        <v>800</v>
      </c>
    </row>
    <row r="1386" spans="1:9" ht="11.25" customHeight="1">
      <c r="A1386" s="59" t="s">
        <v>2162</v>
      </c>
      <c r="B1386" s="59" t="s">
        <v>14</v>
      </c>
      <c r="C1386" s="59" t="s">
        <v>4694</v>
      </c>
      <c r="D1386" s="59" t="s">
        <v>4695</v>
      </c>
      <c r="E1386" s="59" t="s">
        <v>4696</v>
      </c>
      <c r="F1386" s="59" t="s">
        <v>2166</v>
      </c>
      <c r="I1386" s="59" t="s">
        <v>800</v>
      </c>
    </row>
    <row r="1387" spans="1:9" ht="11.25" customHeight="1">
      <c r="A1387" s="59" t="s">
        <v>2162</v>
      </c>
      <c r="B1387" s="59" t="s">
        <v>14</v>
      </c>
      <c r="C1387" s="59" t="s">
        <v>3271</v>
      </c>
      <c r="D1387" s="59" t="s">
        <v>3272</v>
      </c>
      <c r="E1387" s="59" t="s">
        <v>3273</v>
      </c>
      <c r="F1387" s="59" t="s">
        <v>2592</v>
      </c>
      <c r="I1387" s="59" t="s">
        <v>800</v>
      </c>
    </row>
    <row r="1388" spans="1:9" ht="11.25" customHeight="1">
      <c r="A1388" s="59" t="s">
        <v>2162</v>
      </c>
      <c r="B1388" s="59" t="s">
        <v>14</v>
      </c>
      <c r="C1388" s="59" t="s">
        <v>3277</v>
      </c>
      <c r="D1388" s="59" t="s">
        <v>3278</v>
      </c>
      <c r="E1388" s="59" t="s">
        <v>3279</v>
      </c>
      <c r="F1388" s="59" t="s">
        <v>2486</v>
      </c>
      <c r="I1388" s="59" t="s">
        <v>800</v>
      </c>
    </row>
    <row r="1389" spans="1:9" ht="11.25" customHeight="1">
      <c r="A1389" s="59" t="s">
        <v>2162</v>
      </c>
      <c r="B1389" s="59" t="s">
        <v>14</v>
      </c>
      <c r="C1389" s="59" t="s">
        <v>4505</v>
      </c>
      <c r="D1389" s="59" t="s">
        <v>4506</v>
      </c>
      <c r="E1389" s="59" t="s">
        <v>4507</v>
      </c>
      <c r="F1389" s="59" t="s">
        <v>2166</v>
      </c>
      <c r="I1389" s="59" t="s">
        <v>800</v>
      </c>
    </row>
    <row r="1390" spans="1:9" ht="11.25" customHeight="1">
      <c r="A1390" s="59" t="s">
        <v>2162</v>
      </c>
      <c r="B1390" s="59" t="s">
        <v>14</v>
      </c>
      <c r="C1390" s="59" t="s">
        <v>3315</v>
      </c>
      <c r="D1390" s="59" t="s">
        <v>3316</v>
      </c>
      <c r="E1390" s="59" t="s">
        <v>3317</v>
      </c>
      <c r="F1390" s="59" t="s">
        <v>2478</v>
      </c>
      <c r="I1390" s="59" t="s">
        <v>800</v>
      </c>
    </row>
    <row r="1391" spans="1:9" ht="11.25" customHeight="1">
      <c r="A1391" s="59" t="s">
        <v>2162</v>
      </c>
      <c r="B1391" s="59" t="s">
        <v>14</v>
      </c>
      <c r="C1391" s="59" t="s">
        <v>3327</v>
      </c>
      <c r="D1391" s="59" t="s">
        <v>3328</v>
      </c>
      <c r="E1391" s="59" t="s">
        <v>3329</v>
      </c>
      <c r="F1391" s="59" t="s">
        <v>2202</v>
      </c>
      <c r="I1391" s="59" t="s">
        <v>800</v>
      </c>
    </row>
    <row r="1392" spans="1:9" ht="11.25" customHeight="1">
      <c r="A1392" s="59" t="s">
        <v>2162</v>
      </c>
      <c r="B1392" s="59" t="s">
        <v>14</v>
      </c>
      <c r="C1392" s="59" t="s">
        <v>4511</v>
      </c>
      <c r="D1392" s="59" t="s">
        <v>4512</v>
      </c>
      <c r="E1392" s="59" t="s">
        <v>4513</v>
      </c>
      <c r="F1392" s="59" t="s">
        <v>2166</v>
      </c>
      <c r="I1392" s="59" t="s">
        <v>800</v>
      </c>
    </row>
    <row r="1393" spans="1:9" ht="11.25" customHeight="1">
      <c r="A1393" s="59" t="s">
        <v>2162</v>
      </c>
      <c r="B1393" s="59" t="s">
        <v>14</v>
      </c>
      <c r="C1393" s="59" t="s">
        <v>3342</v>
      </c>
      <c r="D1393" s="59" t="s">
        <v>3343</v>
      </c>
      <c r="E1393" s="59" t="s">
        <v>3344</v>
      </c>
      <c r="F1393" s="59" t="s">
        <v>2299</v>
      </c>
      <c r="I1393" s="59" t="s">
        <v>800</v>
      </c>
    </row>
    <row r="1394" spans="1:9" ht="11.25" customHeight="1">
      <c r="A1394" s="59" t="s">
        <v>2162</v>
      </c>
      <c r="B1394" s="59" t="s">
        <v>14</v>
      </c>
      <c r="C1394" s="59" t="s">
        <v>4517</v>
      </c>
      <c r="D1394" s="59" t="s">
        <v>4518</v>
      </c>
      <c r="E1394" s="59" t="s">
        <v>4519</v>
      </c>
      <c r="F1394" s="59" t="s">
        <v>2291</v>
      </c>
      <c r="I1394" s="59" t="s">
        <v>800</v>
      </c>
    </row>
    <row r="1395" spans="1:9" ht="11.25" customHeight="1">
      <c r="A1395" s="59" t="s">
        <v>2162</v>
      </c>
      <c r="B1395" s="59" t="s">
        <v>14</v>
      </c>
      <c r="C1395" s="59" t="s">
        <v>4697</v>
      </c>
      <c r="D1395" s="59" t="s">
        <v>4698</v>
      </c>
      <c r="E1395" s="59" t="s">
        <v>4699</v>
      </c>
      <c r="F1395" s="59" t="s">
        <v>2486</v>
      </c>
      <c r="I1395" s="59" t="s">
        <v>800</v>
      </c>
    </row>
    <row r="1396" spans="1:9" ht="11.25" customHeight="1">
      <c r="A1396" s="59" t="s">
        <v>2162</v>
      </c>
      <c r="B1396" s="59" t="s">
        <v>14</v>
      </c>
      <c r="C1396" s="59" t="s">
        <v>3428</v>
      </c>
      <c r="D1396" s="59" t="s">
        <v>3429</v>
      </c>
      <c r="E1396" s="59" t="s">
        <v>2174</v>
      </c>
      <c r="F1396" s="59" t="s">
        <v>2370</v>
      </c>
      <c r="I1396" s="59" t="s">
        <v>800</v>
      </c>
    </row>
    <row r="1397" spans="1:9" ht="11.25" customHeight="1">
      <c r="A1397" s="59" t="s">
        <v>2162</v>
      </c>
      <c r="B1397" s="59" t="s">
        <v>14</v>
      </c>
      <c r="C1397" s="59" t="s">
        <v>3430</v>
      </c>
      <c r="D1397" s="59" t="s">
        <v>3431</v>
      </c>
      <c r="E1397" s="59" t="s">
        <v>2216</v>
      </c>
      <c r="F1397" s="59" t="s">
        <v>3432</v>
      </c>
      <c r="G1397" s="59" t="s">
        <v>2221</v>
      </c>
      <c r="I1397" s="59" t="s">
        <v>800</v>
      </c>
    </row>
    <row r="1398" spans="1:9" ht="11.25" customHeight="1">
      <c r="A1398" s="59" t="s">
        <v>2162</v>
      </c>
      <c r="B1398" s="59" t="s">
        <v>14</v>
      </c>
      <c r="C1398" s="59" t="s">
        <v>4520</v>
      </c>
      <c r="D1398" s="59" t="s">
        <v>4521</v>
      </c>
      <c r="E1398" s="59" t="s">
        <v>4522</v>
      </c>
      <c r="F1398" s="59" t="s">
        <v>2632</v>
      </c>
      <c r="I1398" s="59" t="s">
        <v>800</v>
      </c>
    </row>
    <row r="1399" spans="1:9" ht="11.25" customHeight="1">
      <c r="A1399" s="59" t="s">
        <v>2162</v>
      </c>
      <c r="B1399" s="59" t="s">
        <v>14</v>
      </c>
      <c r="C1399" s="59" t="s">
        <v>4700</v>
      </c>
      <c r="D1399" s="59" t="s">
        <v>4701</v>
      </c>
      <c r="E1399" s="59" t="s">
        <v>4702</v>
      </c>
      <c r="F1399" s="59" t="s">
        <v>2291</v>
      </c>
      <c r="G1399" s="59" t="s">
        <v>4703</v>
      </c>
      <c r="I1399" s="59" t="s">
        <v>800</v>
      </c>
    </row>
    <row r="1400" spans="1:9" ht="11.25" customHeight="1">
      <c r="A1400" s="59" t="s">
        <v>2162</v>
      </c>
      <c r="B1400" s="59" t="s">
        <v>14</v>
      </c>
      <c r="C1400" s="59" t="s">
        <v>4523</v>
      </c>
      <c r="D1400" s="59" t="s">
        <v>4524</v>
      </c>
      <c r="E1400" s="59" t="s">
        <v>4525</v>
      </c>
      <c r="F1400" s="59" t="s">
        <v>2299</v>
      </c>
      <c r="I1400" s="59" t="s">
        <v>800</v>
      </c>
    </row>
    <row r="1401" spans="1:9" ht="11.25" customHeight="1">
      <c r="A1401" s="59" t="s">
        <v>2162</v>
      </c>
      <c r="B1401" s="59" t="s">
        <v>14</v>
      </c>
      <c r="C1401" s="59" t="s">
        <v>3454</v>
      </c>
      <c r="D1401" s="59" t="s">
        <v>3455</v>
      </c>
      <c r="E1401" s="59" t="s">
        <v>3456</v>
      </c>
      <c r="F1401" s="59" t="s">
        <v>2636</v>
      </c>
      <c r="G1401" s="59" t="s">
        <v>3457</v>
      </c>
      <c r="I1401" s="59" t="s">
        <v>800</v>
      </c>
    </row>
    <row r="1402" spans="1:9" ht="11.25" customHeight="1">
      <c r="A1402" s="59" t="s">
        <v>2162</v>
      </c>
      <c r="B1402" s="59" t="s">
        <v>14</v>
      </c>
      <c r="C1402" s="59" t="s">
        <v>4534</v>
      </c>
      <c r="D1402" s="59" t="s">
        <v>4535</v>
      </c>
      <c r="E1402" s="59" t="s">
        <v>4536</v>
      </c>
      <c r="F1402" s="59" t="s">
        <v>2677</v>
      </c>
      <c r="I1402" s="59" t="s">
        <v>800</v>
      </c>
    </row>
    <row r="1403" spans="1:9" ht="11.25" customHeight="1">
      <c r="A1403" s="59" t="s">
        <v>2162</v>
      </c>
      <c r="B1403" s="59" t="s">
        <v>14</v>
      </c>
      <c r="C1403" s="59" t="s">
        <v>3475</v>
      </c>
      <c r="D1403" s="59" t="s">
        <v>3476</v>
      </c>
      <c r="E1403" s="59" t="s">
        <v>3477</v>
      </c>
      <c r="F1403" s="59" t="s">
        <v>2636</v>
      </c>
      <c r="G1403" s="59" t="s">
        <v>3478</v>
      </c>
      <c r="I1403" s="59" t="s">
        <v>800</v>
      </c>
    </row>
    <row r="1404" spans="1:9" ht="11.25" customHeight="1">
      <c r="A1404" s="59" t="s">
        <v>2162</v>
      </c>
      <c r="B1404" s="59" t="s">
        <v>14</v>
      </c>
      <c r="C1404" s="59" t="s">
        <v>3479</v>
      </c>
      <c r="D1404" s="59" t="s">
        <v>3480</v>
      </c>
      <c r="E1404" s="59" t="s">
        <v>3481</v>
      </c>
      <c r="F1404" s="59" t="s">
        <v>2233</v>
      </c>
      <c r="G1404" s="59" t="s">
        <v>3482</v>
      </c>
      <c r="I1404" s="59" t="s">
        <v>800</v>
      </c>
    </row>
    <row r="1405" spans="1:9" ht="11.25" customHeight="1">
      <c r="A1405" s="59" t="s">
        <v>2162</v>
      </c>
      <c r="B1405" s="59" t="s">
        <v>14</v>
      </c>
      <c r="C1405" s="59" t="s">
        <v>3486</v>
      </c>
      <c r="D1405" s="59" t="s">
        <v>3487</v>
      </c>
      <c r="E1405" s="59" t="s">
        <v>3488</v>
      </c>
      <c r="F1405" s="59" t="s">
        <v>2677</v>
      </c>
      <c r="G1405" s="59" t="s">
        <v>3489</v>
      </c>
      <c r="I1405" s="59" t="s">
        <v>800</v>
      </c>
    </row>
    <row r="1406" spans="1:9" ht="11.25" customHeight="1">
      <c r="A1406" s="59" t="s">
        <v>2162</v>
      </c>
      <c r="B1406" s="59" t="s">
        <v>14</v>
      </c>
      <c r="C1406" s="59" t="s">
        <v>4704</v>
      </c>
      <c r="D1406" s="59" t="s">
        <v>4705</v>
      </c>
      <c r="E1406" s="59" t="s">
        <v>4706</v>
      </c>
      <c r="F1406" s="59" t="s">
        <v>2486</v>
      </c>
      <c r="G1406" s="59" t="s">
        <v>4707</v>
      </c>
      <c r="I1406" s="59" t="s">
        <v>800</v>
      </c>
    </row>
    <row r="1407" spans="1:9" ht="11.25" customHeight="1">
      <c r="A1407" s="59" t="s">
        <v>2162</v>
      </c>
      <c r="B1407" s="59" t="s">
        <v>14</v>
      </c>
      <c r="C1407" s="59" t="s">
        <v>3490</v>
      </c>
      <c r="D1407" s="59" t="s">
        <v>3491</v>
      </c>
      <c r="E1407" s="59" t="s">
        <v>3492</v>
      </c>
      <c r="F1407" s="59" t="s">
        <v>2592</v>
      </c>
      <c r="G1407" s="59" t="s">
        <v>3493</v>
      </c>
      <c r="I1407" s="59" t="s">
        <v>800</v>
      </c>
    </row>
    <row r="1408" spans="1:9" ht="11.25" customHeight="1">
      <c r="A1408" s="59" t="s">
        <v>2162</v>
      </c>
      <c r="B1408" s="59" t="s">
        <v>14</v>
      </c>
      <c r="C1408" s="59" t="s">
        <v>4545</v>
      </c>
      <c r="D1408" s="59" t="s">
        <v>4546</v>
      </c>
      <c r="E1408" s="59" t="s">
        <v>4547</v>
      </c>
      <c r="F1408" s="59" t="s">
        <v>2220</v>
      </c>
      <c r="I1408" s="59" t="s">
        <v>800</v>
      </c>
    </row>
    <row r="1409" spans="1:9" ht="11.25" customHeight="1">
      <c r="A1409" s="59" t="s">
        <v>2162</v>
      </c>
      <c r="B1409" s="59" t="s">
        <v>14</v>
      </c>
      <c r="C1409" s="59" t="s">
        <v>3500</v>
      </c>
      <c r="D1409" s="59" t="s">
        <v>3501</v>
      </c>
      <c r="E1409" s="59" t="s">
        <v>3502</v>
      </c>
      <c r="F1409" s="59" t="s">
        <v>2233</v>
      </c>
      <c r="I1409" s="59" t="s">
        <v>800</v>
      </c>
    </row>
    <row r="1410" spans="1:9" ht="11.25" customHeight="1">
      <c r="A1410" s="59" t="s">
        <v>2162</v>
      </c>
      <c r="B1410" s="59" t="s">
        <v>14</v>
      </c>
      <c r="C1410" s="59" t="s">
        <v>4548</v>
      </c>
      <c r="D1410" s="59" t="s">
        <v>4549</v>
      </c>
      <c r="E1410" s="59" t="s">
        <v>4550</v>
      </c>
      <c r="F1410" s="59" t="s">
        <v>2193</v>
      </c>
      <c r="G1410" s="59" t="s">
        <v>4551</v>
      </c>
      <c r="I1410" s="59" t="s">
        <v>800</v>
      </c>
    </row>
    <row r="1411" spans="1:9" ht="11.25" customHeight="1">
      <c r="A1411" s="59" t="s">
        <v>2162</v>
      </c>
      <c r="B1411" s="59" t="s">
        <v>14</v>
      </c>
      <c r="C1411" s="59" t="s">
        <v>4552</v>
      </c>
      <c r="D1411" s="59" t="s">
        <v>4553</v>
      </c>
      <c r="E1411" s="59" t="s">
        <v>4554</v>
      </c>
      <c r="F1411" s="59" t="s">
        <v>2202</v>
      </c>
      <c r="G1411" s="59" t="s">
        <v>4555</v>
      </c>
      <c r="I1411" s="59" t="s">
        <v>800</v>
      </c>
    </row>
    <row r="1412" spans="1:9" ht="11.25" customHeight="1">
      <c r="A1412" s="59" t="s">
        <v>2162</v>
      </c>
      <c r="B1412" s="59" t="s">
        <v>14</v>
      </c>
      <c r="C1412" s="59" t="s">
        <v>4556</v>
      </c>
      <c r="D1412" s="59" t="s">
        <v>4557</v>
      </c>
      <c r="E1412" s="59" t="s">
        <v>4558</v>
      </c>
      <c r="F1412" s="59" t="s">
        <v>2266</v>
      </c>
      <c r="G1412" s="59" t="s">
        <v>4559</v>
      </c>
      <c r="I1412" s="59" t="s">
        <v>800</v>
      </c>
    </row>
    <row r="1413" spans="1:9" ht="11.25" customHeight="1">
      <c r="A1413" s="59" t="s">
        <v>2162</v>
      </c>
      <c r="B1413" s="59" t="s">
        <v>14</v>
      </c>
      <c r="C1413" s="59" t="s">
        <v>3511</v>
      </c>
      <c r="D1413" s="59" t="s">
        <v>3512</v>
      </c>
      <c r="E1413" s="59" t="s">
        <v>3513</v>
      </c>
      <c r="F1413" s="59" t="s">
        <v>3514</v>
      </c>
      <c r="I1413" s="59" t="s">
        <v>800</v>
      </c>
    </row>
    <row r="1414" spans="1:9" ht="11.25" customHeight="1">
      <c r="A1414" s="59" t="s">
        <v>2162</v>
      </c>
      <c r="B1414" s="59" t="s">
        <v>14</v>
      </c>
      <c r="C1414" s="59" t="s">
        <v>4560</v>
      </c>
      <c r="D1414" s="59" t="s">
        <v>4561</v>
      </c>
      <c r="E1414" s="59" t="s">
        <v>3513</v>
      </c>
      <c r="F1414" s="59" t="s">
        <v>4562</v>
      </c>
      <c r="G1414" s="59" t="s">
        <v>4563</v>
      </c>
      <c r="I1414" s="59" t="s">
        <v>800</v>
      </c>
    </row>
    <row r="1415" spans="1:9" ht="11.25" customHeight="1">
      <c r="A1415" s="59" t="s">
        <v>2162</v>
      </c>
      <c r="B1415" s="59" t="s">
        <v>14</v>
      </c>
      <c r="C1415" s="59" t="s">
        <v>3529</v>
      </c>
      <c r="D1415" s="59" t="s">
        <v>3530</v>
      </c>
      <c r="E1415" s="59" t="s">
        <v>3513</v>
      </c>
      <c r="F1415" s="59" t="s">
        <v>3531</v>
      </c>
      <c r="I1415" s="59" t="s">
        <v>800</v>
      </c>
    </row>
    <row r="1416" spans="1:9" ht="11.25" customHeight="1">
      <c r="A1416" s="59" t="s">
        <v>2162</v>
      </c>
      <c r="B1416" s="59" t="s">
        <v>14</v>
      </c>
      <c r="C1416" s="59" t="s">
        <v>3544</v>
      </c>
      <c r="D1416" s="59" t="s">
        <v>3545</v>
      </c>
      <c r="E1416" s="59" t="s">
        <v>3546</v>
      </c>
      <c r="F1416" s="59" t="s">
        <v>2573</v>
      </c>
      <c r="G1416" s="59" t="s">
        <v>3547</v>
      </c>
      <c r="I1416" s="59" t="s">
        <v>800</v>
      </c>
    </row>
    <row r="1417" spans="1:9" ht="11.25" customHeight="1">
      <c r="A1417" s="59" t="s">
        <v>2162</v>
      </c>
      <c r="B1417" s="59" t="s">
        <v>14</v>
      </c>
      <c r="C1417" s="59" t="s">
        <v>3548</v>
      </c>
      <c r="D1417" s="59" t="s">
        <v>3549</v>
      </c>
      <c r="E1417" s="59" t="s">
        <v>3546</v>
      </c>
      <c r="F1417" s="59" t="s">
        <v>3550</v>
      </c>
      <c r="G1417" s="59" t="s">
        <v>3547</v>
      </c>
      <c r="I1417" s="59" t="s">
        <v>800</v>
      </c>
    </row>
    <row r="1418" spans="1:9" ht="11.25" customHeight="1">
      <c r="A1418" s="59" t="s">
        <v>2162</v>
      </c>
      <c r="B1418" s="59" t="s">
        <v>14</v>
      </c>
      <c r="C1418" s="59" t="s">
        <v>4708</v>
      </c>
      <c r="D1418" s="59" t="s">
        <v>4709</v>
      </c>
      <c r="E1418" s="59" t="s">
        <v>4710</v>
      </c>
      <c r="F1418" s="59" t="s">
        <v>2486</v>
      </c>
      <c r="H1418" s="59" t="s">
        <v>4711</v>
      </c>
      <c r="I1418" s="59" t="s">
        <v>800</v>
      </c>
    </row>
    <row r="1419" spans="1:9" ht="11.25" customHeight="1">
      <c r="A1419" s="59" t="s">
        <v>2162</v>
      </c>
      <c r="B1419" s="59" t="s">
        <v>14</v>
      </c>
      <c r="C1419" s="59" t="s">
        <v>4568</v>
      </c>
      <c r="D1419" s="59" t="s">
        <v>4569</v>
      </c>
      <c r="E1419" s="59" t="s">
        <v>4570</v>
      </c>
      <c r="F1419" s="59" t="s">
        <v>2291</v>
      </c>
      <c r="G1419" s="59" t="s">
        <v>4571</v>
      </c>
      <c r="H1419" s="59" t="s">
        <v>4572</v>
      </c>
      <c r="I1419" s="59" t="s">
        <v>800</v>
      </c>
    </row>
    <row r="1420" spans="1:9" ht="11.25" customHeight="1">
      <c r="A1420" s="59" t="s">
        <v>2162</v>
      </c>
      <c r="B1420" s="59" t="s">
        <v>14</v>
      </c>
      <c r="C1420" s="59" t="s">
        <v>3587</v>
      </c>
      <c r="D1420" s="59" t="s">
        <v>3588</v>
      </c>
      <c r="E1420" s="59" t="s">
        <v>3589</v>
      </c>
      <c r="F1420" s="59" t="s">
        <v>2166</v>
      </c>
      <c r="G1420" s="59" t="s">
        <v>2637</v>
      </c>
      <c r="I1420" s="59" t="s">
        <v>800</v>
      </c>
    </row>
    <row r="1421" spans="1:9" ht="11.25" customHeight="1">
      <c r="A1421" s="59" t="s">
        <v>2162</v>
      </c>
      <c r="B1421" s="59" t="s">
        <v>14</v>
      </c>
      <c r="C1421" s="59" t="s">
        <v>3600</v>
      </c>
      <c r="D1421" s="59" t="s">
        <v>3601</v>
      </c>
      <c r="E1421" s="59" t="s">
        <v>3602</v>
      </c>
      <c r="F1421" s="59" t="s">
        <v>3506</v>
      </c>
      <c r="I1421" s="59" t="s">
        <v>800</v>
      </c>
    </row>
    <row r="1422" spans="1:9" ht="11.25" customHeight="1">
      <c r="A1422" s="59" t="s">
        <v>2162</v>
      </c>
      <c r="B1422" s="59" t="s">
        <v>14</v>
      </c>
      <c r="C1422" s="59" t="s">
        <v>4712</v>
      </c>
      <c r="D1422" s="59" t="s">
        <v>4713</v>
      </c>
      <c r="E1422" s="59" t="s">
        <v>4714</v>
      </c>
      <c r="F1422" s="59" t="s">
        <v>2750</v>
      </c>
      <c r="I1422" s="59" t="s">
        <v>800</v>
      </c>
    </row>
    <row r="1423" spans="1:9" ht="11.25" customHeight="1">
      <c r="A1423" s="59" t="s">
        <v>2162</v>
      </c>
      <c r="B1423" s="59" t="s">
        <v>14</v>
      </c>
      <c r="C1423" s="59" t="s">
        <v>3607</v>
      </c>
      <c r="D1423" s="59" t="s">
        <v>3608</v>
      </c>
      <c r="E1423" s="59" t="s">
        <v>3609</v>
      </c>
      <c r="F1423" s="59" t="s">
        <v>2166</v>
      </c>
      <c r="I1423" s="59" t="s">
        <v>800</v>
      </c>
    </row>
    <row r="1424" spans="1:9" ht="11.25" customHeight="1">
      <c r="A1424" s="59" t="s">
        <v>2162</v>
      </c>
      <c r="B1424" s="59" t="s">
        <v>14</v>
      </c>
      <c r="C1424" s="59" t="s">
        <v>3610</v>
      </c>
      <c r="D1424" s="59" t="s">
        <v>3611</v>
      </c>
      <c r="E1424" s="59" t="s">
        <v>3612</v>
      </c>
      <c r="F1424" s="59" t="s">
        <v>2299</v>
      </c>
      <c r="G1424" s="59" t="s">
        <v>3613</v>
      </c>
      <c r="I1424" s="59" t="s">
        <v>800</v>
      </c>
    </row>
    <row r="1425" spans="1:9" ht="11.25" customHeight="1">
      <c r="A1425" s="59" t="s">
        <v>2162</v>
      </c>
      <c r="B1425" s="59" t="s">
        <v>14</v>
      </c>
      <c r="C1425" s="59" t="s">
        <v>4573</v>
      </c>
      <c r="D1425" s="59" t="s">
        <v>4574</v>
      </c>
      <c r="E1425" s="59" t="s">
        <v>4575</v>
      </c>
      <c r="F1425" s="59" t="s">
        <v>2299</v>
      </c>
      <c r="I1425" s="59" t="s">
        <v>800</v>
      </c>
    </row>
    <row r="1426" spans="1:9" ht="11.25" customHeight="1">
      <c r="A1426" s="59" t="s">
        <v>2162</v>
      </c>
      <c r="B1426" s="59" t="s">
        <v>14</v>
      </c>
      <c r="C1426" s="59" t="s">
        <v>3618</v>
      </c>
      <c r="D1426" s="59" t="s">
        <v>3619</v>
      </c>
      <c r="E1426" s="59" t="s">
        <v>3620</v>
      </c>
      <c r="F1426" s="59" t="s">
        <v>2291</v>
      </c>
      <c r="I1426" s="59" t="s">
        <v>800</v>
      </c>
    </row>
    <row r="1427" spans="1:9" ht="11.25" customHeight="1">
      <c r="A1427" s="59" t="s">
        <v>2162</v>
      </c>
      <c r="B1427" s="59" t="s">
        <v>14</v>
      </c>
      <c r="C1427" s="59" t="s">
        <v>3628</v>
      </c>
      <c r="D1427" s="59" t="s">
        <v>3629</v>
      </c>
      <c r="E1427" s="59" t="s">
        <v>3630</v>
      </c>
      <c r="F1427" s="59" t="s">
        <v>2233</v>
      </c>
      <c r="I1427" s="59" t="s">
        <v>800</v>
      </c>
    </row>
    <row r="1428" spans="1:9" ht="11.25" customHeight="1">
      <c r="A1428" s="59" t="s">
        <v>2162</v>
      </c>
      <c r="B1428" s="59" t="s">
        <v>14</v>
      </c>
      <c r="C1428" s="59" t="s">
        <v>3641</v>
      </c>
      <c r="D1428" s="59" t="s">
        <v>3642</v>
      </c>
      <c r="E1428" s="59" t="s">
        <v>3643</v>
      </c>
      <c r="F1428" s="59" t="s">
        <v>2391</v>
      </c>
      <c r="I1428" s="59" t="s">
        <v>800</v>
      </c>
    </row>
    <row r="1429" spans="1:9" ht="11.25" customHeight="1">
      <c r="A1429" s="59" t="s">
        <v>2162</v>
      </c>
      <c r="B1429" s="59" t="s">
        <v>14</v>
      </c>
      <c r="C1429" s="59" t="s">
        <v>3653</v>
      </c>
      <c r="D1429" s="59" t="s">
        <v>3654</v>
      </c>
      <c r="E1429" s="59" t="s">
        <v>3655</v>
      </c>
      <c r="F1429" s="59" t="s">
        <v>2291</v>
      </c>
      <c r="G1429" s="59" t="s">
        <v>3656</v>
      </c>
      <c r="I1429" s="59" t="s">
        <v>800</v>
      </c>
    </row>
    <row r="1430" spans="1:9" ht="11.25" customHeight="1">
      <c r="A1430" s="59" t="s">
        <v>2162</v>
      </c>
      <c r="B1430" s="59" t="s">
        <v>14</v>
      </c>
      <c r="C1430" s="59" t="s">
        <v>4715</v>
      </c>
      <c r="D1430" s="59" t="s">
        <v>4716</v>
      </c>
      <c r="E1430" s="59" t="s">
        <v>4717</v>
      </c>
      <c r="F1430" s="59" t="s">
        <v>2202</v>
      </c>
      <c r="I1430" s="59" t="s">
        <v>800</v>
      </c>
    </row>
    <row r="1431" spans="1:9" ht="11.25" customHeight="1">
      <c r="A1431" s="59" t="s">
        <v>2162</v>
      </c>
      <c r="B1431" s="59" t="s">
        <v>14</v>
      </c>
      <c r="C1431" s="59" t="s">
        <v>4576</v>
      </c>
      <c r="D1431" s="59" t="s">
        <v>4577</v>
      </c>
      <c r="E1431" s="59" t="s">
        <v>4578</v>
      </c>
      <c r="F1431" s="59" t="s">
        <v>3154</v>
      </c>
      <c r="G1431" s="59" t="s">
        <v>2976</v>
      </c>
      <c r="I1431" s="59" t="s">
        <v>800</v>
      </c>
    </row>
    <row r="1432" spans="1:9" ht="11.25" customHeight="1">
      <c r="A1432" s="59" t="s">
        <v>2162</v>
      </c>
      <c r="B1432" s="59" t="s">
        <v>14</v>
      </c>
      <c r="C1432" s="59" t="s">
        <v>4718</v>
      </c>
      <c r="D1432" s="59" t="s">
        <v>4719</v>
      </c>
      <c r="E1432" s="59" t="s">
        <v>4720</v>
      </c>
      <c r="F1432" s="59" t="s">
        <v>2592</v>
      </c>
      <c r="I1432" s="59" t="s">
        <v>800</v>
      </c>
    </row>
    <row r="1433" spans="1:9" ht="11.25" customHeight="1">
      <c r="A1433" s="59" t="s">
        <v>2162</v>
      </c>
      <c r="B1433" s="59" t="s">
        <v>14</v>
      </c>
      <c r="C1433" s="59" t="s">
        <v>4579</v>
      </c>
      <c r="D1433" s="59" t="s">
        <v>4580</v>
      </c>
      <c r="E1433" s="59" t="s">
        <v>4581</v>
      </c>
      <c r="F1433" s="59" t="s">
        <v>2486</v>
      </c>
      <c r="G1433" s="59" t="s">
        <v>4582</v>
      </c>
      <c r="I1433" s="59" t="s">
        <v>800</v>
      </c>
    </row>
    <row r="1434" spans="1:9" ht="11.25" customHeight="1">
      <c r="A1434" s="59" t="s">
        <v>2162</v>
      </c>
      <c r="B1434" s="59" t="s">
        <v>14</v>
      </c>
      <c r="C1434" s="59" t="s">
        <v>3698</v>
      </c>
      <c r="D1434" s="59" t="s">
        <v>3699</v>
      </c>
      <c r="E1434" s="59" t="s">
        <v>3700</v>
      </c>
      <c r="F1434" s="59" t="s">
        <v>2299</v>
      </c>
      <c r="I1434" s="59" t="s">
        <v>800</v>
      </c>
    </row>
    <row r="1435" spans="1:9" ht="11.25" customHeight="1">
      <c r="A1435" s="59" t="s">
        <v>2162</v>
      </c>
      <c r="B1435" s="59" t="s">
        <v>14</v>
      </c>
      <c r="C1435" s="59" t="s">
        <v>3704</v>
      </c>
      <c r="D1435" s="59" t="s">
        <v>3705</v>
      </c>
      <c r="E1435" s="59" t="s">
        <v>3706</v>
      </c>
      <c r="F1435" s="59" t="s">
        <v>3582</v>
      </c>
      <c r="G1435" s="59" t="s">
        <v>3707</v>
      </c>
      <c r="H1435" s="59" t="s">
        <v>3708</v>
      </c>
      <c r="I1435" s="59" t="s">
        <v>800</v>
      </c>
    </row>
    <row r="1436" spans="1:9" ht="11.25" customHeight="1">
      <c r="A1436" s="59" t="s">
        <v>2162</v>
      </c>
      <c r="B1436" s="59" t="s">
        <v>14</v>
      </c>
      <c r="C1436" s="59" t="s">
        <v>4721</v>
      </c>
      <c r="D1436" s="59" t="s">
        <v>4722</v>
      </c>
      <c r="E1436" s="59" t="s">
        <v>4723</v>
      </c>
      <c r="F1436" s="59" t="s">
        <v>2750</v>
      </c>
      <c r="I1436" s="59" t="s">
        <v>800</v>
      </c>
    </row>
    <row r="1437" spans="1:9" ht="11.25" customHeight="1">
      <c r="A1437" s="59" t="s">
        <v>2162</v>
      </c>
      <c r="B1437" s="59" t="s">
        <v>14</v>
      </c>
      <c r="C1437" s="59" t="s">
        <v>4583</v>
      </c>
      <c r="D1437" s="59" t="s">
        <v>4584</v>
      </c>
      <c r="E1437" s="59" t="s">
        <v>4585</v>
      </c>
      <c r="F1437" s="59" t="s">
        <v>3582</v>
      </c>
      <c r="H1437" s="59" t="s">
        <v>4586</v>
      </c>
      <c r="I1437" s="59" t="s">
        <v>800</v>
      </c>
    </row>
    <row r="1438" spans="1:9" ht="11.25" customHeight="1">
      <c r="A1438" s="59" t="s">
        <v>2162</v>
      </c>
      <c r="B1438" s="59" t="s">
        <v>14</v>
      </c>
      <c r="C1438" s="59" t="s">
        <v>3729</v>
      </c>
      <c r="D1438" s="59" t="s">
        <v>3730</v>
      </c>
      <c r="E1438" s="59" t="s">
        <v>3731</v>
      </c>
      <c r="F1438" s="59" t="s">
        <v>2248</v>
      </c>
      <c r="I1438" s="59" t="s">
        <v>800</v>
      </c>
    </row>
    <row r="1439" spans="1:9" ht="11.25" customHeight="1">
      <c r="A1439" s="59" t="s">
        <v>2162</v>
      </c>
      <c r="B1439" s="59" t="s">
        <v>14</v>
      </c>
      <c r="C1439" s="59" t="s">
        <v>3732</v>
      </c>
      <c r="D1439" s="59" t="s">
        <v>3733</v>
      </c>
      <c r="E1439" s="59" t="s">
        <v>3734</v>
      </c>
      <c r="F1439" s="59" t="s">
        <v>2677</v>
      </c>
      <c r="G1439" s="59" t="s">
        <v>3735</v>
      </c>
      <c r="I1439" s="59" t="s">
        <v>800</v>
      </c>
    </row>
    <row r="1440" spans="1:9" ht="11.25" customHeight="1">
      <c r="A1440" s="59" t="s">
        <v>2162</v>
      </c>
      <c r="B1440" s="59" t="s">
        <v>14</v>
      </c>
      <c r="C1440" s="59" t="s">
        <v>4724</v>
      </c>
      <c r="D1440" s="59" t="s">
        <v>4725</v>
      </c>
      <c r="E1440" s="59" t="s">
        <v>4726</v>
      </c>
      <c r="F1440" s="59" t="s">
        <v>3154</v>
      </c>
      <c r="G1440" s="59" t="s">
        <v>4727</v>
      </c>
      <c r="I1440" s="59" t="s">
        <v>800</v>
      </c>
    </row>
    <row r="1441" spans="1:9" ht="11.25" customHeight="1">
      <c r="A1441" s="59" t="s">
        <v>2162</v>
      </c>
      <c r="B1441" s="59" t="s">
        <v>14</v>
      </c>
      <c r="C1441" s="59" t="s">
        <v>3750</v>
      </c>
      <c r="D1441" s="59" t="s">
        <v>3751</v>
      </c>
      <c r="E1441" s="59" t="s">
        <v>3752</v>
      </c>
      <c r="F1441" s="59" t="s">
        <v>2233</v>
      </c>
      <c r="G1441" s="59" t="s">
        <v>3753</v>
      </c>
      <c r="I1441" s="59" t="s">
        <v>800</v>
      </c>
    </row>
    <row r="1442" spans="1:9" ht="11.25" customHeight="1">
      <c r="A1442" s="59" t="s">
        <v>2162</v>
      </c>
      <c r="B1442" s="59" t="s">
        <v>14</v>
      </c>
      <c r="C1442" s="59" t="s">
        <v>3761</v>
      </c>
      <c r="D1442" s="59" t="s">
        <v>3762</v>
      </c>
      <c r="E1442" s="59" t="s">
        <v>3763</v>
      </c>
      <c r="F1442" s="59" t="s">
        <v>2233</v>
      </c>
      <c r="G1442" s="59" t="s">
        <v>3764</v>
      </c>
      <c r="I1442" s="59" t="s">
        <v>800</v>
      </c>
    </row>
    <row r="1443" spans="1:9" ht="11.25" customHeight="1">
      <c r="A1443" s="59" t="s">
        <v>2162</v>
      </c>
      <c r="B1443" s="59" t="s">
        <v>14</v>
      </c>
      <c r="C1443" s="59" t="s">
        <v>4728</v>
      </c>
      <c r="D1443" s="59" t="s">
        <v>4729</v>
      </c>
      <c r="E1443" s="59" t="s">
        <v>4730</v>
      </c>
      <c r="F1443" s="59" t="s">
        <v>2193</v>
      </c>
      <c r="I1443" s="59" t="s">
        <v>800</v>
      </c>
    </row>
    <row r="1444" spans="1:9" ht="11.25" customHeight="1">
      <c r="A1444" s="59" t="s">
        <v>2162</v>
      </c>
      <c r="B1444" s="59" t="s">
        <v>14</v>
      </c>
      <c r="C1444" s="59" t="s">
        <v>4587</v>
      </c>
      <c r="D1444" s="59" t="s">
        <v>4588</v>
      </c>
      <c r="E1444" s="59" t="s">
        <v>4589</v>
      </c>
      <c r="F1444" s="59" t="s">
        <v>2248</v>
      </c>
      <c r="G1444" s="59" t="s">
        <v>4590</v>
      </c>
      <c r="I1444" s="59" t="s">
        <v>800</v>
      </c>
    </row>
    <row r="1445" spans="1:9" ht="11.25" customHeight="1">
      <c r="A1445" s="59" t="s">
        <v>2162</v>
      </c>
      <c r="B1445" s="59" t="s">
        <v>14</v>
      </c>
      <c r="C1445" s="59" t="s">
        <v>3828</v>
      </c>
      <c r="D1445" s="59" t="s">
        <v>3829</v>
      </c>
      <c r="E1445" s="59" t="s">
        <v>3830</v>
      </c>
      <c r="F1445" s="59" t="s">
        <v>2391</v>
      </c>
      <c r="G1445" s="59" t="s">
        <v>3831</v>
      </c>
      <c r="I1445" s="59" t="s">
        <v>800</v>
      </c>
    </row>
    <row r="1446" spans="1:9" ht="11.25" customHeight="1">
      <c r="A1446" s="59" t="s">
        <v>2162</v>
      </c>
      <c r="B1446" s="59" t="s">
        <v>14</v>
      </c>
      <c r="C1446" s="59" t="s">
        <v>3838</v>
      </c>
      <c r="D1446" s="59" t="s">
        <v>3839</v>
      </c>
      <c r="E1446" s="59" t="s">
        <v>3840</v>
      </c>
      <c r="F1446" s="59" t="s">
        <v>2166</v>
      </c>
      <c r="I1446" s="59" t="s">
        <v>800</v>
      </c>
    </row>
    <row r="1447" spans="1:9" ht="11.25" customHeight="1">
      <c r="A1447" s="59" t="s">
        <v>2162</v>
      </c>
      <c r="B1447" s="59" t="s">
        <v>14</v>
      </c>
      <c r="C1447" s="59" t="s">
        <v>3841</v>
      </c>
      <c r="D1447" s="59" t="s">
        <v>3842</v>
      </c>
      <c r="E1447" s="59" t="s">
        <v>3843</v>
      </c>
      <c r="F1447" s="59" t="s">
        <v>2233</v>
      </c>
      <c r="G1447" s="59" t="s">
        <v>3844</v>
      </c>
      <c r="I1447" s="59" t="s">
        <v>800</v>
      </c>
    </row>
    <row r="1448" spans="1:9" ht="11.25" customHeight="1">
      <c r="A1448" s="59" t="s">
        <v>2162</v>
      </c>
      <c r="B1448" s="59" t="s">
        <v>14</v>
      </c>
      <c r="C1448" s="59" t="s">
        <v>3861</v>
      </c>
      <c r="D1448" s="59" t="s">
        <v>3862</v>
      </c>
      <c r="E1448" s="59" t="s">
        <v>3863</v>
      </c>
      <c r="F1448" s="59" t="s">
        <v>2478</v>
      </c>
      <c r="G1448" s="59" t="s">
        <v>3864</v>
      </c>
      <c r="I1448" s="59" t="s">
        <v>800</v>
      </c>
    </row>
    <row r="1449" spans="1:9" ht="11.25" customHeight="1">
      <c r="A1449" s="59" t="s">
        <v>2162</v>
      </c>
      <c r="B1449" s="59" t="s">
        <v>14</v>
      </c>
      <c r="C1449" s="59" t="s">
        <v>3865</v>
      </c>
      <c r="D1449" s="59" t="s">
        <v>3866</v>
      </c>
      <c r="E1449" s="59" t="s">
        <v>3867</v>
      </c>
      <c r="F1449" s="59" t="s">
        <v>2210</v>
      </c>
      <c r="I1449" s="59" t="s">
        <v>800</v>
      </c>
    </row>
    <row r="1450" spans="1:9" ht="11.25" customHeight="1">
      <c r="A1450" s="59" t="s">
        <v>2162</v>
      </c>
      <c r="B1450" s="59" t="s">
        <v>14</v>
      </c>
      <c r="C1450" s="59" t="s">
        <v>4731</v>
      </c>
      <c r="D1450" s="59" t="s">
        <v>4732</v>
      </c>
      <c r="E1450" s="59" t="s">
        <v>4733</v>
      </c>
      <c r="F1450" s="59" t="s">
        <v>2248</v>
      </c>
      <c r="G1450" s="59" t="s">
        <v>4707</v>
      </c>
      <c r="I1450" s="59" t="s">
        <v>800</v>
      </c>
    </row>
    <row r="1451" spans="1:9" ht="11.25" customHeight="1">
      <c r="A1451" s="59" t="s">
        <v>2162</v>
      </c>
      <c r="B1451" s="59" t="s">
        <v>14</v>
      </c>
      <c r="C1451" s="59" t="s">
        <v>4734</v>
      </c>
      <c r="D1451" s="59" t="s">
        <v>4735</v>
      </c>
      <c r="E1451" s="59" t="s">
        <v>4736</v>
      </c>
      <c r="F1451" s="59" t="s">
        <v>2317</v>
      </c>
      <c r="I1451" s="59" t="s">
        <v>800</v>
      </c>
    </row>
    <row r="1452" spans="1:9" ht="11.25" customHeight="1">
      <c r="A1452" s="59" t="s">
        <v>2162</v>
      </c>
      <c r="B1452" s="59" t="s">
        <v>14</v>
      </c>
      <c r="C1452" s="59" t="s">
        <v>3909</v>
      </c>
      <c r="D1452" s="59" t="s">
        <v>3910</v>
      </c>
      <c r="E1452" s="59" t="s">
        <v>3911</v>
      </c>
      <c r="F1452" s="59" t="s">
        <v>2233</v>
      </c>
      <c r="I1452" s="59" t="s">
        <v>800</v>
      </c>
    </row>
    <row r="1453" spans="1:9" ht="11.25" customHeight="1">
      <c r="A1453" s="59" t="s">
        <v>2162</v>
      </c>
      <c r="B1453" s="59" t="s">
        <v>14</v>
      </c>
      <c r="C1453" s="59" t="s">
        <v>4595</v>
      </c>
      <c r="D1453" s="59" t="s">
        <v>4596</v>
      </c>
      <c r="E1453" s="59" t="s">
        <v>4597</v>
      </c>
      <c r="F1453" s="59" t="s">
        <v>3671</v>
      </c>
      <c r="G1453" s="59" t="s">
        <v>4598</v>
      </c>
      <c r="I1453" s="59" t="s">
        <v>800</v>
      </c>
    </row>
    <row r="1454" spans="1:9" ht="11.25" customHeight="1">
      <c r="A1454" s="59" t="s">
        <v>2162</v>
      </c>
      <c r="B1454" s="59" t="s">
        <v>14</v>
      </c>
      <c r="C1454" s="59" t="s">
        <v>4737</v>
      </c>
      <c r="D1454" s="59" t="s">
        <v>4738</v>
      </c>
      <c r="E1454" s="59" t="s">
        <v>4739</v>
      </c>
      <c r="F1454" s="59" t="s">
        <v>2592</v>
      </c>
      <c r="G1454" s="59" t="s">
        <v>4740</v>
      </c>
      <c r="I1454" s="59" t="s">
        <v>800</v>
      </c>
    </row>
    <row r="1455" spans="1:9" ht="11.25" customHeight="1">
      <c r="A1455" s="59" t="s">
        <v>2162</v>
      </c>
      <c r="B1455" s="59" t="s">
        <v>14</v>
      </c>
      <c r="C1455" s="59" t="s">
        <v>4599</v>
      </c>
      <c r="D1455" s="59" t="s">
        <v>4600</v>
      </c>
      <c r="E1455" s="59" t="s">
        <v>4601</v>
      </c>
      <c r="F1455" s="59" t="s">
        <v>2266</v>
      </c>
      <c r="I1455" s="59" t="s">
        <v>800</v>
      </c>
    </row>
    <row r="1456" spans="1:9" ht="11.25" customHeight="1">
      <c r="A1456" s="59" t="s">
        <v>2162</v>
      </c>
      <c r="B1456" s="59" t="s">
        <v>14</v>
      </c>
      <c r="C1456" s="59" t="s">
        <v>3933</v>
      </c>
      <c r="D1456" s="59" t="s">
        <v>3934</v>
      </c>
      <c r="E1456" s="59" t="s">
        <v>3935</v>
      </c>
      <c r="F1456" s="59" t="s">
        <v>2478</v>
      </c>
      <c r="I1456" s="59" t="s">
        <v>800</v>
      </c>
    </row>
    <row r="1457" spans="1:9" ht="11.25" customHeight="1">
      <c r="A1457" s="59" t="s">
        <v>2162</v>
      </c>
      <c r="B1457" s="59" t="s">
        <v>14</v>
      </c>
      <c r="C1457" s="59" t="s">
        <v>3944</v>
      </c>
      <c r="D1457" s="59" t="s">
        <v>3945</v>
      </c>
      <c r="E1457" s="59" t="s">
        <v>3946</v>
      </c>
      <c r="F1457" s="59" t="s">
        <v>2248</v>
      </c>
      <c r="I1457" s="59" t="s">
        <v>800</v>
      </c>
    </row>
    <row r="1458" spans="1:9" ht="11.25" customHeight="1">
      <c r="A1458" s="59" t="s">
        <v>2162</v>
      </c>
      <c r="B1458" s="59" t="s">
        <v>14</v>
      </c>
      <c r="C1458" s="59" t="s">
        <v>3954</v>
      </c>
      <c r="D1458" s="59" t="s">
        <v>3955</v>
      </c>
      <c r="E1458" s="59" t="s">
        <v>3956</v>
      </c>
      <c r="F1458" s="59" t="s">
        <v>3957</v>
      </c>
      <c r="G1458" s="59" t="s">
        <v>3958</v>
      </c>
      <c r="I1458" s="59" t="s">
        <v>800</v>
      </c>
    </row>
    <row r="1459" spans="1:9" ht="11.25" customHeight="1">
      <c r="A1459" s="59" t="s">
        <v>2162</v>
      </c>
      <c r="B1459" s="59" t="s">
        <v>14</v>
      </c>
      <c r="C1459" s="59" t="s">
        <v>4741</v>
      </c>
      <c r="D1459" s="59" t="s">
        <v>4742</v>
      </c>
      <c r="E1459" s="59" t="s">
        <v>4743</v>
      </c>
      <c r="F1459" s="59" t="s">
        <v>2248</v>
      </c>
      <c r="I1459" s="59" t="s">
        <v>800</v>
      </c>
    </row>
    <row r="1460" spans="1:9" ht="11.25" customHeight="1">
      <c r="A1460" s="59" t="s">
        <v>2162</v>
      </c>
      <c r="B1460" s="59" t="s">
        <v>14</v>
      </c>
      <c r="C1460" s="59" t="s">
        <v>3970</v>
      </c>
      <c r="D1460" s="59" t="s">
        <v>3971</v>
      </c>
      <c r="E1460" s="59" t="s">
        <v>3972</v>
      </c>
      <c r="F1460" s="59" t="s">
        <v>2210</v>
      </c>
      <c r="I1460" s="59" t="s">
        <v>800</v>
      </c>
    </row>
    <row r="1461" spans="1:9" ht="11.25" customHeight="1">
      <c r="A1461" s="59" t="s">
        <v>2162</v>
      </c>
      <c r="B1461" s="59" t="s">
        <v>14</v>
      </c>
      <c r="C1461" s="59" t="s">
        <v>3976</v>
      </c>
      <c r="D1461" s="59" t="s">
        <v>3977</v>
      </c>
      <c r="E1461" s="59" t="s">
        <v>3978</v>
      </c>
      <c r="F1461" s="59" t="s">
        <v>2166</v>
      </c>
      <c r="H1461" s="59" t="s">
        <v>3979</v>
      </c>
      <c r="I1461" s="59" t="s">
        <v>800</v>
      </c>
    </row>
    <row r="1462" spans="1:9" ht="11.25" customHeight="1">
      <c r="A1462" s="59" t="s">
        <v>2162</v>
      </c>
      <c r="B1462" s="59" t="s">
        <v>14</v>
      </c>
      <c r="C1462" s="59" t="s">
        <v>4011</v>
      </c>
      <c r="D1462" s="59" t="s">
        <v>4012</v>
      </c>
      <c r="E1462" s="59" t="s">
        <v>4013</v>
      </c>
      <c r="F1462" s="59" t="s">
        <v>2220</v>
      </c>
      <c r="I1462" s="59" t="s">
        <v>800</v>
      </c>
    </row>
    <row r="1463" spans="1:9" ht="11.25" customHeight="1">
      <c r="A1463" s="59" t="s">
        <v>2162</v>
      </c>
      <c r="B1463" s="59" t="s">
        <v>14</v>
      </c>
      <c r="C1463" s="59" t="s">
        <v>4020</v>
      </c>
      <c r="D1463" s="59" t="s">
        <v>4021</v>
      </c>
      <c r="E1463" s="59" t="s">
        <v>4022</v>
      </c>
      <c r="F1463" s="59" t="s">
        <v>2750</v>
      </c>
      <c r="G1463" s="59" t="s">
        <v>4023</v>
      </c>
      <c r="I1463" s="59" t="s">
        <v>800</v>
      </c>
    </row>
    <row r="1464" spans="1:9" ht="11.25" customHeight="1">
      <c r="A1464" s="59" t="s">
        <v>2162</v>
      </c>
      <c r="B1464" s="59" t="s">
        <v>14</v>
      </c>
      <c r="C1464" s="59" t="s">
        <v>4027</v>
      </c>
      <c r="D1464" s="59" t="s">
        <v>4028</v>
      </c>
      <c r="E1464" s="59" t="s">
        <v>4029</v>
      </c>
      <c r="F1464" s="59" t="s">
        <v>2277</v>
      </c>
      <c r="I1464" s="59" t="s">
        <v>800</v>
      </c>
    </row>
    <row r="1465" spans="1:9" ht="11.25" customHeight="1">
      <c r="A1465" s="59" t="s">
        <v>2162</v>
      </c>
      <c r="B1465" s="59" t="s">
        <v>14</v>
      </c>
      <c r="C1465" s="59" t="s">
        <v>4606</v>
      </c>
      <c r="D1465" s="59" t="s">
        <v>4607</v>
      </c>
      <c r="E1465" s="59" t="s">
        <v>4608</v>
      </c>
      <c r="F1465" s="59" t="s">
        <v>2243</v>
      </c>
      <c r="I1465" s="59" t="s">
        <v>800</v>
      </c>
    </row>
    <row r="1466" spans="1:9" ht="11.25" customHeight="1">
      <c r="A1466" s="59" t="s">
        <v>2162</v>
      </c>
      <c r="B1466" s="59" t="s">
        <v>14</v>
      </c>
      <c r="C1466" s="59" t="s">
        <v>4046</v>
      </c>
      <c r="D1466" s="59" t="s">
        <v>4047</v>
      </c>
      <c r="E1466" s="59" t="s">
        <v>4048</v>
      </c>
      <c r="F1466" s="59" t="s">
        <v>2299</v>
      </c>
      <c r="G1466" s="59" t="s">
        <v>4049</v>
      </c>
      <c r="I1466" s="59" t="s">
        <v>800</v>
      </c>
    </row>
    <row r="1467" spans="1:9" ht="11.25" customHeight="1">
      <c r="A1467" s="59" t="s">
        <v>2162</v>
      </c>
      <c r="B1467" s="59" t="s">
        <v>14</v>
      </c>
      <c r="C1467" s="59" t="s">
        <v>4050</v>
      </c>
      <c r="D1467" s="59" t="s">
        <v>4051</v>
      </c>
      <c r="E1467" s="59" t="s">
        <v>2444</v>
      </c>
      <c r="F1467" s="59" t="s">
        <v>4052</v>
      </c>
      <c r="I1467" s="59" t="s">
        <v>800</v>
      </c>
    </row>
    <row r="1468" spans="1:9" ht="11.25" customHeight="1">
      <c r="A1468" s="59" t="s">
        <v>2162</v>
      </c>
      <c r="B1468" s="59" t="s">
        <v>14</v>
      </c>
      <c r="C1468" s="59" t="s">
        <v>4066</v>
      </c>
      <c r="D1468" s="59" t="s">
        <v>4067</v>
      </c>
      <c r="E1468" s="59" t="s">
        <v>4068</v>
      </c>
      <c r="F1468" s="59" t="s">
        <v>2266</v>
      </c>
      <c r="G1468" s="59" t="s">
        <v>3656</v>
      </c>
      <c r="I1468" s="59" t="s">
        <v>800</v>
      </c>
    </row>
    <row r="1469" spans="1:9" ht="11.25" customHeight="1">
      <c r="A1469" s="59" t="s">
        <v>2162</v>
      </c>
      <c r="B1469" s="59" t="s">
        <v>14</v>
      </c>
      <c r="C1469" s="59" t="s">
        <v>4084</v>
      </c>
      <c r="D1469" s="59" t="s">
        <v>4085</v>
      </c>
      <c r="E1469" s="59" t="s">
        <v>4086</v>
      </c>
      <c r="F1469" s="59" t="s">
        <v>3086</v>
      </c>
      <c r="I1469" s="59" t="s">
        <v>800</v>
      </c>
    </row>
    <row r="1470" spans="1:9" ht="11.25" customHeight="1">
      <c r="A1470" s="59" t="s">
        <v>2162</v>
      </c>
      <c r="B1470" s="59" t="s">
        <v>14</v>
      </c>
      <c r="C1470" s="59" t="s">
        <v>4094</v>
      </c>
      <c r="D1470" s="59" t="s">
        <v>4095</v>
      </c>
      <c r="E1470" s="59" t="s">
        <v>4096</v>
      </c>
      <c r="F1470" s="59" t="s">
        <v>4097</v>
      </c>
      <c r="I1470" s="59" t="s">
        <v>800</v>
      </c>
    </row>
    <row r="1471" spans="1:9" ht="11.25" customHeight="1">
      <c r="A1471" s="59" t="s">
        <v>2162</v>
      </c>
      <c r="B1471" s="59" t="s">
        <v>14</v>
      </c>
      <c r="C1471" s="59" t="s">
        <v>4098</v>
      </c>
      <c r="D1471" s="59" t="s">
        <v>4099</v>
      </c>
      <c r="E1471" s="59" t="s">
        <v>4100</v>
      </c>
      <c r="F1471" s="59" t="s">
        <v>2478</v>
      </c>
      <c r="G1471" s="59" t="s">
        <v>3656</v>
      </c>
      <c r="I1471" s="59" t="s">
        <v>800</v>
      </c>
    </row>
    <row r="1472" spans="1:9" ht="11.25" customHeight="1">
      <c r="A1472" s="59" t="s">
        <v>2162</v>
      </c>
      <c r="B1472" s="59" t="s">
        <v>14</v>
      </c>
      <c r="C1472" s="59" t="s">
        <v>4105</v>
      </c>
      <c r="D1472" s="59" t="s">
        <v>4106</v>
      </c>
      <c r="E1472" s="59" t="s">
        <v>4107</v>
      </c>
      <c r="F1472" s="59" t="s">
        <v>3957</v>
      </c>
      <c r="G1472" s="59" t="s">
        <v>4108</v>
      </c>
      <c r="I1472" s="59" t="s">
        <v>800</v>
      </c>
    </row>
    <row r="1473" spans="1:9" ht="11.25" customHeight="1">
      <c r="A1473" s="59" t="s">
        <v>2162</v>
      </c>
      <c r="B1473" s="59" t="s">
        <v>14</v>
      </c>
      <c r="C1473" s="59" t="s">
        <v>4112</v>
      </c>
      <c r="D1473" s="59" t="s">
        <v>4113</v>
      </c>
      <c r="E1473" s="59" t="s">
        <v>4114</v>
      </c>
      <c r="F1473" s="59" t="s">
        <v>2228</v>
      </c>
      <c r="G1473" s="59" t="s">
        <v>4115</v>
      </c>
      <c r="I1473" s="59" t="s">
        <v>800</v>
      </c>
    </row>
    <row r="1474" spans="1:9" ht="11.25" customHeight="1">
      <c r="A1474" s="59" t="s">
        <v>2162</v>
      </c>
      <c r="B1474" s="59" t="s">
        <v>14</v>
      </c>
      <c r="C1474" s="59" t="s">
        <v>4612</v>
      </c>
      <c r="D1474" s="59" t="s">
        <v>4613</v>
      </c>
      <c r="E1474" s="59" t="s">
        <v>4614</v>
      </c>
      <c r="F1474" s="59" t="s">
        <v>2228</v>
      </c>
      <c r="G1474" s="59" t="s">
        <v>4615</v>
      </c>
      <c r="I1474" s="59" t="s">
        <v>800</v>
      </c>
    </row>
    <row r="1475" spans="1:9" ht="11.25" customHeight="1">
      <c r="A1475" s="59" t="s">
        <v>2162</v>
      </c>
      <c r="B1475" s="59" t="s">
        <v>14</v>
      </c>
      <c r="C1475" s="59" t="s">
        <v>4126</v>
      </c>
      <c r="D1475" s="59" t="s">
        <v>4127</v>
      </c>
      <c r="E1475" s="59" t="s">
        <v>4128</v>
      </c>
      <c r="F1475" s="59" t="s">
        <v>2277</v>
      </c>
      <c r="I1475" s="59" t="s">
        <v>800</v>
      </c>
    </row>
    <row r="1476" spans="1:9" ht="11.25" customHeight="1">
      <c r="A1476" s="59" t="s">
        <v>2162</v>
      </c>
      <c r="B1476" s="59" t="s">
        <v>14</v>
      </c>
      <c r="C1476" s="59" t="s">
        <v>4129</v>
      </c>
      <c r="D1476" s="59" t="s">
        <v>4130</v>
      </c>
      <c r="E1476" s="59" t="s">
        <v>4131</v>
      </c>
      <c r="F1476" s="59" t="s">
        <v>2220</v>
      </c>
      <c r="G1476" s="59" t="s">
        <v>4132</v>
      </c>
      <c r="I1476" s="59" t="s">
        <v>800</v>
      </c>
    </row>
    <row r="1477" spans="1:9" ht="11.25" customHeight="1">
      <c r="A1477" s="59" t="s">
        <v>2162</v>
      </c>
      <c r="B1477" s="59" t="s">
        <v>14</v>
      </c>
      <c r="C1477" s="59" t="s">
        <v>4133</v>
      </c>
      <c r="D1477" s="59" t="s">
        <v>4134</v>
      </c>
      <c r="E1477" s="59" t="s">
        <v>4135</v>
      </c>
      <c r="F1477" s="59" t="s">
        <v>2248</v>
      </c>
      <c r="G1477" s="59" t="s">
        <v>4136</v>
      </c>
      <c r="I1477" s="59" t="s">
        <v>800</v>
      </c>
    </row>
    <row r="1478" spans="1:9" ht="11.25" customHeight="1">
      <c r="A1478" s="59" t="s">
        <v>2162</v>
      </c>
      <c r="B1478" s="59" t="s">
        <v>14</v>
      </c>
      <c r="C1478" s="59" t="s">
        <v>4137</v>
      </c>
      <c r="D1478" s="59" t="s">
        <v>4138</v>
      </c>
      <c r="E1478" s="59" t="s">
        <v>4139</v>
      </c>
      <c r="F1478" s="59" t="s">
        <v>3154</v>
      </c>
      <c r="G1478" s="59" t="s">
        <v>4140</v>
      </c>
      <c r="I1478" s="59" t="s">
        <v>800</v>
      </c>
    </row>
    <row r="1479" spans="1:9" ht="11.25" customHeight="1">
      <c r="A1479" s="59" t="s">
        <v>2162</v>
      </c>
      <c r="B1479" s="59" t="s">
        <v>14</v>
      </c>
      <c r="C1479" s="59" t="s">
        <v>4146</v>
      </c>
      <c r="D1479" s="59" t="s">
        <v>4147</v>
      </c>
      <c r="E1479" s="59" t="s">
        <v>4148</v>
      </c>
      <c r="F1479" s="59" t="s">
        <v>2202</v>
      </c>
      <c r="G1479" s="59" t="s">
        <v>4149</v>
      </c>
      <c r="I1479" s="59" t="s">
        <v>800</v>
      </c>
    </row>
    <row r="1480" spans="1:9" ht="11.25" customHeight="1">
      <c r="A1480" s="59" t="s">
        <v>2162</v>
      </c>
      <c r="B1480" s="59" t="s">
        <v>14</v>
      </c>
      <c r="C1480" s="59" t="s">
        <v>4150</v>
      </c>
      <c r="D1480" s="59" t="s">
        <v>4151</v>
      </c>
      <c r="E1480" s="59" t="s">
        <v>4152</v>
      </c>
      <c r="F1480" s="59" t="s">
        <v>2299</v>
      </c>
      <c r="I1480" s="59" t="s">
        <v>800</v>
      </c>
    </row>
    <row r="1481" spans="1:9" ht="11.25" customHeight="1">
      <c r="A1481" s="59" t="s">
        <v>2162</v>
      </c>
      <c r="B1481" s="59" t="s">
        <v>14</v>
      </c>
      <c r="C1481" s="59" t="s">
        <v>4159</v>
      </c>
      <c r="D1481" s="59" t="s">
        <v>4160</v>
      </c>
      <c r="E1481" s="59" t="s">
        <v>4161</v>
      </c>
      <c r="F1481" s="59" t="s">
        <v>2441</v>
      </c>
      <c r="I1481" s="59" t="s">
        <v>800</v>
      </c>
    </row>
    <row r="1482" spans="1:9" ht="11.25" customHeight="1">
      <c r="A1482" s="59" t="s">
        <v>2162</v>
      </c>
      <c r="B1482" s="59" t="s">
        <v>14</v>
      </c>
      <c r="D1482" s="59" t="s">
        <v>4162</v>
      </c>
      <c r="E1482" s="59" t="s">
        <v>4163</v>
      </c>
      <c r="F1482" s="59" t="s">
        <v>2291</v>
      </c>
      <c r="I1482" s="59" t="s">
        <v>800</v>
      </c>
    </row>
    <row r="1483" spans="1:9" ht="11.25" customHeight="1">
      <c r="A1483" s="59" t="s">
        <v>2162</v>
      </c>
      <c r="B1483" s="59" t="s">
        <v>14</v>
      </c>
      <c r="C1483" s="59" t="s">
        <v>4645</v>
      </c>
      <c r="D1483" s="59" t="s">
        <v>4646</v>
      </c>
      <c r="E1483" s="59" t="s">
        <v>4647</v>
      </c>
      <c r="F1483" s="59" t="s">
        <v>2228</v>
      </c>
      <c r="G1483" s="59" t="s">
        <v>4648</v>
      </c>
      <c r="I1483" s="59" t="s">
        <v>800</v>
      </c>
    </row>
    <row r="1484" spans="1:9" ht="11.25" customHeight="1">
      <c r="A1484" s="59" t="s">
        <v>2162</v>
      </c>
      <c r="B1484" s="59" t="s">
        <v>14</v>
      </c>
      <c r="C1484" s="59" t="s">
        <v>4183</v>
      </c>
      <c r="D1484" s="59" t="s">
        <v>4184</v>
      </c>
      <c r="E1484" s="59" t="s">
        <v>4185</v>
      </c>
      <c r="F1484" s="59" t="s">
        <v>2166</v>
      </c>
      <c r="G1484" s="59" t="s">
        <v>4186</v>
      </c>
      <c r="I1484" s="59" t="s">
        <v>800</v>
      </c>
    </row>
    <row r="1485" spans="1:9" ht="11.25" customHeight="1">
      <c r="A1485" s="59" t="s">
        <v>2162</v>
      </c>
      <c r="B1485" s="59" t="s">
        <v>14</v>
      </c>
      <c r="C1485" s="59" t="s">
        <v>4187</v>
      </c>
      <c r="D1485" s="59" t="s">
        <v>4188</v>
      </c>
      <c r="E1485" s="59" t="s">
        <v>4189</v>
      </c>
      <c r="F1485" s="59" t="s">
        <v>4190</v>
      </c>
      <c r="I1485" s="59" t="s">
        <v>800</v>
      </c>
    </row>
    <row r="1486" spans="1:9" ht="11.25" customHeight="1">
      <c r="A1486" s="59" t="s">
        <v>2162</v>
      </c>
      <c r="B1486" s="59" t="s">
        <v>14</v>
      </c>
      <c r="C1486" s="59" t="s">
        <v>4223</v>
      </c>
      <c r="D1486" s="59" t="s">
        <v>4224</v>
      </c>
      <c r="E1486" s="59" t="s">
        <v>4225</v>
      </c>
      <c r="F1486" s="59" t="s">
        <v>2266</v>
      </c>
      <c r="G1486" s="59" t="s">
        <v>4226</v>
      </c>
      <c r="I1486" s="59" t="s">
        <v>800</v>
      </c>
    </row>
    <row r="1487" spans="1:9" ht="11.25" customHeight="1">
      <c r="A1487" s="59" t="s">
        <v>2162</v>
      </c>
      <c r="B1487" s="59" t="s">
        <v>14</v>
      </c>
      <c r="C1487" s="59" t="s">
        <v>4227</v>
      </c>
      <c r="D1487" s="59" t="s">
        <v>4228</v>
      </c>
      <c r="E1487" s="59" t="s">
        <v>4229</v>
      </c>
      <c r="F1487" s="59" t="s">
        <v>2478</v>
      </c>
      <c r="I1487" s="59" t="s">
        <v>800</v>
      </c>
    </row>
    <row r="1488" spans="1:9" ht="11.25" customHeight="1">
      <c r="A1488" s="59" t="s">
        <v>2162</v>
      </c>
      <c r="B1488" s="59" t="s">
        <v>14</v>
      </c>
      <c r="C1488" s="59" t="s">
        <v>4649</v>
      </c>
      <c r="D1488" s="59" t="s">
        <v>4650</v>
      </c>
      <c r="E1488" s="59" t="s">
        <v>4651</v>
      </c>
      <c r="F1488" s="59" t="s">
        <v>2197</v>
      </c>
      <c r="I1488" s="59" t="s">
        <v>800</v>
      </c>
    </row>
    <row r="1489" spans="1:9" ht="11.25" customHeight="1">
      <c r="A1489" s="59" t="s">
        <v>2162</v>
      </c>
      <c r="B1489" s="59" t="s">
        <v>14</v>
      </c>
      <c r="C1489" s="59" t="s">
        <v>4744</v>
      </c>
      <c r="D1489" s="59" t="s">
        <v>4745</v>
      </c>
      <c r="E1489" s="59" t="s">
        <v>4746</v>
      </c>
      <c r="F1489" s="59" t="s">
        <v>2478</v>
      </c>
      <c r="I1489" s="59" t="s">
        <v>800</v>
      </c>
    </row>
    <row r="1490" spans="1:9" ht="11.25" customHeight="1">
      <c r="A1490" s="59" t="s">
        <v>2162</v>
      </c>
      <c r="B1490" s="59" t="s">
        <v>14</v>
      </c>
      <c r="C1490" s="59" t="s">
        <v>4236</v>
      </c>
      <c r="D1490" s="59" t="s">
        <v>4237</v>
      </c>
      <c r="E1490" s="59" t="s">
        <v>4238</v>
      </c>
      <c r="F1490" s="59" t="s">
        <v>3154</v>
      </c>
      <c r="I1490" s="59" t="s">
        <v>800</v>
      </c>
    </row>
    <row r="1491" spans="1:9" ht="11.25" customHeight="1">
      <c r="A1491" s="59" t="s">
        <v>2162</v>
      </c>
      <c r="B1491" s="59" t="s">
        <v>14</v>
      </c>
      <c r="C1491" s="59" t="s">
        <v>4239</v>
      </c>
      <c r="D1491" s="59" t="s">
        <v>4240</v>
      </c>
      <c r="E1491" s="59" t="s">
        <v>4143</v>
      </c>
      <c r="F1491" s="59" t="s">
        <v>4241</v>
      </c>
      <c r="G1491" s="59" t="s">
        <v>4242</v>
      </c>
      <c r="I1491" s="59" t="s">
        <v>800</v>
      </c>
    </row>
    <row r="1492" spans="1:9" ht="11.25" customHeight="1">
      <c r="A1492" s="59" t="s">
        <v>2162</v>
      </c>
      <c r="B1492" s="59" t="s">
        <v>14</v>
      </c>
      <c r="C1492" s="59" t="s">
        <v>4243</v>
      </c>
      <c r="D1492" s="59" t="s">
        <v>4244</v>
      </c>
      <c r="E1492" s="59" t="s">
        <v>2477</v>
      </c>
      <c r="F1492" s="59" t="s">
        <v>4245</v>
      </c>
      <c r="I1492" s="59" t="s">
        <v>800</v>
      </c>
    </row>
    <row r="1493" spans="1:9" ht="11.25" customHeight="1">
      <c r="A1493" s="59" t="s">
        <v>2162</v>
      </c>
      <c r="B1493" s="59" t="s">
        <v>14</v>
      </c>
      <c r="C1493" s="59" t="s">
        <v>4246</v>
      </c>
      <c r="D1493" s="59" t="s">
        <v>4247</v>
      </c>
      <c r="E1493" s="59" t="s">
        <v>2477</v>
      </c>
      <c r="F1493" s="59" t="s">
        <v>2573</v>
      </c>
      <c r="G1493" s="59" t="s">
        <v>4248</v>
      </c>
      <c r="I1493" s="59" t="s">
        <v>800</v>
      </c>
    </row>
    <row r="1494" spans="1:9" ht="11.25" customHeight="1">
      <c r="A1494" s="59" t="s">
        <v>2162</v>
      </c>
      <c r="B1494" s="59" t="s">
        <v>14</v>
      </c>
      <c r="C1494" s="59" t="s">
        <v>4252</v>
      </c>
      <c r="D1494" s="59" t="s">
        <v>43</v>
      </c>
      <c r="E1494" s="59" t="s">
        <v>46</v>
      </c>
      <c r="F1494" s="59" t="s">
        <v>48</v>
      </c>
      <c r="G1494" s="59" t="s">
        <v>4253</v>
      </c>
      <c r="I1494" s="59" t="s">
        <v>800</v>
      </c>
    </row>
    <row r="1495" spans="1:9" ht="11.25" customHeight="1">
      <c r="A1495" s="59" t="s">
        <v>2162</v>
      </c>
      <c r="B1495" s="59" t="s">
        <v>14</v>
      </c>
      <c r="C1495" s="59" t="s">
        <v>4254</v>
      </c>
      <c r="D1495" s="59" t="s">
        <v>4255</v>
      </c>
      <c r="E1495" s="59" t="s">
        <v>4256</v>
      </c>
      <c r="F1495" s="59" t="s">
        <v>4257</v>
      </c>
      <c r="I1495" s="59" t="s">
        <v>800</v>
      </c>
    </row>
    <row r="1496" spans="1:9" ht="11.25" customHeight="1">
      <c r="A1496" s="59" t="s">
        <v>2162</v>
      </c>
      <c r="B1496" s="59" t="s">
        <v>14</v>
      </c>
      <c r="C1496" s="59" t="s">
        <v>4747</v>
      </c>
      <c r="D1496" s="59" t="s">
        <v>4748</v>
      </c>
      <c r="E1496" s="59" t="s">
        <v>4749</v>
      </c>
      <c r="F1496" s="59" t="s">
        <v>4750</v>
      </c>
      <c r="I1496" s="59" t="s">
        <v>800</v>
      </c>
    </row>
    <row r="1497" spans="1:9" ht="11.25" customHeight="1">
      <c r="A1497" s="59" t="s">
        <v>2162</v>
      </c>
      <c r="B1497" s="59" t="s">
        <v>14</v>
      </c>
      <c r="C1497" s="59" t="s">
        <v>4751</v>
      </c>
      <c r="D1497" s="59" t="s">
        <v>4752</v>
      </c>
      <c r="E1497" s="59" t="s">
        <v>4753</v>
      </c>
      <c r="F1497" s="59" t="s">
        <v>2478</v>
      </c>
      <c r="I1497" s="59" t="s">
        <v>1604</v>
      </c>
    </row>
    <row r="1498" spans="1:9" ht="11.25" customHeight="1">
      <c r="A1498" s="59" t="s">
        <v>2162</v>
      </c>
      <c r="B1498" s="59" t="s">
        <v>14</v>
      </c>
      <c r="C1498" s="59" t="s">
        <v>2331</v>
      </c>
      <c r="D1498" s="59" t="s">
        <v>2332</v>
      </c>
      <c r="E1498" s="59" t="s">
        <v>2333</v>
      </c>
      <c r="F1498" s="59" t="s">
        <v>2291</v>
      </c>
      <c r="G1498" s="59" t="s">
        <v>2334</v>
      </c>
      <c r="I1498" s="59" t="s">
        <v>1604</v>
      </c>
    </row>
    <row r="1499" spans="1:9" ht="11.25" customHeight="1">
      <c r="A1499" s="59" t="s">
        <v>2162</v>
      </c>
      <c r="B1499" s="59" t="s">
        <v>14</v>
      </c>
      <c r="C1499" s="59" t="s">
        <v>2545</v>
      </c>
      <c r="D1499" s="59" t="s">
        <v>2546</v>
      </c>
      <c r="E1499" s="59" t="s">
        <v>2547</v>
      </c>
      <c r="F1499" s="59" t="s">
        <v>2202</v>
      </c>
      <c r="G1499" s="59" t="s">
        <v>2548</v>
      </c>
      <c r="I1499" s="59" t="s">
        <v>1604</v>
      </c>
    </row>
    <row r="1500" spans="1:9" ht="11.25" customHeight="1">
      <c r="A1500" s="59" t="s">
        <v>2162</v>
      </c>
      <c r="B1500" s="59" t="s">
        <v>14</v>
      </c>
      <c r="C1500" s="59" t="s">
        <v>4754</v>
      </c>
      <c r="D1500" s="59" t="s">
        <v>4755</v>
      </c>
      <c r="E1500" s="59" t="s">
        <v>4756</v>
      </c>
      <c r="F1500" s="59" t="s">
        <v>3086</v>
      </c>
      <c r="G1500" s="59" t="s">
        <v>4757</v>
      </c>
      <c r="H1500" s="59" t="s">
        <v>4400</v>
      </c>
      <c r="I1500" s="59" t="s">
        <v>1604</v>
      </c>
    </row>
    <row r="1501" spans="1:9" ht="11.25" customHeight="1">
      <c r="A1501" s="59" t="s">
        <v>2162</v>
      </c>
      <c r="B1501" s="59" t="s">
        <v>14</v>
      </c>
      <c r="C1501" s="59" t="s">
        <v>4758</v>
      </c>
      <c r="D1501" s="59" t="s">
        <v>4759</v>
      </c>
      <c r="E1501" s="59" t="s">
        <v>4760</v>
      </c>
      <c r="F1501" s="59" t="s">
        <v>2210</v>
      </c>
      <c r="I1501" s="59" t="s">
        <v>1604</v>
      </c>
    </row>
    <row r="1502" spans="1:9" ht="11.25" customHeight="1">
      <c r="A1502" s="59" t="s">
        <v>2162</v>
      </c>
      <c r="B1502" s="59" t="s">
        <v>14</v>
      </c>
      <c r="C1502" s="59" t="s">
        <v>4761</v>
      </c>
      <c r="D1502" s="59" t="s">
        <v>4762</v>
      </c>
      <c r="E1502" s="59" t="s">
        <v>4763</v>
      </c>
      <c r="F1502" s="59" t="s">
        <v>555</v>
      </c>
      <c r="I1502" s="59" t="s">
        <v>1604</v>
      </c>
    </row>
    <row r="1503" spans="1:9" ht="11.25" customHeight="1">
      <c r="A1503" s="59" t="s">
        <v>2162</v>
      </c>
      <c r="B1503" s="59" t="s">
        <v>14</v>
      </c>
      <c r="C1503" s="59" t="s">
        <v>2744</v>
      </c>
      <c r="D1503" s="59" t="s">
        <v>2745</v>
      </c>
      <c r="E1503" s="59" t="s">
        <v>2746</v>
      </c>
      <c r="F1503" s="59" t="s">
        <v>2308</v>
      </c>
      <c r="I1503" s="59" t="s">
        <v>1604</v>
      </c>
    </row>
    <row r="1504" spans="1:9" ht="11.25" customHeight="1">
      <c r="A1504" s="59" t="s">
        <v>2162</v>
      </c>
      <c r="B1504" s="59" t="s">
        <v>14</v>
      </c>
      <c r="C1504" s="59" t="s">
        <v>2788</v>
      </c>
      <c r="D1504" s="59" t="s">
        <v>2789</v>
      </c>
      <c r="E1504" s="59" t="s">
        <v>2790</v>
      </c>
      <c r="F1504" s="59" t="s">
        <v>2636</v>
      </c>
      <c r="G1504" s="59" t="s">
        <v>2791</v>
      </c>
      <c r="I1504" s="59" t="s">
        <v>1604</v>
      </c>
    </row>
    <row r="1505" spans="1:9" ht="11.25" customHeight="1">
      <c r="A1505" s="59" t="s">
        <v>2162</v>
      </c>
      <c r="B1505" s="59" t="s">
        <v>14</v>
      </c>
      <c r="C1505" s="59" t="s">
        <v>4764</v>
      </c>
      <c r="D1505" s="59" t="s">
        <v>4765</v>
      </c>
      <c r="E1505" s="59" t="s">
        <v>4766</v>
      </c>
      <c r="F1505" s="59" t="s">
        <v>2266</v>
      </c>
      <c r="G1505" s="59" t="s">
        <v>4767</v>
      </c>
      <c r="I1505" s="59" t="s">
        <v>1604</v>
      </c>
    </row>
    <row r="1506" spans="1:9" ht="11.25" customHeight="1">
      <c r="A1506" s="59" t="s">
        <v>2162</v>
      </c>
      <c r="B1506" s="59" t="s">
        <v>14</v>
      </c>
      <c r="C1506" s="59" t="s">
        <v>4768</v>
      </c>
      <c r="D1506" s="59" t="s">
        <v>4769</v>
      </c>
      <c r="E1506" s="59" t="s">
        <v>4770</v>
      </c>
      <c r="F1506" s="59" t="s">
        <v>2257</v>
      </c>
      <c r="G1506" s="59" t="s">
        <v>4771</v>
      </c>
      <c r="I1506" s="59" t="s">
        <v>1604</v>
      </c>
    </row>
    <row r="1507" spans="1:9" ht="11.25" customHeight="1">
      <c r="A1507" s="59" t="s">
        <v>2162</v>
      </c>
      <c r="B1507" s="59" t="s">
        <v>14</v>
      </c>
      <c r="C1507" s="59" t="s">
        <v>4772</v>
      </c>
      <c r="D1507" s="59" t="s">
        <v>4773</v>
      </c>
      <c r="E1507" s="59" t="s">
        <v>4774</v>
      </c>
      <c r="F1507" s="59" t="s">
        <v>2308</v>
      </c>
      <c r="I1507" s="59" t="s">
        <v>1604</v>
      </c>
    </row>
    <row r="1508" spans="1:9" ht="11.25" customHeight="1">
      <c r="A1508" s="59" t="s">
        <v>2162</v>
      </c>
      <c r="B1508" s="59" t="s">
        <v>14</v>
      </c>
      <c r="C1508" s="59" t="s">
        <v>2821</v>
      </c>
      <c r="D1508" s="59" t="s">
        <v>2822</v>
      </c>
      <c r="E1508" s="59" t="s">
        <v>2823</v>
      </c>
      <c r="F1508" s="59" t="s">
        <v>2592</v>
      </c>
      <c r="G1508" s="59" t="s">
        <v>2824</v>
      </c>
      <c r="I1508" s="59" t="s">
        <v>1604</v>
      </c>
    </row>
    <row r="1509" spans="1:9" ht="11.25" customHeight="1">
      <c r="A1509" s="59" t="s">
        <v>2162</v>
      </c>
      <c r="B1509" s="59" t="s">
        <v>14</v>
      </c>
      <c r="C1509" s="59" t="s">
        <v>2825</v>
      </c>
      <c r="D1509" s="59" t="s">
        <v>2826</v>
      </c>
      <c r="E1509" s="59" t="s">
        <v>2827</v>
      </c>
      <c r="F1509" s="59" t="s">
        <v>2592</v>
      </c>
      <c r="G1509" s="59" t="s">
        <v>2828</v>
      </c>
      <c r="I1509" s="59" t="s">
        <v>1604</v>
      </c>
    </row>
    <row r="1510" spans="1:9" ht="11.25" customHeight="1">
      <c r="A1510" s="59" t="s">
        <v>2162</v>
      </c>
      <c r="B1510" s="59" t="s">
        <v>14</v>
      </c>
      <c r="C1510" s="59" t="s">
        <v>2833</v>
      </c>
      <c r="D1510" s="59" t="s">
        <v>2834</v>
      </c>
      <c r="E1510" s="59" t="s">
        <v>2835</v>
      </c>
      <c r="F1510" s="59" t="s">
        <v>2592</v>
      </c>
      <c r="I1510" s="59" t="s">
        <v>1604</v>
      </c>
    </row>
    <row r="1511" spans="1:9" ht="11.25" customHeight="1">
      <c r="A1511" s="59" t="s">
        <v>2162</v>
      </c>
      <c r="B1511" s="59" t="s">
        <v>14</v>
      </c>
      <c r="C1511" s="59" t="s">
        <v>4775</v>
      </c>
      <c r="D1511" s="59" t="s">
        <v>4776</v>
      </c>
      <c r="E1511" s="59" t="s">
        <v>4777</v>
      </c>
      <c r="F1511" s="59" t="s">
        <v>4284</v>
      </c>
      <c r="I1511" s="59" t="s">
        <v>1604</v>
      </c>
    </row>
    <row r="1512" spans="1:9" ht="11.25" customHeight="1">
      <c r="A1512" s="59" t="s">
        <v>2162</v>
      </c>
      <c r="B1512" s="59" t="s">
        <v>14</v>
      </c>
      <c r="C1512" s="59" t="s">
        <v>4778</v>
      </c>
      <c r="D1512" s="59" t="s">
        <v>4779</v>
      </c>
      <c r="E1512" s="59" t="s">
        <v>4780</v>
      </c>
      <c r="F1512" s="59" t="s">
        <v>4781</v>
      </c>
      <c r="I1512" s="59" t="s">
        <v>1604</v>
      </c>
    </row>
    <row r="1513" spans="1:9" ht="11.25" customHeight="1">
      <c r="A1513" s="59" t="s">
        <v>2162</v>
      </c>
      <c r="B1513" s="59" t="s">
        <v>14</v>
      </c>
      <c r="C1513" s="59" t="s">
        <v>4782</v>
      </c>
      <c r="D1513" s="59" t="s">
        <v>4783</v>
      </c>
      <c r="E1513" s="59" t="s">
        <v>4784</v>
      </c>
      <c r="F1513" s="59" t="s">
        <v>4785</v>
      </c>
      <c r="I1513" s="59" t="s">
        <v>1604</v>
      </c>
    </row>
    <row r="1514" spans="1:9" ht="11.25" customHeight="1">
      <c r="A1514" s="59" t="s">
        <v>2162</v>
      </c>
      <c r="B1514" s="59" t="s">
        <v>14</v>
      </c>
      <c r="C1514" s="59" t="s">
        <v>4786</v>
      </c>
      <c r="D1514" s="59" t="s">
        <v>4787</v>
      </c>
      <c r="E1514" s="59" t="s">
        <v>4788</v>
      </c>
      <c r="F1514" s="59" t="s">
        <v>2261</v>
      </c>
      <c r="I1514" s="59" t="s">
        <v>1604</v>
      </c>
    </row>
    <row r="1515" spans="1:9" ht="11.25" customHeight="1">
      <c r="A1515" s="59" t="s">
        <v>2162</v>
      </c>
      <c r="B1515" s="59" t="s">
        <v>14</v>
      </c>
      <c r="C1515" s="59" t="s">
        <v>4789</v>
      </c>
      <c r="D1515" s="59" t="s">
        <v>4790</v>
      </c>
      <c r="E1515" s="59" t="s">
        <v>4791</v>
      </c>
      <c r="F1515" s="59" t="s">
        <v>4792</v>
      </c>
      <c r="I1515" s="59" t="s">
        <v>1604</v>
      </c>
    </row>
    <row r="1516" spans="1:9" ht="11.25" customHeight="1">
      <c r="A1516" s="59" t="s">
        <v>2162</v>
      </c>
      <c r="B1516" s="59" t="s">
        <v>14</v>
      </c>
      <c r="C1516" s="59" t="s">
        <v>4416</v>
      </c>
      <c r="D1516" s="59" t="s">
        <v>4417</v>
      </c>
      <c r="E1516" s="59" t="s">
        <v>4418</v>
      </c>
      <c r="F1516" s="59" t="s">
        <v>2257</v>
      </c>
      <c r="G1516" s="59" t="s">
        <v>4419</v>
      </c>
      <c r="I1516" s="59" t="s">
        <v>1604</v>
      </c>
    </row>
    <row r="1517" spans="1:9" ht="11.25" customHeight="1">
      <c r="A1517" s="59" t="s">
        <v>2162</v>
      </c>
      <c r="B1517" s="59" t="s">
        <v>14</v>
      </c>
      <c r="C1517" s="59" t="s">
        <v>4793</v>
      </c>
      <c r="D1517" s="59" t="s">
        <v>4794</v>
      </c>
      <c r="E1517" s="59" t="s">
        <v>4795</v>
      </c>
      <c r="F1517" s="59" t="s">
        <v>2486</v>
      </c>
      <c r="I1517" s="59" t="s">
        <v>1604</v>
      </c>
    </row>
    <row r="1518" spans="1:9" ht="11.25" customHeight="1">
      <c r="A1518" s="59" t="s">
        <v>2162</v>
      </c>
      <c r="B1518" s="59" t="s">
        <v>14</v>
      </c>
      <c r="C1518" s="59" t="s">
        <v>2866</v>
      </c>
      <c r="D1518" s="59" t="s">
        <v>2867</v>
      </c>
      <c r="E1518" s="59" t="s">
        <v>2868</v>
      </c>
      <c r="F1518" s="59" t="s">
        <v>2202</v>
      </c>
      <c r="G1518" s="59" t="s">
        <v>2869</v>
      </c>
      <c r="I1518" s="59" t="s">
        <v>1604</v>
      </c>
    </row>
    <row r="1519" spans="1:9" ht="11.25" customHeight="1">
      <c r="A1519" s="59" t="s">
        <v>2162</v>
      </c>
      <c r="B1519" s="59" t="s">
        <v>14</v>
      </c>
      <c r="C1519" s="59" t="s">
        <v>2882</v>
      </c>
      <c r="D1519" s="59" t="s">
        <v>2883</v>
      </c>
      <c r="E1519" s="59" t="s">
        <v>2884</v>
      </c>
      <c r="F1519" s="59" t="s">
        <v>2228</v>
      </c>
      <c r="I1519" s="59" t="s">
        <v>1604</v>
      </c>
    </row>
    <row r="1520" spans="1:9" ht="11.25" customHeight="1">
      <c r="A1520" s="59" t="s">
        <v>2162</v>
      </c>
      <c r="B1520" s="59" t="s">
        <v>14</v>
      </c>
      <c r="C1520" s="59" t="s">
        <v>2895</v>
      </c>
      <c r="D1520" s="59" t="s">
        <v>2896</v>
      </c>
      <c r="E1520" s="59" t="s">
        <v>2897</v>
      </c>
      <c r="F1520" s="59" t="s">
        <v>2252</v>
      </c>
      <c r="G1520" s="59" t="s">
        <v>2898</v>
      </c>
      <c r="I1520" s="59" t="s">
        <v>1604</v>
      </c>
    </row>
    <row r="1521" spans="1:9" ht="11.25" customHeight="1">
      <c r="A1521" s="59" t="s">
        <v>2162</v>
      </c>
      <c r="B1521" s="59" t="s">
        <v>14</v>
      </c>
      <c r="C1521" s="59" t="s">
        <v>4796</v>
      </c>
      <c r="D1521" s="59" t="s">
        <v>4797</v>
      </c>
      <c r="E1521" s="59" t="s">
        <v>4798</v>
      </c>
      <c r="F1521" s="59" t="s">
        <v>4792</v>
      </c>
      <c r="G1521" s="59" t="s">
        <v>4799</v>
      </c>
      <c r="I1521" s="59" t="s">
        <v>1604</v>
      </c>
    </row>
    <row r="1522" spans="1:9" ht="11.25" customHeight="1">
      <c r="A1522" s="59" t="s">
        <v>2162</v>
      </c>
      <c r="B1522" s="59" t="s">
        <v>14</v>
      </c>
      <c r="C1522" s="59" t="s">
        <v>4800</v>
      </c>
      <c r="D1522" s="59" t="s">
        <v>4801</v>
      </c>
      <c r="E1522" s="59" t="s">
        <v>4802</v>
      </c>
      <c r="F1522" s="59" t="s">
        <v>3003</v>
      </c>
      <c r="I1522" s="59" t="s">
        <v>1604</v>
      </c>
    </row>
    <row r="1523" spans="1:9" ht="11.25" customHeight="1">
      <c r="A1523" s="59" t="s">
        <v>2162</v>
      </c>
      <c r="B1523" s="59" t="s">
        <v>14</v>
      </c>
      <c r="C1523" s="59" t="s">
        <v>4803</v>
      </c>
      <c r="D1523" s="59" t="s">
        <v>4804</v>
      </c>
      <c r="E1523" s="59" t="s">
        <v>4805</v>
      </c>
      <c r="F1523" s="59" t="s">
        <v>3697</v>
      </c>
      <c r="I1523" s="59" t="s">
        <v>1604</v>
      </c>
    </row>
    <row r="1524" spans="1:9" ht="11.25" customHeight="1">
      <c r="A1524" s="59" t="s">
        <v>2162</v>
      </c>
      <c r="B1524" s="59" t="s">
        <v>14</v>
      </c>
      <c r="C1524" s="59" t="s">
        <v>4806</v>
      </c>
      <c r="D1524" s="59" t="s">
        <v>4807</v>
      </c>
      <c r="E1524" s="59" t="s">
        <v>4808</v>
      </c>
      <c r="F1524" s="59" t="s">
        <v>2775</v>
      </c>
      <c r="I1524" s="59" t="s">
        <v>1604</v>
      </c>
    </row>
    <row r="1525" spans="1:9" ht="11.25" customHeight="1">
      <c r="A1525" s="59" t="s">
        <v>2162</v>
      </c>
      <c r="B1525" s="59" t="s">
        <v>14</v>
      </c>
      <c r="C1525" s="59" t="s">
        <v>4809</v>
      </c>
      <c r="D1525" s="59" t="s">
        <v>4810</v>
      </c>
      <c r="E1525" s="59" t="s">
        <v>4811</v>
      </c>
      <c r="F1525" s="59" t="s">
        <v>2308</v>
      </c>
      <c r="I1525" s="59" t="s">
        <v>1604</v>
      </c>
    </row>
    <row r="1526" spans="1:9" ht="11.25" customHeight="1">
      <c r="A1526" s="59" t="s">
        <v>2162</v>
      </c>
      <c r="B1526" s="59" t="s">
        <v>14</v>
      </c>
      <c r="C1526" s="59" t="s">
        <v>2955</v>
      </c>
      <c r="D1526" s="59" t="s">
        <v>2956</v>
      </c>
      <c r="E1526" s="59" t="s">
        <v>2957</v>
      </c>
      <c r="F1526" s="59" t="s">
        <v>2193</v>
      </c>
      <c r="G1526" s="59" t="s">
        <v>2958</v>
      </c>
      <c r="I1526" s="59" t="s">
        <v>1604</v>
      </c>
    </row>
    <row r="1527" spans="1:9" ht="11.25" customHeight="1">
      <c r="A1527" s="59" t="s">
        <v>2162</v>
      </c>
      <c r="B1527" s="59" t="s">
        <v>14</v>
      </c>
      <c r="C1527" s="59" t="s">
        <v>2973</v>
      </c>
      <c r="D1527" s="59" t="s">
        <v>2974</v>
      </c>
      <c r="E1527" s="59" t="s">
        <v>2975</v>
      </c>
      <c r="F1527" s="59" t="s">
        <v>2257</v>
      </c>
      <c r="G1527" s="59" t="s">
        <v>2976</v>
      </c>
      <c r="I1527" s="59" t="s">
        <v>1604</v>
      </c>
    </row>
    <row r="1528" spans="1:9" ht="11.25" customHeight="1">
      <c r="A1528" s="59" t="s">
        <v>2162</v>
      </c>
      <c r="B1528" s="59" t="s">
        <v>14</v>
      </c>
      <c r="C1528" s="59" t="s">
        <v>4812</v>
      </c>
      <c r="D1528" s="59" t="s">
        <v>4813</v>
      </c>
      <c r="E1528" s="59" t="s">
        <v>4814</v>
      </c>
      <c r="F1528" s="59" t="s">
        <v>2202</v>
      </c>
      <c r="I1528" s="59" t="s">
        <v>1604</v>
      </c>
    </row>
    <row r="1529" spans="1:9" ht="11.25" customHeight="1">
      <c r="A1529" s="59" t="s">
        <v>2162</v>
      </c>
      <c r="B1529" s="59" t="s">
        <v>14</v>
      </c>
      <c r="C1529" s="59" t="s">
        <v>4815</v>
      </c>
      <c r="D1529" s="59" t="s">
        <v>4816</v>
      </c>
      <c r="E1529" s="59" t="s">
        <v>4817</v>
      </c>
      <c r="F1529" s="59" t="s">
        <v>2664</v>
      </c>
      <c r="I1529" s="59" t="s">
        <v>1604</v>
      </c>
    </row>
    <row r="1530" spans="1:9" ht="11.25" customHeight="1">
      <c r="A1530" s="59" t="s">
        <v>2162</v>
      </c>
      <c r="B1530" s="59" t="s">
        <v>14</v>
      </c>
      <c r="C1530" s="59" t="s">
        <v>4818</v>
      </c>
      <c r="D1530" s="59" t="s">
        <v>4819</v>
      </c>
      <c r="E1530" s="59" t="s">
        <v>4820</v>
      </c>
      <c r="F1530" s="59" t="s">
        <v>2257</v>
      </c>
      <c r="I1530" s="59" t="s">
        <v>1604</v>
      </c>
    </row>
    <row r="1531" spans="1:9" ht="11.25" customHeight="1">
      <c r="A1531" s="59" t="s">
        <v>2162</v>
      </c>
      <c r="B1531" s="59" t="s">
        <v>14</v>
      </c>
      <c r="C1531" s="59" t="s">
        <v>3079</v>
      </c>
      <c r="D1531" s="59" t="s">
        <v>3080</v>
      </c>
      <c r="E1531" s="59" t="s">
        <v>3081</v>
      </c>
      <c r="F1531" s="59" t="s">
        <v>2486</v>
      </c>
      <c r="G1531" s="59" t="s">
        <v>3082</v>
      </c>
      <c r="I1531" s="59" t="s">
        <v>1604</v>
      </c>
    </row>
    <row r="1532" spans="1:9" ht="11.25" customHeight="1">
      <c r="A1532" s="59" t="s">
        <v>2162</v>
      </c>
      <c r="B1532" s="59" t="s">
        <v>14</v>
      </c>
      <c r="C1532" s="59" t="s">
        <v>4821</v>
      </c>
      <c r="D1532" s="59" t="s">
        <v>4822</v>
      </c>
      <c r="E1532" s="59" t="s">
        <v>4823</v>
      </c>
      <c r="F1532" s="59" t="s">
        <v>2257</v>
      </c>
      <c r="I1532" s="59" t="s">
        <v>1604</v>
      </c>
    </row>
    <row r="1533" spans="1:9" ht="11.25" customHeight="1">
      <c r="A1533" s="59" t="s">
        <v>2162</v>
      </c>
      <c r="B1533" s="59" t="s">
        <v>14</v>
      </c>
      <c r="C1533" s="59" t="s">
        <v>3101</v>
      </c>
      <c r="D1533" s="59" t="s">
        <v>3102</v>
      </c>
      <c r="E1533" s="59" t="s">
        <v>3103</v>
      </c>
      <c r="F1533" s="59" t="s">
        <v>2166</v>
      </c>
      <c r="G1533" s="59" t="s">
        <v>3104</v>
      </c>
      <c r="I1533" s="59" t="s">
        <v>1604</v>
      </c>
    </row>
    <row r="1534" spans="1:9" ht="11.25" customHeight="1">
      <c r="A1534" s="59" t="s">
        <v>2162</v>
      </c>
      <c r="B1534" s="59" t="s">
        <v>14</v>
      </c>
      <c r="C1534" s="59" t="s">
        <v>3109</v>
      </c>
      <c r="D1534" s="59" t="s">
        <v>3110</v>
      </c>
      <c r="E1534" s="59" t="s">
        <v>3111</v>
      </c>
      <c r="F1534" s="59" t="s">
        <v>2166</v>
      </c>
      <c r="G1534" s="59" t="s">
        <v>3112</v>
      </c>
      <c r="I1534" s="59" t="s">
        <v>1604</v>
      </c>
    </row>
    <row r="1535" spans="1:9" ht="11.25" customHeight="1">
      <c r="A1535" s="59" t="s">
        <v>2162</v>
      </c>
      <c r="B1535" s="59" t="s">
        <v>14</v>
      </c>
      <c r="C1535" s="59" t="s">
        <v>3120</v>
      </c>
      <c r="D1535" s="59" t="s">
        <v>3121</v>
      </c>
      <c r="E1535" s="59" t="s">
        <v>3122</v>
      </c>
      <c r="F1535" s="59" t="s">
        <v>2193</v>
      </c>
      <c r="I1535" s="59" t="s">
        <v>1604</v>
      </c>
    </row>
    <row r="1536" spans="1:9" ht="11.25" customHeight="1">
      <c r="A1536" s="59" t="s">
        <v>2162</v>
      </c>
      <c r="B1536" s="59" t="s">
        <v>14</v>
      </c>
      <c r="C1536" s="59" t="s">
        <v>3123</v>
      </c>
      <c r="D1536" s="59" t="s">
        <v>3124</v>
      </c>
      <c r="E1536" s="59" t="s">
        <v>3125</v>
      </c>
      <c r="F1536" s="59" t="s">
        <v>2486</v>
      </c>
      <c r="G1536" s="59" t="s">
        <v>3126</v>
      </c>
      <c r="I1536" s="59" t="s">
        <v>1604</v>
      </c>
    </row>
    <row r="1537" spans="1:9" ht="11.25" customHeight="1">
      <c r="A1537" s="59" t="s">
        <v>2162</v>
      </c>
      <c r="B1537" s="59" t="s">
        <v>14</v>
      </c>
      <c r="C1537" s="59" t="s">
        <v>3127</v>
      </c>
      <c r="D1537" s="59" t="s">
        <v>3128</v>
      </c>
      <c r="E1537" s="59" t="s">
        <v>3129</v>
      </c>
      <c r="F1537" s="59" t="s">
        <v>2486</v>
      </c>
      <c r="G1537" s="59" t="s">
        <v>3130</v>
      </c>
      <c r="I1537" s="59" t="s">
        <v>1604</v>
      </c>
    </row>
    <row r="1538" spans="1:9" ht="11.25" customHeight="1">
      <c r="A1538" s="59" t="s">
        <v>2162</v>
      </c>
      <c r="B1538" s="59" t="s">
        <v>14</v>
      </c>
      <c r="C1538" s="59" t="s">
        <v>3143</v>
      </c>
      <c r="D1538" s="59" t="s">
        <v>3144</v>
      </c>
      <c r="E1538" s="59" t="s">
        <v>3145</v>
      </c>
      <c r="F1538" s="59" t="s">
        <v>3146</v>
      </c>
      <c r="G1538" s="59" t="s">
        <v>3147</v>
      </c>
      <c r="I1538" s="59" t="s">
        <v>1604</v>
      </c>
    </row>
    <row r="1539" spans="1:9" ht="11.25" customHeight="1">
      <c r="A1539" s="59" t="s">
        <v>2162</v>
      </c>
      <c r="B1539" s="59" t="s">
        <v>14</v>
      </c>
      <c r="C1539" s="59" t="s">
        <v>4824</v>
      </c>
      <c r="D1539" s="59" t="s">
        <v>4825</v>
      </c>
      <c r="E1539" s="59" t="s">
        <v>4826</v>
      </c>
      <c r="F1539" s="59" t="s">
        <v>2299</v>
      </c>
      <c r="I1539" s="59" t="s">
        <v>1604</v>
      </c>
    </row>
    <row r="1540" spans="1:9" ht="11.25" customHeight="1">
      <c r="A1540" s="59" t="s">
        <v>2162</v>
      </c>
      <c r="B1540" s="59" t="s">
        <v>14</v>
      </c>
      <c r="C1540" s="59" t="s">
        <v>4827</v>
      </c>
      <c r="D1540" s="59" t="s">
        <v>4828</v>
      </c>
      <c r="E1540" s="59" t="s">
        <v>4829</v>
      </c>
      <c r="F1540" s="59" t="s">
        <v>2299</v>
      </c>
      <c r="I1540" s="59" t="s">
        <v>1604</v>
      </c>
    </row>
    <row r="1541" spans="1:9" ht="11.25" customHeight="1">
      <c r="A1541" s="59" t="s">
        <v>2162</v>
      </c>
      <c r="B1541" s="59" t="s">
        <v>14</v>
      </c>
      <c r="C1541" s="59" t="s">
        <v>4830</v>
      </c>
      <c r="D1541" s="59" t="s">
        <v>4831</v>
      </c>
      <c r="E1541" s="59" t="s">
        <v>4832</v>
      </c>
      <c r="F1541" s="59" t="s">
        <v>2202</v>
      </c>
      <c r="I1541" s="59" t="s">
        <v>1604</v>
      </c>
    </row>
    <row r="1542" spans="1:9" ht="11.25" customHeight="1">
      <c r="A1542" s="59" t="s">
        <v>2162</v>
      </c>
      <c r="B1542" s="59" t="s">
        <v>14</v>
      </c>
      <c r="C1542" s="59" t="s">
        <v>4833</v>
      </c>
      <c r="D1542" s="59" t="s">
        <v>4834</v>
      </c>
      <c r="E1542" s="59" t="s">
        <v>4835</v>
      </c>
      <c r="F1542" s="59" t="s">
        <v>2299</v>
      </c>
      <c r="I1542" s="59" t="s">
        <v>1604</v>
      </c>
    </row>
    <row r="1543" spans="1:9" ht="11.25" customHeight="1">
      <c r="A1543" s="59" t="s">
        <v>2162</v>
      </c>
      <c r="B1543" s="59" t="s">
        <v>14</v>
      </c>
      <c r="C1543" s="59" t="s">
        <v>4836</v>
      </c>
      <c r="D1543" s="59" t="s">
        <v>4837</v>
      </c>
      <c r="E1543" s="59" t="s">
        <v>4838</v>
      </c>
      <c r="F1543" s="59" t="s">
        <v>2166</v>
      </c>
      <c r="I1543" s="59" t="s">
        <v>1604</v>
      </c>
    </row>
    <row r="1544" spans="1:9" ht="11.25" customHeight="1">
      <c r="A1544" s="59" t="s">
        <v>2162</v>
      </c>
      <c r="B1544" s="59" t="s">
        <v>14</v>
      </c>
      <c r="C1544" s="59" t="s">
        <v>4839</v>
      </c>
      <c r="D1544" s="59" t="s">
        <v>4840</v>
      </c>
      <c r="E1544" s="59" t="s">
        <v>4841</v>
      </c>
      <c r="F1544" s="59" t="s">
        <v>2291</v>
      </c>
      <c r="I1544" s="59" t="s">
        <v>1604</v>
      </c>
    </row>
    <row r="1545" spans="1:9" ht="11.25" customHeight="1">
      <c r="A1545" s="59" t="s">
        <v>2162</v>
      </c>
      <c r="B1545" s="59" t="s">
        <v>14</v>
      </c>
      <c r="C1545" s="59" t="s">
        <v>4842</v>
      </c>
      <c r="D1545" s="59" t="s">
        <v>4843</v>
      </c>
      <c r="E1545" s="59" t="s">
        <v>4844</v>
      </c>
      <c r="F1545" s="59" t="s">
        <v>2391</v>
      </c>
      <c r="I1545" s="59" t="s">
        <v>1604</v>
      </c>
    </row>
    <row r="1546" spans="1:9" ht="11.25" customHeight="1">
      <c r="A1546" s="59" t="s">
        <v>2162</v>
      </c>
      <c r="B1546" s="59" t="s">
        <v>14</v>
      </c>
      <c r="C1546" s="59" t="s">
        <v>4845</v>
      </c>
      <c r="D1546" s="59" t="s">
        <v>4846</v>
      </c>
      <c r="E1546" s="59" t="s">
        <v>4847</v>
      </c>
      <c r="F1546" s="59" t="s">
        <v>2202</v>
      </c>
      <c r="I1546" s="59" t="s">
        <v>1604</v>
      </c>
    </row>
    <row r="1547" spans="1:9" ht="11.25" customHeight="1">
      <c r="A1547" s="59" t="s">
        <v>2162</v>
      </c>
      <c r="B1547" s="59" t="s">
        <v>14</v>
      </c>
      <c r="C1547" s="59" t="s">
        <v>4848</v>
      </c>
      <c r="D1547" s="59" t="s">
        <v>4849</v>
      </c>
      <c r="E1547" s="59" t="s">
        <v>4850</v>
      </c>
      <c r="F1547" s="59" t="s">
        <v>2299</v>
      </c>
      <c r="I1547" s="59" t="s">
        <v>1604</v>
      </c>
    </row>
    <row r="1548" spans="1:9" ht="11.25" customHeight="1">
      <c r="A1548" s="59" t="s">
        <v>2162</v>
      </c>
      <c r="B1548" s="59" t="s">
        <v>14</v>
      </c>
      <c r="C1548" s="59" t="s">
        <v>4851</v>
      </c>
      <c r="D1548" s="59" t="s">
        <v>4852</v>
      </c>
      <c r="E1548" s="59" t="s">
        <v>4853</v>
      </c>
      <c r="F1548" s="59" t="s">
        <v>2291</v>
      </c>
      <c r="I1548" s="59" t="s">
        <v>1604</v>
      </c>
    </row>
    <row r="1549" spans="1:9" ht="11.25" customHeight="1">
      <c r="A1549" s="59" t="s">
        <v>2162</v>
      </c>
      <c r="B1549" s="59" t="s">
        <v>14</v>
      </c>
      <c r="C1549" s="59" t="s">
        <v>4854</v>
      </c>
      <c r="D1549" s="59" t="s">
        <v>4855</v>
      </c>
      <c r="E1549" s="59" t="s">
        <v>4856</v>
      </c>
      <c r="F1549" s="59" t="s">
        <v>2228</v>
      </c>
      <c r="I1549" s="59" t="s">
        <v>1604</v>
      </c>
    </row>
    <row r="1550" spans="1:9" ht="11.25" customHeight="1">
      <c r="A1550" s="59" t="s">
        <v>2162</v>
      </c>
      <c r="B1550" s="59" t="s">
        <v>14</v>
      </c>
      <c r="C1550" s="59" t="s">
        <v>4857</v>
      </c>
      <c r="D1550" s="59" t="s">
        <v>4858</v>
      </c>
      <c r="E1550" s="59" t="s">
        <v>4859</v>
      </c>
      <c r="F1550" s="59" t="s">
        <v>2166</v>
      </c>
      <c r="I1550" s="59" t="s">
        <v>1604</v>
      </c>
    </row>
    <row r="1551" spans="1:9" ht="11.25" customHeight="1">
      <c r="A1551" s="59" t="s">
        <v>2162</v>
      </c>
      <c r="B1551" s="59" t="s">
        <v>14</v>
      </c>
      <c r="C1551" s="59" t="s">
        <v>4860</v>
      </c>
      <c r="D1551" s="59" t="s">
        <v>4861</v>
      </c>
      <c r="E1551" s="59" t="s">
        <v>4862</v>
      </c>
      <c r="F1551" s="59" t="s">
        <v>2291</v>
      </c>
      <c r="I1551" s="59" t="s">
        <v>1604</v>
      </c>
    </row>
    <row r="1552" spans="1:9" ht="11.25" customHeight="1">
      <c r="A1552" s="59" t="s">
        <v>2162</v>
      </c>
      <c r="B1552" s="59" t="s">
        <v>14</v>
      </c>
      <c r="C1552" s="59" t="s">
        <v>4863</v>
      </c>
      <c r="D1552" s="59" t="s">
        <v>4864</v>
      </c>
      <c r="E1552" s="59" t="s">
        <v>4865</v>
      </c>
      <c r="F1552" s="59" t="s">
        <v>2299</v>
      </c>
      <c r="I1552" s="59" t="s">
        <v>1604</v>
      </c>
    </row>
    <row r="1553" spans="1:9" ht="11.25" customHeight="1">
      <c r="A1553" s="59" t="s">
        <v>2162</v>
      </c>
      <c r="B1553" s="59" t="s">
        <v>14</v>
      </c>
      <c r="C1553" s="59" t="s">
        <v>4866</v>
      </c>
      <c r="D1553" s="59" t="s">
        <v>4867</v>
      </c>
      <c r="E1553" s="59" t="s">
        <v>4868</v>
      </c>
      <c r="F1553" s="59" t="s">
        <v>2299</v>
      </c>
      <c r="I1553" s="59" t="s">
        <v>1604</v>
      </c>
    </row>
    <row r="1554" spans="1:9" ht="11.25" customHeight="1">
      <c r="A1554" s="59" t="s">
        <v>2162</v>
      </c>
      <c r="B1554" s="59" t="s">
        <v>14</v>
      </c>
      <c r="C1554" s="59" t="s">
        <v>4869</v>
      </c>
      <c r="D1554" s="59" t="s">
        <v>4870</v>
      </c>
      <c r="E1554" s="59" t="s">
        <v>4871</v>
      </c>
      <c r="F1554" s="59" t="s">
        <v>2291</v>
      </c>
      <c r="I1554" s="59" t="s">
        <v>1604</v>
      </c>
    </row>
    <row r="1555" spans="1:9" ht="11.25" customHeight="1">
      <c r="A1555" s="59" t="s">
        <v>2162</v>
      </c>
      <c r="B1555" s="59" t="s">
        <v>14</v>
      </c>
      <c r="C1555" s="59" t="s">
        <v>4872</v>
      </c>
      <c r="D1555" s="59" t="s">
        <v>4873</v>
      </c>
      <c r="E1555" s="59" t="s">
        <v>4874</v>
      </c>
      <c r="F1555" s="59" t="s">
        <v>2812</v>
      </c>
      <c r="I1555" s="59" t="s">
        <v>1604</v>
      </c>
    </row>
    <row r="1556" spans="1:9" ht="11.25" customHeight="1">
      <c r="A1556" s="59" t="s">
        <v>2162</v>
      </c>
      <c r="B1556" s="59" t="s">
        <v>14</v>
      </c>
      <c r="C1556" s="59" t="s">
        <v>4875</v>
      </c>
      <c r="D1556" s="59" t="s">
        <v>4876</v>
      </c>
      <c r="E1556" s="59" t="s">
        <v>4877</v>
      </c>
      <c r="F1556" s="59" t="s">
        <v>2266</v>
      </c>
      <c r="I1556" s="59" t="s">
        <v>1604</v>
      </c>
    </row>
    <row r="1557" spans="1:9" ht="11.25" customHeight="1">
      <c r="A1557" s="59" t="s">
        <v>2162</v>
      </c>
      <c r="B1557" s="59" t="s">
        <v>14</v>
      </c>
      <c r="C1557" s="59" t="s">
        <v>4878</v>
      </c>
      <c r="D1557" s="59" t="s">
        <v>4879</v>
      </c>
      <c r="E1557" s="59" t="s">
        <v>4880</v>
      </c>
      <c r="F1557" s="59" t="s">
        <v>3671</v>
      </c>
      <c r="I1557" s="59" t="s">
        <v>1604</v>
      </c>
    </row>
    <row r="1558" spans="1:9" ht="11.25" customHeight="1">
      <c r="A1558" s="59" t="s">
        <v>2162</v>
      </c>
      <c r="B1558" s="59" t="s">
        <v>14</v>
      </c>
      <c r="C1558" s="59" t="s">
        <v>4708</v>
      </c>
      <c r="D1558" s="59" t="s">
        <v>4709</v>
      </c>
      <c r="E1558" s="59" t="s">
        <v>4710</v>
      </c>
      <c r="F1558" s="59" t="s">
        <v>2486</v>
      </c>
      <c r="H1558" s="59" t="s">
        <v>4711</v>
      </c>
      <c r="I1558" s="59" t="s">
        <v>1604</v>
      </c>
    </row>
    <row r="1559" spans="1:9" ht="11.25" customHeight="1">
      <c r="A1559" s="59" t="s">
        <v>2162</v>
      </c>
      <c r="B1559" s="59" t="s">
        <v>14</v>
      </c>
      <c r="C1559" s="59" t="s">
        <v>4881</v>
      </c>
      <c r="D1559" s="59" t="s">
        <v>4882</v>
      </c>
      <c r="E1559" s="59" t="s">
        <v>4883</v>
      </c>
      <c r="F1559" s="59" t="s">
        <v>3571</v>
      </c>
      <c r="I1559" s="59" t="s">
        <v>1604</v>
      </c>
    </row>
    <row r="1560" spans="1:9" ht="11.25" customHeight="1">
      <c r="A1560" s="59" t="s">
        <v>2162</v>
      </c>
      <c r="B1560" s="59" t="s">
        <v>14</v>
      </c>
      <c r="C1560" s="59" t="s">
        <v>4884</v>
      </c>
      <c r="D1560" s="59" t="s">
        <v>4885</v>
      </c>
      <c r="E1560" s="59" t="s">
        <v>4886</v>
      </c>
      <c r="F1560" s="59" t="s">
        <v>2615</v>
      </c>
      <c r="I1560" s="59" t="s">
        <v>1604</v>
      </c>
    </row>
    <row r="1561" spans="1:9" ht="11.25" customHeight="1">
      <c r="A1561" s="59" t="s">
        <v>2162</v>
      </c>
      <c r="B1561" s="59" t="s">
        <v>14</v>
      </c>
      <c r="C1561" s="59" t="s">
        <v>4887</v>
      </c>
      <c r="D1561" s="59" t="s">
        <v>4888</v>
      </c>
      <c r="E1561" s="59" t="s">
        <v>4889</v>
      </c>
      <c r="F1561" s="59" t="s">
        <v>3506</v>
      </c>
      <c r="I1561" s="59" t="s">
        <v>1604</v>
      </c>
    </row>
    <row r="1562" spans="1:9" ht="11.25" customHeight="1">
      <c r="A1562" s="59" t="s">
        <v>2162</v>
      </c>
      <c r="B1562" s="59" t="s">
        <v>14</v>
      </c>
      <c r="C1562" s="59" t="s">
        <v>4890</v>
      </c>
      <c r="D1562" s="59" t="s">
        <v>4891</v>
      </c>
      <c r="E1562" s="59" t="s">
        <v>4892</v>
      </c>
      <c r="F1562" s="59" t="s">
        <v>4893</v>
      </c>
      <c r="I1562" s="59" t="s">
        <v>1604</v>
      </c>
    </row>
    <row r="1563" spans="1:9" ht="11.25" customHeight="1">
      <c r="A1563" s="59" t="s">
        <v>2162</v>
      </c>
      <c r="B1563" s="59" t="s">
        <v>14</v>
      </c>
      <c r="C1563" s="59" t="s">
        <v>4894</v>
      </c>
      <c r="D1563" s="59" t="s">
        <v>4895</v>
      </c>
      <c r="E1563" s="59" t="s">
        <v>4896</v>
      </c>
      <c r="F1563" s="59" t="s">
        <v>2202</v>
      </c>
      <c r="I1563" s="59" t="s">
        <v>1604</v>
      </c>
    </row>
    <row r="1564" spans="1:9" ht="11.25" customHeight="1">
      <c r="A1564" s="59" t="s">
        <v>2162</v>
      </c>
      <c r="B1564" s="59" t="s">
        <v>14</v>
      </c>
      <c r="C1564" s="59" t="s">
        <v>4897</v>
      </c>
      <c r="D1564" s="59" t="s">
        <v>4898</v>
      </c>
      <c r="E1564" s="59" t="s">
        <v>4899</v>
      </c>
      <c r="F1564" s="59" t="s">
        <v>2391</v>
      </c>
      <c r="I1564" s="59" t="s">
        <v>1604</v>
      </c>
    </row>
    <row r="1565" spans="1:9" ht="11.25" customHeight="1">
      <c r="A1565" s="59" t="s">
        <v>2162</v>
      </c>
      <c r="B1565" s="59" t="s">
        <v>14</v>
      </c>
      <c r="C1565" s="59" t="s">
        <v>4900</v>
      </c>
      <c r="D1565" s="59" t="s">
        <v>4901</v>
      </c>
      <c r="E1565" s="59" t="s">
        <v>4902</v>
      </c>
      <c r="F1565" s="59" t="s">
        <v>4893</v>
      </c>
      <c r="I1565" s="59" t="s">
        <v>1604</v>
      </c>
    </row>
    <row r="1566" spans="1:9" ht="11.25" customHeight="1">
      <c r="A1566" s="59" t="s">
        <v>2162</v>
      </c>
      <c r="B1566" s="59" t="s">
        <v>14</v>
      </c>
      <c r="C1566" s="59" t="s">
        <v>4903</v>
      </c>
      <c r="D1566" s="59" t="s">
        <v>4904</v>
      </c>
      <c r="E1566" s="59" t="s">
        <v>4905</v>
      </c>
      <c r="F1566" s="59" t="s">
        <v>2210</v>
      </c>
      <c r="I1566" s="59" t="s">
        <v>1604</v>
      </c>
    </row>
    <row r="1567" spans="1:9" ht="11.25" customHeight="1">
      <c r="A1567" s="59" t="s">
        <v>2162</v>
      </c>
      <c r="B1567" s="59" t="s">
        <v>14</v>
      </c>
      <c r="C1567" s="59" t="s">
        <v>4906</v>
      </c>
      <c r="D1567" s="59" t="s">
        <v>4907</v>
      </c>
      <c r="E1567" s="59" t="s">
        <v>4908</v>
      </c>
      <c r="F1567" s="59" t="s">
        <v>2202</v>
      </c>
      <c r="I1567" s="59" t="s">
        <v>1604</v>
      </c>
    </row>
    <row r="1568" spans="1:9" ht="11.25" customHeight="1">
      <c r="A1568" s="59" t="s">
        <v>2162</v>
      </c>
      <c r="B1568" s="59" t="s">
        <v>14</v>
      </c>
      <c r="C1568" s="59" t="s">
        <v>4909</v>
      </c>
      <c r="D1568" s="59" t="s">
        <v>4910</v>
      </c>
      <c r="E1568" s="59" t="s">
        <v>4911</v>
      </c>
      <c r="F1568" s="59" t="s">
        <v>3057</v>
      </c>
      <c r="I1568" s="59" t="s">
        <v>1604</v>
      </c>
    </row>
    <row r="1569" spans="1:9" ht="11.25" customHeight="1">
      <c r="A1569" s="59" t="s">
        <v>2162</v>
      </c>
      <c r="B1569" s="59" t="s">
        <v>14</v>
      </c>
      <c r="C1569" s="59" t="s">
        <v>4912</v>
      </c>
      <c r="D1569" s="59" t="s">
        <v>4913</v>
      </c>
      <c r="E1569" s="59" t="s">
        <v>4914</v>
      </c>
      <c r="F1569" s="59" t="s">
        <v>2391</v>
      </c>
      <c r="I1569" s="59" t="s">
        <v>1604</v>
      </c>
    </row>
    <row r="1570" spans="1:9" ht="11.25" customHeight="1">
      <c r="A1570" s="59" t="s">
        <v>2162</v>
      </c>
      <c r="B1570" s="59" t="s">
        <v>14</v>
      </c>
      <c r="C1570" s="59" t="s">
        <v>4915</v>
      </c>
      <c r="D1570" s="59" t="s">
        <v>4916</v>
      </c>
      <c r="E1570" s="59" t="s">
        <v>4917</v>
      </c>
      <c r="F1570" s="59" t="s">
        <v>3697</v>
      </c>
      <c r="I1570" s="59" t="s">
        <v>1604</v>
      </c>
    </row>
    <row r="1571" spans="1:9" ht="11.25" customHeight="1">
      <c r="A1571" s="59" t="s">
        <v>2162</v>
      </c>
      <c r="B1571" s="59" t="s">
        <v>14</v>
      </c>
      <c r="C1571" s="59" t="s">
        <v>4918</v>
      </c>
      <c r="D1571" s="59" t="s">
        <v>4919</v>
      </c>
      <c r="E1571" s="59" t="s">
        <v>4920</v>
      </c>
      <c r="F1571" s="59" t="s">
        <v>2202</v>
      </c>
      <c r="I1571" s="59" t="s">
        <v>1604</v>
      </c>
    </row>
    <row r="1572" spans="1:9" ht="11.25" customHeight="1">
      <c r="A1572" s="59" t="s">
        <v>2162</v>
      </c>
      <c r="B1572" s="59" t="s">
        <v>14</v>
      </c>
      <c r="C1572" s="59" t="s">
        <v>4921</v>
      </c>
      <c r="D1572" s="59" t="s">
        <v>4922</v>
      </c>
      <c r="E1572" s="59" t="s">
        <v>4923</v>
      </c>
      <c r="F1572" s="59" t="s">
        <v>2210</v>
      </c>
      <c r="I1572" s="59" t="s">
        <v>1604</v>
      </c>
    </row>
    <row r="1573" spans="1:9" ht="11.25" customHeight="1">
      <c r="A1573" s="59" t="s">
        <v>2162</v>
      </c>
      <c r="B1573" s="59" t="s">
        <v>14</v>
      </c>
      <c r="C1573" s="59" t="s">
        <v>4924</v>
      </c>
      <c r="D1573" s="59" t="s">
        <v>4925</v>
      </c>
      <c r="E1573" s="59" t="s">
        <v>4926</v>
      </c>
      <c r="F1573" s="59" t="s">
        <v>2193</v>
      </c>
      <c r="I1573" s="59" t="s">
        <v>1604</v>
      </c>
    </row>
    <row r="1574" spans="1:9" ht="11.25" customHeight="1">
      <c r="A1574" s="59" t="s">
        <v>2162</v>
      </c>
      <c r="B1574" s="59" t="s">
        <v>14</v>
      </c>
      <c r="C1574" s="59" t="s">
        <v>4927</v>
      </c>
      <c r="D1574" s="59" t="s">
        <v>4928</v>
      </c>
      <c r="E1574" s="59" t="s">
        <v>4929</v>
      </c>
      <c r="F1574" s="59" t="s">
        <v>2808</v>
      </c>
      <c r="I1574" s="59" t="s">
        <v>1604</v>
      </c>
    </row>
    <row r="1575" spans="1:9" ht="11.25" customHeight="1">
      <c r="A1575" s="59" t="s">
        <v>2162</v>
      </c>
      <c r="B1575" s="59" t="s">
        <v>14</v>
      </c>
      <c r="C1575" s="59" t="s">
        <v>4930</v>
      </c>
      <c r="D1575" s="59" t="s">
        <v>4931</v>
      </c>
      <c r="E1575" s="59" t="s">
        <v>4932</v>
      </c>
      <c r="F1575" s="59" t="s">
        <v>2202</v>
      </c>
      <c r="I1575" s="59" t="s">
        <v>1604</v>
      </c>
    </row>
    <row r="1576" spans="1:9" ht="11.25" customHeight="1">
      <c r="A1576" s="59" t="s">
        <v>2162</v>
      </c>
      <c r="B1576" s="59" t="s">
        <v>14</v>
      </c>
      <c r="C1576" s="59" t="s">
        <v>4933</v>
      </c>
      <c r="D1576" s="59" t="s">
        <v>4934</v>
      </c>
      <c r="E1576" s="59" t="s">
        <v>4935</v>
      </c>
      <c r="F1576" s="59" t="s">
        <v>4893</v>
      </c>
      <c r="I1576" s="59" t="s">
        <v>1604</v>
      </c>
    </row>
    <row r="1577" spans="1:9" ht="11.25" customHeight="1">
      <c r="A1577" s="59" t="s">
        <v>2162</v>
      </c>
      <c r="B1577" s="59" t="s">
        <v>14</v>
      </c>
      <c r="C1577" s="59" t="s">
        <v>4936</v>
      </c>
      <c r="D1577" s="59" t="s">
        <v>4937</v>
      </c>
      <c r="E1577" s="59" t="s">
        <v>4938</v>
      </c>
      <c r="F1577" s="59" t="s">
        <v>2775</v>
      </c>
      <c r="I1577" s="59" t="s">
        <v>1604</v>
      </c>
    </row>
    <row r="1578" spans="1:9" ht="11.25" customHeight="1">
      <c r="A1578" s="59" t="s">
        <v>2162</v>
      </c>
      <c r="B1578" s="59" t="s">
        <v>14</v>
      </c>
      <c r="D1578" s="59" t="s">
        <v>4162</v>
      </c>
      <c r="E1578" s="59" t="s">
        <v>4163</v>
      </c>
      <c r="F1578" s="59" t="s">
        <v>2291</v>
      </c>
      <c r="I1578" s="59" t="s">
        <v>1604</v>
      </c>
    </row>
  </sheetData>
  <pageMargins left="0.75" right="0.75" top="0.875" bottom="0.875" header="0.5" footer="0.5"/>
  <pageSetup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zoomScaleNormal="100" workbookViewId="0"/>
  </sheetViews>
  <sheetFormatPr defaultColWidth="8.85546875" defaultRowHeight="11.25"/>
  <cols>
    <col min="1" max="1" width="9.140625" style="59" customWidth="1"/>
  </cols>
  <sheetData>
    <row r="1" spans="1:7" ht="11.25" customHeight="1">
      <c r="A1" s="59" t="s">
        <v>4939</v>
      </c>
      <c r="B1" s="59" t="s">
        <v>4940</v>
      </c>
      <c r="C1" s="59" t="s">
        <v>4941</v>
      </c>
      <c r="D1" s="59" t="s">
        <v>4942</v>
      </c>
      <c r="E1" s="59" t="s">
        <v>4943</v>
      </c>
      <c r="F1" s="59" t="s">
        <v>4944</v>
      </c>
      <c r="G1" s="59" t="s">
        <v>4945</v>
      </c>
    </row>
    <row r="2" spans="1:7" ht="11.25" customHeight="1">
      <c r="A2" s="59" t="s">
        <v>14</v>
      </c>
      <c r="B2" s="59" t="s">
        <v>4946</v>
      </c>
      <c r="C2" s="59" t="s">
        <v>4947</v>
      </c>
      <c r="D2" s="59" t="s">
        <v>4946</v>
      </c>
      <c r="E2" s="59" t="s">
        <v>4947</v>
      </c>
      <c r="F2" s="59" t="s">
        <v>4948</v>
      </c>
      <c r="G2" s="59" t="s">
        <v>105</v>
      </c>
    </row>
    <row r="3" spans="1:7" ht="11.25" customHeight="1">
      <c r="A3" s="59" t="s">
        <v>14</v>
      </c>
      <c r="B3" s="59" t="s">
        <v>4949</v>
      </c>
      <c r="C3" s="59" t="s">
        <v>4950</v>
      </c>
      <c r="D3" s="59" t="s">
        <v>4949</v>
      </c>
      <c r="E3" s="59" t="s">
        <v>4950</v>
      </c>
      <c r="F3" s="59" t="s">
        <v>4948</v>
      </c>
      <c r="G3" s="59" t="s">
        <v>106</v>
      </c>
    </row>
    <row r="4" spans="1:7" ht="11.25" customHeight="1">
      <c r="A4" s="59" t="s">
        <v>14</v>
      </c>
      <c r="B4" s="59" t="s">
        <v>4951</v>
      </c>
      <c r="C4" s="59" t="s">
        <v>4952</v>
      </c>
      <c r="D4" s="59" t="s">
        <v>4951</v>
      </c>
      <c r="E4" s="59" t="s">
        <v>4952</v>
      </c>
      <c r="F4" s="59" t="s">
        <v>4948</v>
      </c>
      <c r="G4" s="59" t="s">
        <v>86</v>
      </c>
    </row>
    <row r="5" spans="1:7" ht="11.25" customHeight="1">
      <c r="A5" s="59" t="s">
        <v>14</v>
      </c>
      <c r="B5" s="59" t="s">
        <v>4953</v>
      </c>
      <c r="C5" s="59" t="s">
        <v>4954</v>
      </c>
      <c r="D5" s="59" t="s">
        <v>4953</v>
      </c>
      <c r="E5" s="59" t="s">
        <v>4954</v>
      </c>
      <c r="F5" s="59" t="s">
        <v>4948</v>
      </c>
      <c r="G5" s="59" t="s">
        <v>87</v>
      </c>
    </row>
    <row r="6" spans="1:7" ht="11.25" customHeight="1">
      <c r="A6" s="59" t="s">
        <v>14</v>
      </c>
      <c r="B6" s="59" t="s">
        <v>4955</v>
      </c>
      <c r="C6" s="59" t="s">
        <v>4956</v>
      </c>
      <c r="D6" s="59" t="s">
        <v>4955</v>
      </c>
      <c r="E6" s="59" t="s">
        <v>4956</v>
      </c>
      <c r="F6" s="59" t="s">
        <v>4948</v>
      </c>
      <c r="G6" s="59" t="s">
        <v>107</v>
      </c>
    </row>
    <row r="7" spans="1:7" ht="11.25" customHeight="1">
      <c r="A7" s="59" t="s">
        <v>14</v>
      </c>
      <c r="B7" s="59" t="s">
        <v>4957</v>
      </c>
      <c r="C7" s="59" t="s">
        <v>4958</v>
      </c>
      <c r="D7" s="59" t="s">
        <v>4959</v>
      </c>
      <c r="E7" s="59" t="s">
        <v>4960</v>
      </c>
      <c r="F7" s="59" t="s">
        <v>4961</v>
      </c>
      <c r="G7" s="59" t="s">
        <v>88</v>
      </c>
    </row>
    <row r="8" spans="1:7" ht="11.25" customHeight="1">
      <c r="A8" s="59" t="s">
        <v>14</v>
      </c>
      <c r="B8" s="59" t="s">
        <v>4957</v>
      </c>
      <c r="C8" s="59" t="s">
        <v>4958</v>
      </c>
      <c r="D8" s="59" t="s">
        <v>4957</v>
      </c>
      <c r="E8" s="59" t="s">
        <v>4958</v>
      </c>
      <c r="F8" s="59" t="s">
        <v>4962</v>
      </c>
      <c r="G8" s="59" t="s">
        <v>89</v>
      </c>
    </row>
    <row r="9" spans="1:7" ht="11.25" customHeight="1">
      <c r="A9" s="59" t="s">
        <v>14</v>
      </c>
      <c r="B9" s="59" t="s">
        <v>4957</v>
      </c>
      <c r="C9" s="59" t="s">
        <v>4958</v>
      </c>
      <c r="D9" s="59" t="s">
        <v>4963</v>
      </c>
      <c r="E9" s="59" t="s">
        <v>4964</v>
      </c>
      <c r="F9" s="59" t="s">
        <v>4961</v>
      </c>
      <c r="G9" s="59" t="s">
        <v>108</v>
      </c>
    </row>
    <row r="10" spans="1:7" ht="11.25" customHeight="1">
      <c r="A10" s="59" t="s">
        <v>14</v>
      </c>
      <c r="B10" s="59" t="s">
        <v>4957</v>
      </c>
      <c r="C10" s="59" t="s">
        <v>4958</v>
      </c>
      <c r="D10" s="59" t="s">
        <v>4965</v>
      </c>
      <c r="E10" s="59" t="s">
        <v>4966</v>
      </c>
      <c r="F10" s="59" t="s">
        <v>4961</v>
      </c>
      <c r="G10" s="59" t="s">
        <v>144</v>
      </c>
    </row>
    <row r="11" spans="1:7" ht="11.25" customHeight="1">
      <c r="A11" s="59" t="s">
        <v>14</v>
      </c>
      <c r="B11" s="59" t="s">
        <v>4967</v>
      </c>
      <c r="C11" s="59" t="s">
        <v>4968</v>
      </c>
      <c r="D11" s="59" t="s">
        <v>4967</v>
      </c>
      <c r="E11" s="59" t="s">
        <v>4968</v>
      </c>
      <c r="F11" s="59" t="s">
        <v>4948</v>
      </c>
      <c r="G11" s="59" t="s">
        <v>145</v>
      </c>
    </row>
    <row r="12" spans="1:7" ht="11.25" customHeight="1">
      <c r="A12" s="59" t="s">
        <v>14</v>
      </c>
      <c r="B12" s="59" t="s">
        <v>4969</v>
      </c>
      <c r="C12" s="59" t="s">
        <v>4970</v>
      </c>
      <c r="D12" s="59" t="s">
        <v>4969</v>
      </c>
      <c r="E12" s="59" t="s">
        <v>4970</v>
      </c>
      <c r="F12" s="59" t="s">
        <v>4948</v>
      </c>
      <c r="G12" s="59" t="s">
        <v>146</v>
      </c>
    </row>
    <row r="13" spans="1:7" ht="11.25" customHeight="1">
      <c r="A13" s="59" t="s">
        <v>14</v>
      </c>
      <c r="B13" s="59" t="s">
        <v>4971</v>
      </c>
      <c r="C13" s="59" t="s">
        <v>4972</v>
      </c>
      <c r="D13" s="59" t="s">
        <v>4971</v>
      </c>
      <c r="E13" s="59" t="s">
        <v>4972</v>
      </c>
      <c r="F13" s="59" t="s">
        <v>4948</v>
      </c>
      <c r="G13" s="59" t="s">
        <v>147</v>
      </c>
    </row>
    <row r="14" spans="1:7" ht="11.25" customHeight="1">
      <c r="A14" s="59" t="s">
        <v>14</v>
      </c>
      <c r="B14" s="59" t="s">
        <v>4973</v>
      </c>
      <c r="C14" s="59" t="s">
        <v>4974</v>
      </c>
      <c r="D14" s="59" t="s">
        <v>4973</v>
      </c>
      <c r="E14" s="59" t="s">
        <v>4974</v>
      </c>
      <c r="F14" s="59" t="s">
        <v>4948</v>
      </c>
      <c r="G14" s="59" t="s">
        <v>148</v>
      </c>
    </row>
    <row r="15" spans="1:7" ht="11.25" customHeight="1">
      <c r="A15" s="59" t="s">
        <v>14</v>
      </c>
      <c r="B15" s="59" t="s">
        <v>4975</v>
      </c>
      <c r="C15" s="59" t="s">
        <v>4976</v>
      </c>
      <c r="D15" s="59" t="s">
        <v>4975</v>
      </c>
      <c r="E15" s="59" t="s">
        <v>4976</v>
      </c>
      <c r="F15" s="59" t="s">
        <v>4948</v>
      </c>
      <c r="G15" s="59" t="s">
        <v>149</v>
      </c>
    </row>
    <row r="16" spans="1:7" ht="11.25" customHeight="1">
      <c r="A16" s="59" t="s">
        <v>14</v>
      </c>
      <c r="B16" s="59" t="s">
        <v>4977</v>
      </c>
      <c r="C16" s="59" t="s">
        <v>4978</v>
      </c>
      <c r="D16" s="59" t="s">
        <v>4977</v>
      </c>
      <c r="E16" s="59" t="s">
        <v>4978</v>
      </c>
      <c r="F16" s="59" t="s">
        <v>4948</v>
      </c>
      <c r="G16" s="59" t="s">
        <v>1449</v>
      </c>
    </row>
    <row r="17" spans="1:7" ht="11.25" customHeight="1">
      <c r="A17" s="59" t="s">
        <v>14</v>
      </c>
      <c r="B17" s="59" t="s">
        <v>4979</v>
      </c>
      <c r="C17" s="59" t="s">
        <v>4980</v>
      </c>
      <c r="D17" s="59" t="s">
        <v>4979</v>
      </c>
      <c r="E17" s="59" t="s">
        <v>4980</v>
      </c>
      <c r="F17" s="59" t="s">
        <v>4948</v>
      </c>
      <c r="G17" s="59" t="s">
        <v>1455</v>
      </c>
    </row>
    <row r="18" spans="1:7" ht="11.25" customHeight="1">
      <c r="A18" s="59" t="s">
        <v>14</v>
      </c>
      <c r="B18" s="59" t="s">
        <v>4981</v>
      </c>
      <c r="C18" s="59" t="s">
        <v>4982</v>
      </c>
      <c r="D18" s="59" t="s">
        <v>4981</v>
      </c>
      <c r="E18" s="59" t="s">
        <v>4982</v>
      </c>
      <c r="F18" s="59" t="s">
        <v>4948</v>
      </c>
      <c r="G18" s="59" t="s">
        <v>1466</v>
      </c>
    </row>
    <row r="19" spans="1:7" ht="11.25" customHeight="1">
      <c r="A19" s="59" t="s">
        <v>14</v>
      </c>
      <c r="B19" s="59" t="s">
        <v>4983</v>
      </c>
      <c r="C19" s="59" t="s">
        <v>4984</v>
      </c>
      <c r="D19" s="59" t="s">
        <v>4983</v>
      </c>
      <c r="E19" s="59" t="s">
        <v>4984</v>
      </c>
      <c r="F19" s="59" t="s">
        <v>4948</v>
      </c>
      <c r="G19" s="59" t="s">
        <v>1480</v>
      </c>
    </row>
    <row r="20" spans="1:7" ht="11.25" customHeight="1">
      <c r="A20" s="59" t="s">
        <v>14</v>
      </c>
      <c r="B20" s="59" t="s">
        <v>4985</v>
      </c>
      <c r="C20" s="59" t="s">
        <v>4986</v>
      </c>
      <c r="D20" s="59" t="s">
        <v>4985</v>
      </c>
      <c r="E20" s="59" t="s">
        <v>4986</v>
      </c>
      <c r="F20" s="59" t="s">
        <v>4948</v>
      </c>
      <c r="G20" s="59" t="s">
        <v>1491</v>
      </c>
    </row>
    <row r="21" spans="1:7" ht="11.25" customHeight="1">
      <c r="A21" s="59" t="s">
        <v>14</v>
      </c>
      <c r="B21" s="59" t="s">
        <v>4987</v>
      </c>
      <c r="C21" s="59" t="s">
        <v>4988</v>
      </c>
      <c r="D21" s="59" t="s">
        <v>4987</v>
      </c>
      <c r="E21" s="59" t="s">
        <v>4988</v>
      </c>
      <c r="F21" s="59" t="s">
        <v>4948</v>
      </c>
      <c r="G21" s="59" t="s">
        <v>1500</v>
      </c>
    </row>
    <row r="22" spans="1:7" ht="11.25" customHeight="1">
      <c r="A22" s="59" t="s">
        <v>14</v>
      </c>
      <c r="B22" s="59" t="s">
        <v>4989</v>
      </c>
      <c r="C22" s="59" t="s">
        <v>4990</v>
      </c>
      <c r="D22" s="59" t="s">
        <v>4989</v>
      </c>
      <c r="E22" s="59" t="s">
        <v>4990</v>
      </c>
      <c r="F22" s="59" t="s">
        <v>4948</v>
      </c>
      <c r="G22" s="59" t="s">
        <v>1516</v>
      </c>
    </row>
    <row r="23" spans="1:7" ht="11.25" customHeight="1">
      <c r="A23" s="59" t="s">
        <v>14</v>
      </c>
      <c r="B23" s="59" t="s">
        <v>4991</v>
      </c>
      <c r="C23" s="59" t="s">
        <v>4992</v>
      </c>
      <c r="D23" s="59" t="s">
        <v>4991</v>
      </c>
      <c r="E23" s="59" t="s">
        <v>4992</v>
      </c>
      <c r="F23" s="59" t="s">
        <v>4948</v>
      </c>
      <c r="G23" s="59" t="s">
        <v>1523</v>
      </c>
    </row>
    <row r="24" spans="1:7" ht="11.25" customHeight="1">
      <c r="A24" s="59" t="s">
        <v>14</v>
      </c>
      <c r="B24" s="59" t="s">
        <v>4993</v>
      </c>
      <c r="C24" s="59" t="s">
        <v>4994</v>
      </c>
      <c r="D24" s="59" t="s">
        <v>4993</v>
      </c>
      <c r="E24" s="59" t="s">
        <v>4994</v>
      </c>
      <c r="F24" s="59" t="s">
        <v>4948</v>
      </c>
      <c r="G24" s="59" t="s">
        <v>1531</v>
      </c>
    </row>
    <row r="25" spans="1:7" ht="11.25" customHeight="1">
      <c r="A25" s="59" t="s">
        <v>14</v>
      </c>
      <c r="B25" s="59" t="s">
        <v>4995</v>
      </c>
      <c r="C25" s="59" t="s">
        <v>4996</v>
      </c>
      <c r="D25" s="59" t="s">
        <v>4995</v>
      </c>
      <c r="E25" s="59" t="s">
        <v>4996</v>
      </c>
      <c r="F25" s="59" t="s">
        <v>4948</v>
      </c>
      <c r="G25" s="59" t="s">
        <v>1538</v>
      </c>
    </row>
    <row r="26" spans="1:7" ht="11.25" customHeight="1">
      <c r="A26" s="59" t="s">
        <v>14</v>
      </c>
      <c r="B26" s="59" t="s">
        <v>4997</v>
      </c>
      <c r="C26" s="59" t="s">
        <v>4998</v>
      </c>
      <c r="D26" s="59" t="s">
        <v>4997</v>
      </c>
      <c r="E26" s="59" t="s">
        <v>4998</v>
      </c>
      <c r="F26" s="59" t="s">
        <v>4948</v>
      </c>
      <c r="G26" s="59" t="s">
        <v>1542</v>
      </c>
    </row>
    <row r="27" spans="1:7" ht="11.25" customHeight="1">
      <c r="A27" s="59" t="s">
        <v>14</v>
      </c>
      <c r="B27" s="59" t="s">
        <v>4999</v>
      </c>
      <c r="C27" s="59" t="s">
        <v>5000</v>
      </c>
      <c r="D27" s="59" t="s">
        <v>4999</v>
      </c>
      <c r="E27" s="59" t="s">
        <v>5000</v>
      </c>
      <c r="F27" s="59" t="s">
        <v>4948</v>
      </c>
      <c r="G27" s="59" t="s">
        <v>1547</v>
      </c>
    </row>
    <row r="28" spans="1:7" ht="11.25" customHeight="1">
      <c r="A28" s="59" t="s">
        <v>14</v>
      </c>
      <c r="B28" s="59" t="s">
        <v>5001</v>
      </c>
      <c r="C28" s="59" t="s">
        <v>5002</v>
      </c>
      <c r="D28" s="59" t="s">
        <v>5001</v>
      </c>
      <c r="E28" s="59" t="s">
        <v>5002</v>
      </c>
      <c r="F28" s="59" t="s">
        <v>4948</v>
      </c>
      <c r="G28" s="59" t="s">
        <v>1555</v>
      </c>
    </row>
    <row r="29" spans="1:7" ht="11.25" customHeight="1">
      <c r="A29" s="59" t="s">
        <v>14</v>
      </c>
      <c r="B29" s="59" t="s">
        <v>5003</v>
      </c>
      <c r="C29" s="59" t="s">
        <v>5004</v>
      </c>
      <c r="D29" s="59" t="s">
        <v>5005</v>
      </c>
      <c r="E29" s="59" t="s">
        <v>5006</v>
      </c>
      <c r="F29" s="59" t="s">
        <v>5007</v>
      </c>
      <c r="G29" s="59" t="s">
        <v>1557</v>
      </c>
    </row>
    <row r="30" spans="1:7" ht="11.25" customHeight="1">
      <c r="A30" s="59" t="s">
        <v>14</v>
      </c>
      <c r="B30" s="59" t="s">
        <v>5003</v>
      </c>
      <c r="C30" s="59" t="s">
        <v>5004</v>
      </c>
      <c r="D30" s="59" t="s">
        <v>5008</v>
      </c>
      <c r="E30" s="59" t="s">
        <v>5009</v>
      </c>
      <c r="F30" s="59" t="s">
        <v>4961</v>
      </c>
      <c r="G30" s="59" t="s">
        <v>1560</v>
      </c>
    </row>
    <row r="31" spans="1:7" ht="11.25" customHeight="1">
      <c r="A31" s="59" t="s">
        <v>14</v>
      </c>
      <c r="B31" s="59" t="s">
        <v>5003</v>
      </c>
      <c r="C31" s="59" t="s">
        <v>5004</v>
      </c>
      <c r="D31" s="59" t="s">
        <v>5010</v>
      </c>
      <c r="E31" s="59" t="s">
        <v>5011</v>
      </c>
      <c r="F31" s="59" t="s">
        <v>5012</v>
      </c>
      <c r="G31" s="59" t="s">
        <v>1566</v>
      </c>
    </row>
    <row r="32" spans="1:7" ht="11.25" customHeight="1">
      <c r="A32" s="59" t="s">
        <v>14</v>
      </c>
      <c r="B32" s="59" t="s">
        <v>5003</v>
      </c>
      <c r="C32" s="59" t="s">
        <v>5004</v>
      </c>
      <c r="D32" s="59" t="s">
        <v>5003</v>
      </c>
      <c r="E32" s="59" t="s">
        <v>5004</v>
      </c>
      <c r="F32" s="59" t="s">
        <v>4962</v>
      </c>
      <c r="G32" s="59" t="s">
        <v>1568</v>
      </c>
    </row>
    <row r="33" spans="1:7" ht="11.25" customHeight="1">
      <c r="A33" s="59" t="s">
        <v>14</v>
      </c>
      <c r="B33" s="59" t="s">
        <v>5003</v>
      </c>
      <c r="C33" s="59" t="s">
        <v>5004</v>
      </c>
      <c r="D33" s="59" t="s">
        <v>5013</v>
      </c>
      <c r="E33" s="59" t="s">
        <v>5014</v>
      </c>
      <c r="F33" s="59" t="s">
        <v>5012</v>
      </c>
      <c r="G33" s="59" t="s">
        <v>1570</v>
      </c>
    </row>
    <row r="34" spans="1:7" ht="11.25" customHeight="1">
      <c r="A34" s="59" t="s">
        <v>14</v>
      </c>
      <c r="B34" s="59" t="s">
        <v>5003</v>
      </c>
      <c r="C34" s="59" t="s">
        <v>5004</v>
      </c>
      <c r="D34" s="59" t="s">
        <v>5015</v>
      </c>
      <c r="E34" s="59" t="s">
        <v>5016</v>
      </c>
      <c r="F34" s="59" t="s">
        <v>5007</v>
      </c>
      <c r="G34" s="59" t="s">
        <v>1572</v>
      </c>
    </row>
    <row r="35" spans="1:7" ht="11.25" customHeight="1">
      <c r="A35" s="59" t="s">
        <v>14</v>
      </c>
      <c r="B35" s="59" t="s">
        <v>5003</v>
      </c>
      <c r="C35" s="59" t="s">
        <v>5004</v>
      </c>
      <c r="D35" s="59" t="s">
        <v>5017</v>
      </c>
      <c r="E35" s="59" t="s">
        <v>5018</v>
      </c>
      <c r="F35" s="59" t="s">
        <v>5007</v>
      </c>
      <c r="G35" s="59" t="s">
        <v>1577</v>
      </c>
    </row>
    <row r="36" spans="1:7" ht="11.25" customHeight="1">
      <c r="A36" s="59" t="s">
        <v>14</v>
      </c>
      <c r="B36" s="59" t="s">
        <v>5019</v>
      </c>
      <c r="C36" s="59" t="s">
        <v>5020</v>
      </c>
      <c r="D36" s="59" t="s">
        <v>5019</v>
      </c>
      <c r="E36" s="59" t="s">
        <v>5020</v>
      </c>
      <c r="F36" s="59" t="s">
        <v>4948</v>
      </c>
      <c r="G36" s="59" t="s">
        <v>1582</v>
      </c>
    </row>
    <row r="37" spans="1:7" ht="11.25" customHeight="1">
      <c r="A37" s="59" t="s">
        <v>14</v>
      </c>
      <c r="B37" s="59" t="s">
        <v>5021</v>
      </c>
      <c r="C37" s="59" t="s">
        <v>5022</v>
      </c>
      <c r="D37" s="59" t="s">
        <v>5021</v>
      </c>
      <c r="E37" s="59" t="s">
        <v>5022</v>
      </c>
      <c r="F37" s="59" t="s">
        <v>4948</v>
      </c>
      <c r="G37" s="59" t="s">
        <v>1586</v>
      </c>
    </row>
    <row r="38" spans="1:7" ht="11.25" customHeight="1">
      <c r="A38" s="59" t="s">
        <v>14</v>
      </c>
      <c r="B38" s="59" t="s">
        <v>5023</v>
      </c>
      <c r="C38" s="59" t="s">
        <v>5024</v>
      </c>
      <c r="D38" s="59" t="s">
        <v>5023</v>
      </c>
      <c r="E38" s="59" t="s">
        <v>5024</v>
      </c>
      <c r="F38" s="59" t="s">
        <v>4948</v>
      </c>
      <c r="G38" s="59" t="s">
        <v>1594</v>
      </c>
    </row>
    <row r="39" spans="1:7" ht="11.25" customHeight="1">
      <c r="A39" s="59" t="s">
        <v>14</v>
      </c>
      <c r="B39" s="59" t="s">
        <v>5025</v>
      </c>
      <c r="C39" s="59" t="s">
        <v>5026</v>
      </c>
      <c r="D39" s="59" t="s">
        <v>5025</v>
      </c>
      <c r="E39" s="59" t="s">
        <v>5026</v>
      </c>
      <c r="F39" s="59" t="s">
        <v>4948</v>
      </c>
      <c r="G39" s="59" t="s">
        <v>1600</v>
      </c>
    </row>
    <row r="40" spans="1:7" ht="11.25" customHeight="1">
      <c r="A40" s="59" t="s">
        <v>14</v>
      </c>
      <c r="B40" s="59" t="s">
        <v>5027</v>
      </c>
      <c r="C40" s="59" t="s">
        <v>5028</v>
      </c>
      <c r="D40" s="59" t="s">
        <v>5027</v>
      </c>
      <c r="E40" s="59" t="s">
        <v>5028</v>
      </c>
      <c r="F40" s="59" t="s">
        <v>4948</v>
      </c>
      <c r="G40" s="59" t="s">
        <v>1605</v>
      </c>
    </row>
    <row r="41" spans="1:7" ht="11.25" customHeight="1">
      <c r="A41" s="59" t="s">
        <v>14</v>
      </c>
      <c r="B41" s="59" t="s">
        <v>5029</v>
      </c>
      <c r="C41" s="59" t="s">
        <v>5030</v>
      </c>
      <c r="D41" s="59" t="s">
        <v>5029</v>
      </c>
      <c r="E41" s="59" t="s">
        <v>5030</v>
      </c>
      <c r="F41" s="59" t="s">
        <v>4948</v>
      </c>
      <c r="G41" s="59" t="s">
        <v>1609</v>
      </c>
    </row>
    <row r="42" spans="1:7" ht="11.25" customHeight="1">
      <c r="A42" s="59" t="s">
        <v>14</v>
      </c>
      <c r="B42" s="59" t="s">
        <v>5031</v>
      </c>
      <c r="C42" s="59" t="s">
        <v>5032</v>
      </c>
      <c r="D42" s="59" t="s">
        <v>5031</v>
      </c>
      <c r="E42" s="59" t="s">
        <v>5032</v>
      </c>
      <c r="F42" s="59" t="s">
        <v>4948</v>
      </c>
      <c r="G42" s="59" t="s">
        <v>1612</v>
      </c>
    </row>
    <row r="43" spans="1:7" ht="11.25" customHeight="1">
      <c r="A43" s="59" t="s">
        <v>14</v>
      </c>
      <c r="B43" s="59" t="s">
        <v>96</v>
      </c>
      <c r="C43" s="59" t="s">
        <v>97</v>
      </c>
      <c r="D43" s="59" t="s">
        <v>96</v>
      </c>
      <c r="E43" s="59" t="s">
        <v>97</v>
      </c>
      <c r="F43" s="59" t="s">
        <v>4948</v>
      </c>
      <c r="G43" s="59" t="s">
        <v>95</v>
      </c>
    </row>
    <row r="44" spans="1:7" ht="11.25" customHeight="1">
      <c r="A44" s="59" t="s">
        <v>14</v>
      </c>
      <c r="B44" s="59" t="s">
        <v>5033</v>
      </c>
      <c r="C44" s="59" t="s">
        <v>5034</v>
      </c>
      <c r="D44" s="59" t="s">
        <v>5035</v>
      </c>
      <c r="E44" s="59" t="s">
        <v>5036</v>
      </c>
      <c r="F44" s="59" t="s">
        <v>4961</v>
      </c>
      <c r="G44" s="59" t="s">
        <v>1627</v>
      </c>
    </row>
    <row r="45" spans="1:7" ht="11.25" customHeight="1">
      <c r="A45" s="59" t="s">
        <v>14</v>
      </c>
      <c r="B45" s="59" t="s">
        <v>5033</v>
      </c>
      <c r="C45" s="59" t="s">
        <v>5034</v>
      </c>
      <c r="D45" s="59" t="s">
        <v>5037</v>
      </c>
      <c r="E45" s="59" t="s">
        <v>5038</v>
      </c>
      <c r="F45" s="59" t="s">
        <v>4961</v>
      </c>
      <c r="G45" s="59" t="s">
        <v>1632</v>
      </c>
    </row>
    <row r="46" spans="1:7" ht="11.25" customHeight="1">
      <c r="A46" s="59" t="s">
        <v>14</v>
      </c>
      <c r="B46" s="59" t="s">
        <v>5033</v>
      </c>
      <c r="C46" s="59" t="s">
        <v>5034</v>
      </c>
      <c r="D46" s="59" t="s">
        <v>5033</v>
      </c>
      <c r="E46" s="59" t="s">
        <v>5034</v>
      </c>
      <c r="F46" s="59" t="s">
        <v>4962</v>
      </c>
      <c r="G46" s="59" t="s">
        <v>1636</v>
      </c>
    </row>
    <row r="47" spans="1:7" ht="11.25" customHeight="1">
      <c r="A47" s="59" t="s">
        <v>14</v>
      </c>
      <c r="B47" s="59" t="s">
        <v>5033</v>
      </c>
      <c r="C47" s="59" t="s">
        <v>5034</v>
      </c>
      <c r="D47" s="59" t="s">
        <v>5039</v>
      </c>
      <c r="E47" s="59" t="s">
        <v>5040</v>
      </c>
      <c r="F47" s="59" t="s">
        <v>4961</v>
      </c>
      <c r="G47" s="59" t="s">
        <v>1642</v>
      </c>
    </row>
    <row r="48" spans="1:7" ht="11.25" customHeight="1">
      <c r="A48" s="59" t="s">
        <v>14</v>
      </c>
      <c r="B48" s="59" t="s">
        <v>5033</v>
      </c>
      <c r="C48" s="59" t="s">
        <v>5034</v>
      </c>
      <c r="D48" s="59" t="s">
        <v>5041</v>
      </c>
      <c r="E48" s="59" t="s">
        <v>5042</v>
      </c>
      <c r="F48" s="59" t="s">
        <v>4961</v>
      </c>
      <c r="G48" s="59" t="s">
        <v>1647</v>
      </c>
    </row>
    <row r="49" spans="1:7" ht="11.25" customHeight="1">
      <c r="A49" s="59" t="s">
        <v>14</v>
      </c>
      <c r="B49" s="59" t="s">
        <v>5043</v>
      </c>
      <c r="C49" s="59" t="s">
        <v>5044</v>
      </c>
      <c r="D49" s="59" t="s">
        <v>5043</v>
      </c>
      <c r="E49" s="59" t="s">
        <v>5044</v>
      </c>
      <c r="F49" s="59" t="s">
        <v>4948</v>
      </c>
      <c r="G49" s="59" t="s">
        <v>1650</v>
      </c>
    </row>
    <row r="50" spans="1:7" ht="11.25" customHeight="1">
      <c r="A50" s="59" t="s">
        <v>14</v>
      </c>
      <c r="B50" s="59" t="s">
        <v>5045</v>
      </c>
      <c r="C50" s="59" t="s">
        <v>5046</v>
      </c>
      <c r="D50" s="59" t="s">
        <v>5045</v>
      </c>
      <c r="E50" s="59" t="s">
        <v>5046</v>
      </c>
      <c r="F50" s="59" t="s">
        <v>4948</v>
      </c>
      <c r="G50" s="59" t="s">
        <v>1654</v>
      </c>
    </row>
    <row r="51" spans="1:7" ht="11.25" customHeight="1">
      <c r="A51" s="59" t="s">
        <v>14</v>
      </c>
      <c r="B51" s="59" t="s">
        <v>5047</v>
      </c>
      <c r="C51" s="59" t="s">
        <v>5048</v>
      </c>
      <c r="D51" s="59" t="s">
        <v>5049</v>
      </c>
      <c r="E51" s="59" t="s">
        <v>5050</v>
      </c>
      <c r="F51" s="59" t="s">
        <v>4961</v>
      </c>
      <c r="G51" s="59" t="s">
        <v>1658</v>
      </c>
    </row>
    <row r="52" spans="1:7" ht="11.25" customHeight="1">
      <c r="A52" s="59" t="s">
        <v>14</v>
      </c>
      <c r="B52" s="59" t="s">
        <v>5047</v>
      </c>
      <c r="C52" s="59" t="s">
        <v>5048</v>
      </c>
      <c r="D52" s="59" t="s">
        <v>5051</v>
      </c>
      <c r="E52" s="59" t="s">
        <v>5052</v>
      </c>
      <c r="F52" s="59" t="s">
        <v>5053</v>
      </c>
      <c r="G52" s="59" t="s">
        <v>1662</v>
      </c>
    </row>
    <row r="53" spans="1:7" ht="11.25" customHeight="1">
      <c r="A53" s="59" t="s">
        <v>14</v>
      </c>
      <c r="B53" s="59" t="s">
        <v>5047</v>
      </c>
      <c r="C53" s="59" t="s">
        <v>5048</v>
      </c>
      <c r="D53" s="59" t="s">
        <v>5047</v>
      </c>
      <c r="E53" s="59" t="s">
        <v>5048</v>
      </c>
      <c r="F53" s="59" t="s">
        <v>4962</v>
      </c>
      <c r="G53" s="59" t="s">
        <v>1664</v>
      </c>
    </row>
    <row r="54" spans="1:7" ht="11.25" customHeight="1">
      <c r="A54" s="59" t="s">
        <v>14</v>
      </c>
      <c r="B54" s="59" t="s">
        <v>5047</v>
      </c>
      <c r="C54" s="59" t="s">
        <v>5048</v>
      </c>
      <c r="D54" s="59" t="s">
        <v>5054</v>
      </c>
      <c r="E54" s="59" t="s">
        <v>5055</v>
      </c>
      <c r="F54" s="59" t="s">
        <v>4961</v>
      </c>
      <c r="G54" s="59" t="s">
        <v>1667</v>
      </c>
    </row>
    <row r="55" spans="1:7" ht="11.25" customHeight="1">
      <c r="A55" s="59" t="s">
        <v>14</v>
      </c>
      <c r="B55" s="59" t="s">
        <v>5047</v>
      </c>
      <c r="C55" s="59" t="s">
        <v>5048</v>
      </c>
      <c r="D55" s="59" t="s">
        <v>5056</v>
      </c>
      <c r="E55" s="59" t="s">
        <v>5057</v>
      </c>
      <c r="F55" s="59" t="s">
        <v>4961</v>
      </c>
      <c r="G55" s="59" t="s">
        <v>1671</v>
      </c>
    </row>
    <row r="56" spans="1:7" ht="11.25" customHeight="1">
      <c r="A56" s="59" t="s">
        <v>14</v>
      </c>
      <c r="B56" s="59" t="s">
        <v>5058</v>
      </c>
      <c r="C56" s="59" t="s">
        <v>5059</v>
      </c>
      <c r="D56" s="59" t="s">
        <v>5058</v>
      </c>
      <c r="E56" s="59" t="s">
        <v>5059</v>
      </c>
      <c r="F56" s="59" t="s">
        <v>4948</v>
      </c>
      <c r="G56" s="59" t="s">
        <v>1674</v>
      </c>
    </row>
    <row r="57" spans="1:7" ht="11.25" customHeight="1">
      <c r="A57" s="59" t="s">
        <v>14</v>
      </c>
      <c r="B57" s="59" t="s">
        <v>5060</v>
      </c>
      <c r="C57" s="59" t="s">
        <v>5061</v>
      </c>
      <c r="D57" s="59" t="s">
        <v>5060</v>
      </c>
      <c r="E57" s="59" t="s">
        <v>5061</v>
      </c>
      <c r="F57" s="59" t="s">
        <v>4948</v>
      </c>
      <c r="G57" s="59" t="s">
        <v>1677</v>
      </c>
    </row>
    <row r="58" spans="1:7" ht="11.25" customHeight="1">
      <c r="A58" s="59" t="s">
        <v>14</v>
      </c>
      <c r="B58" s="59" t="s">
        <v>5062</v>
      </c>
      <c r="C58" s="59" t="s">
        <v>5063</v>
      </c>
      <c r="D58" s="59" t="s">
        <v>5062</v>
      </c>
      <c r="E58" s="59" t="s">
        <v>5063</v>
      </c>
      <c r="F58" s="59" t="s">
        <v>4948</v>
      </c>
      <c r="G58" s="59" t="s">
        <v>1680</v>
      </c>
    </row>
    <row r="59" spans="1:7" ht="11.25" customHeight="1">
      <c r="A59" s="59" t="s">
        <v>14</v>
      </c>
      <c r="B59" s="59" t="s">
        <v>5064</v>
      </c>
      <c r="C59" s="59" t="s">
        <v>5065</v>
      </c>
      <c r="D59" s="59" t="s">
        <v>5064</v>
      </c>
      <c r="E59" s="59" t="s">
        <v>5065</v>
      </c>
      <c r="F59" s="59" t="s">
        <v>4948</v>
      </c>
      <c r="G59" s="59" t="s">
        <v>1684</v>
      </c>
    </row>
    <row r="60" spans="1:7" ht="11.25" customHeight="1">
      <c r="A60" s="59" t="s">
        <v>14</v>
      </c>
      <c r="B60" s="59" t="s">
        <v>5066</v>
      </c>
      <c r="C60" s="59" t="s">
        <v>5067</v>
      </c>
      <c r="D60" s="59" t="s">
        <v>5066</v>
      </c>
      <c r="E60" s="59" t="s">
        <v>5067</v>
      </c>
      <c r="F60" s="59" t="s">
        <v>4948</v>
      </c>
      <c r="G60" s="59" t="s">
        <v>1687</v>
      </c>
    </row>
    <row r="61" spans="1:7" ht="11.25" customHeight="1">
      <c r="A61" s="59" t="s">
        <v>14</v>
      </c>
      <c r="B61" s="59" t="s">
        <v>5068</v>
      </c>
      <c r="C61" s="59" t="s">
        <v>5069</v>
      </c>
      <c r="D61" s="59" t="s">
        <v>5068</v>
      </c>
      <c r="E61" s="59" t="s">
        <v>5069</v>
      </c>
      <c r="F61" s="59" t="s">
        <v>4948</v>
      </c>
      <c r="G61" s="59" t="s">
        <v>5070</v>
      </c>
    </row>
    <row r="62" spans="1:7" ht="11.25" customHeight="1">
      <c r="A62" s="59" t="s">
        <v>14</v>
      </c>
      <c r="B62" s="59" t="s">
        <v>5071</v>
      </c>
      <c r="C62" s="59" t="s">
        <v>5072</v>
      </c>
      <c r="D62" s="59" t="s">
        <v>5071</v>
      </c>
      <c r="E62" s="59" t="s">
        <v>5072</v>
      </c>
      <c r="F62" s="59" t="s">
        <v>4948</v>
      </c>
      <c r="G62" s="59" t="s">
        <v>5073</v>
      </c>
    </row>
    <row r="63" spans="1:7" ht="11.25" customHeight="1">
      <c r="A63" s="59" t="s">
        <v>14</v>
      </c>
      <c r="B63" s="59" t="s">
        <v>5074</v>
      </c>
      <c r="C63" s="59" t="s">
        <v>5075</v>
      </c>
      <c r="D63" s="59" t="s">
        <v>5074</v>
      </c>
      <c r="E63" s="59" t="s">
        <v>5075</v>
      </c>
      <c r="F63" s="59" t="s">
        <v>4948</v>
      </c>
      <c r="G63" s="59" t="s">
        <v>5076</v>
      </c>
    </row>
    <row r="64" spans="1:7" ht="11.25" customHeight="1">
      <c r="A64" s="59" t="s">
        <v>14</v>
      </c>
      <c r="B64" s="59" t="s">
        <v>5077</v>
      </c>
      <c r="C64" s="59" t="s">
        <v>5078</v>
      </c>
      <c r="D64" s="59" t="s">
        <v>5077</v>
      </c>
      <c r="E64" s="59" t="s">
        <v>5078</v>
      </c>
      <c r="F64" s="59" t="s">
        <v>4948</v>
      </c>
      <c r="G64" s="59" t="s">
        <v>5079</v>
      </c>
    </row>
    <row r="65" spans="1:7" ht="11.25" customHeight="1">
      <c r="A65" s="59" t="s">
        <v>14</v>
      </c>
      <c r="B65" s="59" t="s">
        <v>5080</v>
      </c>
      <c r="C65" s="59" t="s">
        <v>5081</v>
      </c>
      <c r="D65" s="59" t="s">
        <v>5080</v>
      </c>
      <c r="E65" s="59" t="s">
        <v>5081</v>
      </c>
      <c r="F65" s="59" t="s">
        <v>4948</v>
      </c>
      <c r="G65" s="59" t="s">
        <v>5082</v>
      </c>
    </row>
    <row r="66" spans="1:7" ht="11.25" customHeight="1">
      <c r="A66" s="59" t="s">
        <v>14</v>
      </c>
      <c r="B66" s="59" t="s">
        <v>5083</v>
      </c>
      <c r="C66" s="59" t="s">
        <v>5084</v>
      </c>
      <c r="D66" s="59" t="s">
        <v>5083</v>
      </c>
      <c r="E66" s="59" t="s">
        <v>5084</v>
      </c>
      <c r="F66" s="59" t="s">
        <v>4948</v>
      </c>
      <c r="G66" s="59" t="s">
        <v>5085</v>
      </c>
    </row>
    <row r="67" spans="1:7" ht="11.25" customHeight="1">
      <c r="A67" s="59" t="s">
        <v>14</v>
      </c>
      <c r="B67" s="59" t="s">
        <v>5086</v>
      </c>
      <c r="C67" s="59" t="s">
        <v>5087</v>
      </c>
      <c r="D67" s="59" t="s">
        <v>5086</v>
      </c>
      <c r="E67" s="59" t="s">
        <v>5087</v>
      </c>
      <c r="F67" s="59" t="s">
        <v>4948</v>
      </c>
      <c r="G67" s="59" t="s">
        <v>1908</v>
      </c>
    </row>
    <row r="68" spans="1:7" ht="11.25" customHeight="1">
      <c r="A68" s="59" t="s">
        <v>14</v>
      </c>
      <c r="B68" s="59" t="s">
        <v>5088</v>
      </c>
      <c r="C68" s="59" t="s">
        <v>5089</v>
      </c>
      <c r="D68" s="59" t="s">
        <v>5088</v>
      </c>
      <c r="E68" s="59" t="s">
        <v>5089</v>
      </c>
      <c r="F68" s="59" t="s">
        <v>4948</v>
      </c>
      <c r="G68" s="59" t="s">
        <v>5090</v>
      </c>
    </row>
    <row r="69" spans="1:7" ht="11.25" customHeight="1">
      <c r="A69" s="59" t="s">
        <v>14</v>
      </c>
      <c r="B69" s="59" t="s">
        <v>5091</v>
      </c>
      <c r="C69" s="59" t="s">
        <v>5092</v>
      </c>
      <c r="D69" s="59" t="s">
        <v>5091</v>
      </c>
      <c r="E69" s="59" t="s">
        <v>5092</v>
      </c>
      <c r="F69" s="59" t="s">
        <v>4948</v>
      </c>
      <c r="G69" s="59" t="s">
        <v>2119</v>
      </c>
    </row>
    <row r="70" spans="1:7" ht="11.25" customHeight="1">
      <c r="A70" s="59" t="s">
        <v>14</v>
      </c>
      <c r="B70" s="59" t="s">
        <v>5093</v>
      </c>
      <c r="C70" s="59" t="s">
        <v>5094</v>
      </c>
      <c r="D70" s="59" t="s">
        <v>5093</v>
      </c>
      <c r="E70" s="59" t="s">
        <v>5094</v>
      </c>
      <c r="F70" s="59" t="s">
        <v>4948</v>
      </c>
      <c r="G70" s="59" t="s">
        <v>5095</v>
      </c>
    </row>
    <row r="71" spans="1:7" ht="11.25" customHeight="1">
      <c r="A71" s="59" t="s">
        <v>14</v>
      </c>
      <c r="B71" s="59" t="s">
        <v>5096</v>
      </c>
      <c r="C71" s="59" t="s">
        <v>5097</v>
      </c>
      <c r="D71" s="59" t="s">
        <v>5096</v>
      </c>
      <c r="E71" s="59" t="s">
        <v>5097</v>
      </c>
      <c r="F71" s="59" t="s">
        <v>4948</v>
      </c>
      <c r="G71" s="59" t="s">
        <v>5098</v>
      </c>
    </row>
    <row r="72" spans="1:7" ht="11.25" customHeight="1">
      <c r="A72" s="59" t="s">
        <v>14</v>
      </c>
      <c r="B72" s="59" t="s">
        <v>5099</v>
      </c>
      <c r="C72" s="59" t="s">
        <v>5100</v>
      </c>
      <c r="D72" s="59" t="s">
        <v>5099</v>
      </c>
      <c r="E72" s="59" t="s">
        <v>5100</v>
      </c>
      <c r="F72" s="59" t="s">
        <v>4948</v>
      </c>
      <c r="G72" s="59" t="s">
        <v>5101</v>
      </c>
    </row>
    <row r="73" spans="1:7" ht="11.25" customHeight="1">
      <c r="A73" s="59" t="s">
        <v>14</v>
      </c>
      <c r="B73" s="59" t="s">
        <v>5102</v>
      </c>
      <c r="C73" s="59" t="s">
        <v>5103</v>
      </c>
      <c r="D73" s="59" t="s">
        <v>5102</v>
      </c>
      <c r="E73" s="59" t="s">
        <v>5103</v>
      </c>
      <c r="F73" s="59" t="s">
        <v>4948</v>
      </c>
      <c r="G73" s="59" t="s">
        <v>5104</v>
      </c>
    </row>
    <row r="74" spans="1:7" ht="11.25" customHeight="1">
      <c r="A74" s="59" t="s">
        <v>14</v>
      </c>
      <c r="B74" s="59" t="s">
        <v>5105</v>
      </c>
      <c r="C74" s="59" t="s">
        <v>5106</v>
      </c>
      <c r="D74" s="59" t="s">
        <v>5105</v>
      </c>
      <c r="E74" s="59" t="s">
        <v>5106</v>
      </c>
      <c r="F74" s="59" t="s">
        <v>4948</v>
      </c>
      <c r="G74" s="59" t="s">
        <v>5107</v>
      </c>
    </row>
    <row r="75" spans="1:7" ht="11.25" customHeight="1">
      <c r="A75" s="59" t="s">
        <v>14</v>
      </c>
      <c r="B75" s="59" t="s">
        <v>5108</v>
      </c>
      <c r="C75" s="59" t="s">
        <v>5109</v>
      </c>
      <c r="D75" s="59" t="s">
        <v>5108</v>
      </c>
      <c r="E75" s="59" t="s">
        <v>5109</v>
      </c>
      <c r="F75" s="59" t="s">
        <v>4948</v>
      </c>
      <c r="G75" s="59" t="s">
        <v>5110</v>
      </c>
    </row>
    <row r="76" spans="1:7" ht="11.25" customHeight="1">
      <c r="A76" s="59" t="s">
        <v>14</v>
      </c>
      <c r="B76" s="59" t="s">
        <v>5111</v>
      </c>
      <c r="C76" s="59" t="s">
        <v>5112</v>
      </c>
      <c r="D76" s="59" t="s">
        <v>5111</v>
      </c>
      <c r="E76" s="59" t="s">
        <v>5112</v>
      </c>
      <c r="F76" s="59" t="s">
        <v>4948</v>
      </c>
      <c r="G76" s="59" t="s">
        <v>5113</v>
      </c>
    </row>
    <row r="77" spans="1:7" ht="11.25" customHeight="1">
      <c r="A77" s="59" t="s">
        <v>14</v>
      </c>
      <c r="B77" s="59" t="s">
        <v>5114</v>
      </c>
      <c r="C77" s="59" t="s">
        <v>5115</v>
      </c>
      <c r="D77" s="59" t="s">
        <v>5114</v>
      </c>
      <c r="E77" s="59" t="s">
        <v>5115</v>
      </c>
      <c r="F77" s="59" t="s">
        <v>4948</v>
      </c>
      <c r="G77" s="59" t="s">
        <v>5116</v>
      </c>
    </row>
    <row r="78" spans="1:7" ht="11.25" customHeight="1">
      <c r="A78" s="59" t="s">
        <v>14</v>
      </c>
      <c r="B78" s="59" t="s">
        <v>5117</v>
      </c>
      <c r="C78" s="59" t="s">
        <v>5118</v>
      </c>
      <c r="D78" s="59" t="s">
        <v>5117</v>
      </c>
      <c r="E78" s="59" t="s">
        <v>5118</v>
      </c>
      <c r="F78" s="59" t="s">
        <v>4948</v>
      </c>
      <c r="G78" s="59" t="s">
        <v>5119</v>
      </c>
    </row>
    <row r="79" spans="1:7" ht="11.25" customHeight="1">
      <c r="A79" s="59" t="s">
        <v>14</v>
      </c>
      <c r="B79" s="59" t="s">
        <v>5120</v>
      </c>
      <c r="C79" s="59" t="s">
        <v>5121</v>
      </c>
      <c r="D79" s="59" t="s">
        <v>5120</v>
      </c>
      <c r="E79" s="59" t="s">
        <v>5121</v>
      </c>
      <c r="F79" s="59" t="s">
        <v>4948</v>
      </c>
      <c r="G79" s="59" t="s">
        <v>5122</v>
      </c>
    </row>
    <row r="80" spans="1:7" ht="11.25" customHeight="1">
      <c r="A80" s="59" t="s">
        <v>14</v>
      </c>
      <c r="B80" s="59" t="s">
        <v>5123</v>
      </c>
      <c r="C80" s="59" t="s">
        <v>5124</v>
      </c>
      <c r="D80" s="59" t="s">
        <v>5123</v>
      </c>
      <c r="E80" s="59" t="s">
        <v>5124</v>
      </c>
      <c r="F80" s="59" t="s">
        <v>4948</v>
      </c>
      <c r="G80" s="59" t="s">
        <v>5125</v>
      </c>
    </row>
    <row r="81" spans="1:7" ht="11.25" customHeight="1">
      <c r="A81" s="59" t="s">
        <v>14</v>
      </c>
      <c r="B81" s="59" t="s">
        <v>5126</v>
      </c>
      <c r="C81" s="59" t="s">
        <v>5127</v>
      </c>
      <c r="D81" s="59" t="s">
        <v>5126</v>
      </c>
      <c r="E81" s="59" t="s">
        <v>5127</v>
      </c>
      <c r="F81" s="59" t="s">
        <v>4948</v>
      </c>
      <c r="G81" s="59" t="s">
        <v>5128</v>
      </c>
    </row>
    <row r="82" spans="1:7" ht="11.25" customHeight="1">
      <c r="A82" s="59" t="s">
        <v>14</v>
      </c>
      <c r="B82" s="59" t="s">
        <v>5129</v>
      </c>
      <c r="C82" s="59" t="s">
        <v>5130</v>
      </c>
      <c r="D82" s="59" t="s">
        <v>5129</v>
      </c>
      <c r="E82" s="59" t="s">
        <v>5130</v>
      </c>
      <c r="F82" s="59" t="s">
        <v>4948</v>
      </c>
      <c r="G82" s="59" t="s">
        <v>5131</v>
      </c>
    </row>
    <row r="83" spans="1:7" ht="11.25" customHeight="1">
      <c r="A83" s="59" t="s">
        <v>14</v>
      </c>
      <c r="B83" s="59" t="s">
        <v>5132</v>
      </c>
      <c r="C83" s="59" t="s">
        <v>5133</v>
      </c>
      <c r="D83" s="59" t="s">
        <v>5132</v>
      </c>
      <c r="E83" s="59" t="s">
        <v>5133</v>
      </c>
      <c r="F83" s="59" t="s">
        <v>4948</v>
      </c>
      <c r="G83" s="59" t="s">
        <v>5134</v>
      </c>
    </row>
    <row r="84" spans="1:7" ht="11.25" customHeight="1">
      <c r="A84" s="59" t="s">
        <v>14</v>
      </c>
      <c r="B84" s="59" t="s">
        <v>5135</v>
      </c>
      <c r="C84" s="59" t="s">
        <v>5136</v>
      </c>
      <c r="D84" s="59" t="s">
        <v>5135</v>
      </c>
      <c r="E84" s="59" t="s">
        <v>5136</v>
      </c>
      <c r="F84" s="59" t="s">
        <v>4948</v>
      </c>
      <c r="G84" s="59" t="s">
        <v>5137</v>
      </c>
    </row>
    <row r="85" spans="1:7" ht="11.25" customHeight="1">
      <c r="A85" s="59" t="s">
        <v>14</v>
      </c>
      <c r="B85" s="59" t="s">
        <v>5138</v>
      </c>
      <c r="C85" s="59" t="s">
        <v>5139</v>
      </c>
      <c r="D85" s="59" t="s">
        <v>5138</v>
      </c>
      <c r="E85" s="59" t="s">
        <v>5139</v>
      </c>
      <c r="F85" s="59" t="s">
        <v>4948</v>
      </c>
      <c r="G85" s="59" t="s">
        <v>5140</v>
      </c>
    </row>
    <row r="86" spans="1:7" ht="11.25" customHeight="1">
      <c r="A86" s="59" t="s">
        <v>14</v>
      </c>
      <c r="B86" s="59" t="s">
        <v>5141</v>
      </c>
      <c r="C86" s="59" t="s">
        <v>5142</v>
      </c>
      <c r="D86" s="59" t="s">
        <v>5141</v>
      </c>
      <c r="E86" s="59" t="s">
        <v>5142</v>
      </c>
      <c r="F86" s="59" t="s">
        <v>4948</v>
      </c>
      <c r="G86" s="59" t="s">
        <v>5143</v>
      </c>
    </row>
    <row r="87" spans="1:7" ht="11.25" customHeight="1">
      <c r="A87" s="59" t="s">
        <v>14</v>
      </c>
      <c r="B87" s="59" t="s">
        <v>5144</v>
      </c>
      <c r="C87" s="59" t="s">
        <v>5145</v>
      </c>
      <c r="D87" s="59" t="s">
        <v>5146</v>
      </c>
      <c r="E87" s="59" t="s">
        <v>5147</v>
      </c>
      <c r="F87" s="59" t="s">
        <v>4961</v>
      </c>
      <c r="G87" s="59" t="s">
        <v>5148</v>
      </c>
    </row>
    <row r="88" spans="1:7" ht="11.25" customHeight="1">
      <c r="A88" s="59" t="s">
        <v>14</v>
      </c>
      <c r="B88" s="59" t="s">
        <v>5144</v>
      </c>
      <c r="C88" s="59" t="s">
        <v>5145</v>
      </c>
      <c r="D88" s="59" t="s">
        <v>5149</v>
      </c>
      <c r="E88" s="59" t="s">
        <v>5150</v>
      </c>
      <c r="F88" s="59" t="s">
        <v>4961</v>
      </c>
      <c r="G88" s="59" t="s">
        <v>5151</v>
      </c>
    </row>
    <row r="89" spans="1:7" ht="11.25" customHeight="1">
      <c r="A89" s="59" t="s">
        <v>14</v>
      </c>
      <c r="B89" s="59" t="s">
        <v>5144</v>
      </c>
      <c r="C89" s="59" t="s">
        <v>5145</v>
      </c>
      <c r="D89" s="59" t="s">
        <v>5152</v>
      </c>
      <c r="E89" s="59" t="s">
        <v>5153</v>
      </c>
      <c r="F89" s="59" t="s">
        <v>4961</v>
      </c>
      <c r="G89" s="59" t="s">
        <v>5154</v>
      </c>
    </row>
    <row r="90" spans="1:7" ht="11.25" customHeight="1">
      <c r="A90" s="59" t="s">
        <v>14</v>
      </c>
      <c r="B90" s="59" t="s">
        <v>5144</v>
      </c>
      <c r="C90" s="59" t="s">
        <v>5145</v>
      </c>
      <c r="D90" s="59" t="s">
        <v>5155</v>
      </c>
      <c r="E90" s="59" t="s">
        <v>5156</v>
      </c>
      <c r="F90" s="59" t="s">
        <v>4961</v>
      </c>
      <c r="G90" s="59" t="s">
        <v>5157</v>
      </c>
    </row>
    <row r="91" spans="1:7" ht="11.25" customHeight="1">
      <c r="A91" s="59" t="s">
        <v>14</v>
      </c>
      <c r="B91" s="59" t="s">
        <v>5144</v>
      </c>
      <c r="C91" s="59" t="s">
        <v>5145</v>
      </c>
      <c r="D91" s="59" t="s">
        <v>5158</v>
      </c>
      <c r="E91" s="59" t="s">
        <v>5159</v>
      </c>
      <c r="F91" s="59" t="s">
        <v>4961</v>
      </c>
      <c r="G91" s="59" t="s">
        <v>5160</v>
      </c>
    </row>
    <row r="92" spans="1:7" ht="11.25" customHeight="1">
      <c r="A92" s="59" t="s">
        <v>14</v>
      </c>
      <c r="B92" s="59" t="s">
        <v>5144</v>
      </c>
      <c r="C92" s="59" t="s">
        <v>5145</v>
      </c>
      <c r="D92" s="59" t="s">
        <v>5144</v>
      </c>
      <c r="E92" s="59" t="s">
        <v>5145</v>
      </c>
      <c r="F92" s="59" t="s">
        <v>4962</v>
      </c>
      <c r="G92" s="59" t="s">
        <v>5161</v>
      </c>
    </row>
    <row r="93" spans="1:7" ht="11.25" customHeight="1">
      <c r="A93" s="59" t="s">
        <v>14</v>
      </c>
      <c r="B93" s="59" t="s">
        <v>5162</v>
      </c>
      <c r="C93" s="59" t="s">
        <v>5163</v>
      </c>
      <c r="D93" s="59" t="s">
        <v>5162</v>
      </c>
      <c r="E93" s="59" t="s">
        <v>5163</v>
      </c>
      <c r="F93" s="59" t="s">
        <v>4948</v>
      </c>
      <c r="G93" s="59" t="s">
        <v>5164</v>
      </c>
    </row>
    <row r="94" spans="1:7" ht="11.25" customHeight="1">
      <c r="A94" s="59" t="s">
        <v>14</v>
      </c>
      <c r="B94" s="59" t="s">
        <v>5165</v>
      </c>
      <c r="C94" s="59" t="s">
        <v>5166</v>
      </c>
      <c r="D94" s="59" t="s">
        <v>5165</v>
      </c>
      <c r="E94" s="59" t="s">
        <v>5166</v>
      </c>
      <c r="F94" s="59" t="s">
        <v>4948</v>
      </c>
      <c r="G94" s="59" t="s">
        <v>5167</v>
      </c>
    </row>
    <row r="95" spans="1:7" ht="11.25" customHeight="1">
      <c r="A95" s="59" t="s">
        <v>14</v>
      </c>
      <c r="B95" s="59" t="s">
        <v>5168</v>
      </c>
      <c r="C95" s="59" t="s">
        <v>5169</v>
      </c>
      <c r="D95" s="59" t="s">
        <v>5168</v>
      </c>
      <c r="E95" s="59" t="s">
        <v>5169</v>
      </c>
      <c r="F95" s="59" t="s">
        <v>4948</v>
      </c>
      <c r="G95" s="59" t="s">
        <v>5170</v>
      </c>
    </row>
    <row r="96" spans="1:7" ht="11.25" customHeight="1">
      <c r="A96" s="59" t="s">
        <v>14</v>
      </c>
      <c r="B96" s="59" t="s">
        <v>5171</v>
      </c>
      <c r="C96" s="59" t="s">
        <v>5172</v>
      </c>
      <c r="D96" s="59" t="s">
        <v>5171</v>
      </c>
      <c r="E96" s="59" t="s">
        <v>5172</v>
      </c>
      <c r="F96" s="59" t="s">
        <v>4948</v>
      </c>
      <c r="G96" s="59" t="s">
        <v>5173</v>
      </c>
    </row>
  </sheetData>
  <pageMargins left="0.7" right="0.7" top="0.625" bottom="0.62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48"/>
  <sheetViews>
    <sheetView showGridLines="0" zoomScaleNormal="100" workbookViewId="0"/>
  </sheetViews>
  <sheetFormatPr defaultColWidth="9.140625" defaultRowHeight="11.25"/>
  <cols>
    <col min="1" max="4" width="9.140625" style="605"/>
  </cols>
  <sheetData>
    <row r="1" spans="1:4" ht="11.25" customHeight="1">
      <c r="A1" s="605" t="s">
        <v>5174</v>
      </c>
      <c r="B1" s="605" t="s">
        <v>5175</v>
      </c>
      <c r="C1" s="605" t="s">
        <v>5176</v>
      </c>
      <c r="D1" s="605" t="s">
        <v>5177</v>
      </c>
    </row>
    <row r="2" spans="1:4" ht="11.25" customHeight="1">
      <c r="A2" s="605" t="s">
        <v>105</v>
      </c>
      <c r="B2" s="605" t="s">
        <v>5178</v>
      </c>
      <c r="C2" s="605" t="s">
        <v>5179</v>
      </c>
      <c r="D2" s="605" t="s">
        <v>5180</v>
      </c>
    </row>
    <row r="3" spans="1:4" ht="11.25" customHeight="1">
      <c r="A3" s="605" t="s">
        <v>106</v>
      </c>
      <c r="B3" s="605" t="s">
        <v>5181</v>
      </c>
      <c r="C3" s="605" t="s">
        <v>5182</v>
      </c>
      <c r="D3" s="605" t="s">
        <v>5183</v>
      </c>
    </row>
    <row r="4" spans="1:4" ht="11.25" customHeight="1">
      <c r="A4" s="605" t="s">
        <v>86</v>
      </c>
      <c r="B4" s="605" t="s">
        <v>5184</v>
      </c>
      <c r="C4" s="605" t="s">
        <v>5185</v>
      </c>
      <c r="D4" s="605" t="s">
        <v>5186</v>
      </c>
    </row>
    <row r="5" spans="1:4" ht="11.25" customHeight="1">
      <c r="A5" s="605" t="s">
        <v>87</v>
      </c>
      <c r="B5" s="605" t="s">
        <v>5187</v>
      </c>
      <c r="C5" s="605" t="s">
        <v>5185</v>
      </c>
      <c r="D5" s="605" t="s">
        <v>5180</v>
      </c>
    </row>
    <row r="6" spans="1:4" ht="11.25" customHeight="1">
      <c r="A6" s="605" t="s">
        <v>107</v>
      </c>
      <c r="B6" s="605" t="s">
        <v>5188</v>
      </c>
      <c r="C6" s="605" t="s">
        <v>5189</v>
      </c>
      <c r="D6" s="605" t="s">
        <v>5190</v>
      </c>
    </row>
    <row r="7" spans="1:4" ht="11.25" customHeight="1">
      <c r="A7" s="605" t="s">
        <v>88</v>
      </c>
      <c r="B7" s="605" t="s">
        <v>5191</v>
      </c>
      <c r="C7" s="605" t="s">
        <v>5192</v>
      </c>
      <c r="D7" s="605" t="s">
        <v>5193</v>
      </c>
    </row>
    <row r="8" spans="1:4" ht="11.25" customHeight="1">
      <c r="A8" s="605" t="s">
        <v>89</v>
      </c>
      <c r="B8" s="605" t="s">
        <v>5194</v>
      </c>
      <c r="C8" s="605" t="s">
        <v>5195</v>
      </c>
      <c r="D8" s="605" t="s">
        <v>5183</v>
      </c>
    </row>
    <row r="9" spans="1:4" ht="11.25" customHeight="1">
      <c r="A9" s="605" t="s">
        <v>108</v>
      </c>
      <c r="B9" s="605" t="s">
        <v>5196</v>
      </c>
      <c r="C9" s="605" t="s">
        <v>5197</v>
      </c>
      <c r="D9" s="605" t="s">
        <v>5183</v>
      </c>
    </row>
    <row r="10" spans="1:4" ht="11.25" customHeight="1">
      <c r="A10" s="605" t="s">
        <v>144</v>
      </c>
      <c r="B10" s="605" t="s">
        <v>5198</v>
      </c>
      <c r="C10" s="605" t="s">
        <v>5199</v>
      </c>
      <c r="D10" s="605" t="s">
        <v>5183</v>
      </c>
    </row>
    <row r="11" spans="1:4" ht="11.25" customHeight="1">
      <c r="A11" s="605" t="s">
        <v>145</v>
      </c>
      <c r="B11" s="605" t="s">
        <v>5200</v>
      </c>
      <c r="C11" s="605" t="s">
        <v>5201</v>
      </c>
      <c r="D11" s="605" t="s">
        <v>5202</v>
      </c>
    </row>
    <row r="12" spans="1:4" ht="11.25" customHeight="1">
      <c r="A12" s="605" t="s">
        <v>146</v>
      </c>
      <c r="B12" s="605" t="s">
        <v>5203</v>
      </c>
      <c r="C12" s="605" t="s">
        <v>5204</v>
      </c>
      <c r="D12" s="605" t="s">
        <v>5205</v>
      </c>
    </row>
    <row r="13" spans="1:4" ht="11.25" customHeight="1">
      <c r="A13" s="605" t="s">
        <v>147</v>
      </c>
      <c r="B13" s="605" t="s">
        <v>5206</v>
      </c>
      <c r="C13" s="605" t="s">
        <v>5204</v>
      </c>
      <c r="D13" s="605" t="s">
        <v>5207</v>
      </c>
    </row>
    <row r="14" spans="1:4" ht="11.25" customHeight="1">
      <c r="A14" s="605" t="s">
        <v>148</v>
      </c>
      <c r="B14" s="605" t="s">
        <v>5208</v>
      </c>
      <c r="C14" s="605" t="s">
        <v>5204</v>
      </c>
      <c r="D14" s="605" t="s">
        <v>5183</v>
      </c>
    </row>
    <row r="15" spans="1:4" ht="11.25" customHeight="1">
      <c r="A15" s="605" t="s">
        <v>149</v>
      </c>
      <c r="B15" s="605" t="s">
        <v>5209</v>
      </c>
      <c r="C15" s="605" t="s">
        <v>5210</v>
      </c>
      <c r="D15" s="605" t="s">
        <v>5183</v>
      </c>
    </row>
    <row r="16" spans="1:4" ht="11.25" customHeight="1">
      <c r="A16" s="605" t="s">
        <v>1449</v>
      </c>
      <c r="B16" s="605" t="s">
        <v>5211</v>
      </c>
      <c r="C16" s="605" t="s">
        <v>5204</v>
      </c>
      <c r="D16" s="605" t="s">
        <v>5202</v>
      </c>
    </row>
    <row r="17" spans="1:4" ht="11.25" customHeight="1">
      <c r="A17" s="605" t="s">
        <v>1455</v>
      </c>
      <c r="B17" s="605" t="s">
        <v>5212</v>
      </c>
      <c r="C17" s="605" t="s">
        <v>5213</v>
      </c>
      <c r="D17" s="605" t="s">
        <v>5183</v>
      </c>
    </row>
    <row r="18" spans="1:4" ht="11.25" customHeight="1">
      <c r="A18" s="605" t="s">
        <v>1466</v>
      </c>
      <c r="B18" s="605" t="s">
        <v>5214</v>
      </c>
      <c r="C18" s="605" t="s">
        <v>5215</v>
      </c>
      <c r="D18" s="605" t="s">
        <v>5180</v>
      </c>
    </row>
    <row r="19" spans="1:4" ht="11.25" customHeight="1">
      <c r="A19" s="605" t="s">
        <v>1480</v>
      </c>
      <c r="B19" s="605" t="s">
        <v>5216</v>
      </c>
      <c r="C19" s="605" t="s">
        <v>5217</v>
      </c>
      <c r="D19" s="605" t="s">
        <v>5183</v>
      </c>
    </row>
    <row r="20" spans="1:4" ht="11.25" customHeight="1">
      <c r="A20" s="605" t="s">
        <v>1491</v>
      </c>
      <c r="B20" s="605" t="s">
        <v>5218</v>
      </c>
      <c r="C20" s="605" t="s">
        <v>5217</v>
      </c>
      <c r="D20" s="605" t="s">
        <v>5180</v>
      </c>
    </row>
    <row r="21" spans="1:4" ht="11.25" customHeight="1">
      <c r="A21" s="605" t="s">
        <v>1500</v>
      </c>
      <c r="B21" s="605" t="s">
        <v>5219</v>
      </c>
      <c r="C21" s="605" t="s">
        <v>5220</v>
      </c>
      <c r="D21" s="605" t="s">
        <v>5183</v>
      </c>
    </row>
    <row r="22" spans="1:4" ht="11.25" customHeight="1">
      <c r="A22" s="605" t="s">
        <v>1516</v>
      </c>
      <c r="B22" s="605" t="s">
        <v>5221</v>
      </c>
      <c r="C22" s="605" t="s">
        <v>5222</v>
      </c>
      <c r="D22" s="605" t="s">
        <v>5202</v>
      </c>
    </row>
    <row r="23" spans="1:4" ht="11.25" customHeight="1">
      <c r="A23" s="605" t="s">
        <v>1523</v>
      </c>
      <c r="B23" s="605" t="s">
        <v>5223</v>
      </c>
      <c r="C23" s="605" t="s">
        <v>5224</v>
      </c>
      <c r="D23" s="605" t="s">
        <v>5183</v>
      </c>
    </row>
    <row r="24" spans="1:4" ht="11.25" customHeight="1">
      <c r="A24" s="605" t="s">
        <v>1531</v>
      </c>
      <c r="B24" s="605" t="s">
        <v>5225</v>
      </c>
      <c r="C24" s="605" t="s">
        <v>5226</v>
      </c>
      <c r="D24" s="605" t="s">
        <v>5227</v>
      </c>
    </row>
    <row r="25" spans="1:4" ht="11.25" customHeight="1">
      <c r="A25" s="605" t="s">
        <v>1538</v>
      </c>
      <c r="B25" s="605" t="s">
        <v>5228</v>
      </c>
      <c r="C25" s="605" t="s">
        <v>5226</v>
      </c>
      <c r="D25" s="605" t="s">
        <v>5183</v>
      </c>
    </row>
    <row r="26" spans="1:4" ht="11.25" customHeight="1">
      <c r="A26" s="605" t="s">
        <v>1542</v>
      </c>
      <c r="B26" s="605" t="s">
        <v>5229</v>
      </c>
      <c r="C26" s="605" t="s">
        <v>5226</v>
      </c>
      <c r="D26" s="605" t="s">
        <v>5207</v>
      </c>
    </row>
    <row r="27" spans="1:4" ht="11.25" customHeight="1">
      <c r="A27" s="605" t="s">
        <v>1547</v>
      </c>
      <c r="B27" s="605" t="s">
        <v>5230</v>
      </c>
      <c r="C27" s="605" t="s">
        <v>5220</v>
      </c>
      <c r="D27" s="605" t="s">
        <v>5183</v>
      </c>
    </row>
    <row r="28" spans="1:4" ht="11.25" customHeight="1">
      <c r="A28" s="605" t="s">
        <v>1555</v>
      </c>
      <c r="B28" s="605" t="s">
        <v>5231</v>
      </c>
      <c r="C28" s="605" t="s">
        <v>5220</v>
      </c>
      <c r="D28" s="605" t="s">
        <v>5183</v>
      </c>
    </row>
    <row r="29" spans="1:4" ht="11.25" customHeight="1">
      <c r="A29" s="605" t="s">
        <v>1557</v>
      </c>
      <c r="B29" s="605" t="s">
        <v>5232</v>
      </c>
      <c r="C29" s="605" t="s">
        <v>5233</v>
      </c>
      <c r="D29" s="605" t="s">
        <v>5183</v>
      </c>
    </row>
    <row r="30" spans="1:4" ht="11.25" customHeight="1">
      <c r="A30" s="605" t="s">
        <v>1560</v>
      </c>
      <c r="B30" s="605" t="s">
        <v>5234</v>
      </c>
      <c r="C30" s="605" t="s">
        <v>5235</v>
      </c>
      <c r="D30" s="605" t="s">
        <v>5183</v>
      </c>
    </row>
    <row r="31" spans="1:4" ht="11.25" customHeight="1">
      <c r="A31" s="605" t="s">
        <v>1566</v>
      </c>
      <c r="B31" s="605" t="s">
        <v>5236</v>
      </c>
      <c r="C31" s="605" t="s">
        <v>5237</v>
      </c>
      <c r="D31" s="605" t="s">
        <v>5207</v>
      </c>
    </row>
    <row r="32" spans="1:4" ht="11.25" customHeight="1">
      <c r="A32" s="605" t="s">
        <v>1568</v>
      </c>
      <c r="B32" s="605" t="s">
        <v>5238</v>
      </c>
      <c r="C32" s="605" t="s">
        <v>5237</v>
      </c>
      <c r="D32" s="605" t="s">
        <v>5239</v>
      </c>
    </row>
    <row r="33" spans="1:4" ht="11.25" customHeight="1">
      <c r="A33" s="605" t="s">
        <v>1570</v>
      </c>
      <c r="B33" s="605" t="s">
        <v>5240</v>
      </c>
      <c r="C33" s="605" t="s">
        <v>5241</v>
      </c>
      <c r="D33" s="605" t="s">
        <v>5183</v>
      </c>
    </row>
    <row r="34" spans="1:4" ht="11.25" customHeight="1">
      <c r="A34" s="605" t="s">
        <v>1572</v>
      </c>
      <c r="B34" s="605" t="s">
        <v>5242</v>
      </c>
      <c r="C34" s="605" t="s">
        <v>5241</v>
      </c>
      <c r="D34" s="605" t="s">
        <v>5243</v>
      </c>
    </row>
    <row r="35" spans="1:4" ht="11.25" customHeight="1">
      <c r="A35" s="605" t="s">
        <v>1577</v>
      </c>
      <c r="B35" s="605" t="s">
        <v>5244</v>
      </c>
      <c r="C35" s="605" t="s">
        <v>5245</v>
      </c>
      <c r="D35" s="605" t="s">
        <v>5243</v>
      </c>
    </row>
    <row r="36" spans="1:4" ht="11.25" customHeight="1">
      <c r="A36" s="605" t="s">
        <v>1582</v>
      </c>
      <c r="B36" s="605" t="s">
        <v>5246</v>
      </c>
      <c r="C36" s="605" t="s">
        <v>5241</v>
      </c>
      <c r="D36" s="605" t="s">
        <v>5180</v>
      </c>
    </row>
    <row r="37" spans="1:4" ht="11.25" customHeight="1">
      <c r="A37" s="605" t="s">
        <v>1586</v>
      </c>
      <c r="B37" s="605" t="s">
        <v>5247</v>
      </c>
      <c r="C37" s="605" t="s">
        <v>5241</v>
      </c>
      <c r="D37" s="605" t="s">
        <v>5180</v>
      </c>
    </row>
    <row r="38" spans="1:4" ht="11.25" customHeight="1">
      <c r="A38" s="605" t="s">
        <v>1594</v>
      </c>
      <c r="B38" s="605" t="s">
        <v>5248</v>
      </c>
      <c r="C38" s="605" t="s">
        <v>5241</v>
      </c>
      <c r="D38" s="605" t="s">
        <v>5183</v>
      </c>
    </row>
    <row r="39" spans="1:4" ht="11.25" customHeight="1">
      <c r="A39" s="605" t="s">
        <v>1600</v>
      </c>
      <c r="B39" s="605" t="s">
        <v>5249</v>
      </c>
      <c r="C39" s="605" t="s">
        <v>5179</v>
      </c>
      <c r="D39" s="605" t="s">
        <v>5243</v>
      </c>
    </row>
    <row r="40" spans="1:4" ht="11.25" customHeight="1">
      <c r="A40" s="605" t="s">
        <v>1605</v>
      </c>
      <c r="B40" s="605" t="s">
        <v>5250</v>
      </c>
      <c r="C40" s="605" t="s">
        <v>5241</v>
      </c>
      <c r="D40" s="605" t="s">
        <v>5183</v>
      </c>
    </row>
    <row r="41" spans="1:4" ht="11.25" customHeight="1">
      <c r="A41" s="605" t="s">
        <v>1609</v>
      </c>
      <c r="B41" s="605" t="s">
        <v>5251</v>
      </c>
      <c r="C41" s="605" t="s">
        <v>5241</v>
      </c>
      <c r="D41" s="605" t="s">
        <v>5183</v>
      </c>
    </row>
    <row r="42" spans="1:4" ht="11.25" customHeight="1">
      <c r="A42" s="605" t="s">
        <v>1612</v>
      </c>
      <c r="B42" s="605" t="s">
        <v>5252</v>
      </c>
      <c r="C42" s="605" t="s">
        <v>5253</v>
      </c>
      <c r="D42" s="605" t="s">
        <v>5243</v>
      </c>
    </row>
    <row r="43" spans="1:4" ht="11.25" customHeight="1">
      <c r="A43" s="605" t="s">
        <v>95</v>
      </c>
      <c r="B43" s="605" t="s">
        <v>5254</v>
      </c>
      <c r="C43" s="605" t="s">
        <v>5255</v>
      </c>
      <c r="D43" s="605" t="s">
        <v>5243</v>
      </c>
    </row>
    <row r="44" spans="1:4" ht="11.25" customHeight="1">
      <c r="A44" s="605" t="s">
        <v>1627</v>
      </c>
      <c r="B44" s="605" t="s">
        <v>5254</v>
      </c>
      <c r="C44" s="605" t="s">
        <v>5255</v>
      </c>
      <c r="D44" s="605" t="s">
        <v>5243</v>
      </c>
    </row>
    <row r="45" spans="1:4" ht="11.25" customHeight="1">
      <c r="A45" s="605" t="s">
        <v>1632</v>
      </c>
      <c r="B45" s="605" t="s">
        <v>5256</v>
      </c>
      <c r="C45" s="605" t="s">
        <v>5257</v>
      </c>
      <c r="D45" s="605" t="s">
        <v>5258</v>
      </c>
    </row>
    <row r="46" spans="1:4" ht="11.25" customHeight="1">
      <c r="A46" s="605" t="s">
        <v>1636</v>
      </c>
      <c r="B46" s="605" t="s">
        <v>5259</v>
      </c>
      <c r="C46" s="605" t="s">
        <v>5179</v>
      </c>
      <c r="D46" s="605" t="s">
        <v>5183</v>
      </c>
    </row>
    <row r="47" spans="1:4" ht="11.25" customHeight="1">
      <c r="A47" s="605" t="s">
        <v>1642</v>
      </c>
      <c r="B47" s="605" t="s">
        <v>5260</v>
      </c>
      <c r="C47" s="605" t="s">
        <v>5241</v>
      </c>
      <c r="D47" s="605" t="s">
        <v>5261</v>
      </c>
    </row>
    <row r="48" spans="1:4" ht="11.25" customHeight="1">
      <c r="A48" s="605" t="s">
        <v>1647</v>
      </c>
      <c r="B48" s="605" t="s">
        <v>5262</v>
      </c>
      <c r="C48" s="605" t="s">
        <v>5241</v>
      </c>
      <c r="D48" s="605" t="s">
        <v>5180</v>
      </c>
    </row>
  </sheetData>
  <pageMargins left="0.7" right="0.7" top="0.625" bottom="0.625" header="0.3" footer="0.3"/>
  <pageSetup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zoomScaleNormal="100" workbookViewId="0"/>
  </sheetViews>
  <sheetFormatPr defaultColWidth="8.85546875" defaultRowHeight="11.25"/>
  <sheetData/>
  <pageMargins left="0.7" right="0.7" top="0.625" bottom="0.625" header="0.3" footer="0.3"/>
  <pageSetup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zoomScaleNormal="100" workbookViewId="0"/>
  </sheetViews>
  <sheetFormatPr defaultColWidth="9.140625" defaultRowHeight="11.25"/>
  <cols>
    <col min="1" max="2" width="9.140625" style="1075"/>
  </cols>
  <sheetData>
    <row r="1" spans="1:2" ht="11.25" customHeight="1">
      <c r="A1" s="1075" t="s">
        <v>126</v>
      </c>
      <c r="B1" s="1075" t="s">
        <v>5263</v>
      </c>
    </row>
    <row r="2" spans="1:2" ht="11.25" customHeight="1">
      <c r="A2" s="1075" t="s">
        <v>94</v>
      </c>
      <c r="B2" s="1075" t="s">
        <v>5264</v>
      </c>
    </row>
  </sheetData>
  <pageMargins left="0.7" right="0.7" top="0.625" bottom="0.625" header="0.3" footer="0.3"/>
  <pageSetup orientation="portrait"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zoomScaleNormal="100" workbookViewId="0"/>
  </sheetViews>
  <sheetFormatPr defaultColWidth="9.140625" defaultRowHeight="11.25"/>
  <cols>
    <col min="1" max="1" width="9.140625" style="605"/>
    <col min="2" max="2" width="65.28515625" style="605" customWidth="1"/>
  </cols>
  <sheetData>
    <row r="1" spans="1:2" ht="11.25" customHeight="1">
      <c r="A1" s="605" t="s">
        <v>5265</v>
      </c>
      <c r="B1" s="605" t="s">
        <v>5266</v>
      </c>
    </row>
    <row r="2" spans="1:2" ht="11.25" customHeight="1">
      <c r="A2" s="605">
        <v>4213775</v>
      </c>
      <c r="B2" s="605" t="s">
        <v>1206</v>
      </c>
    </row>
    <row r="3" spans="1:2" ht="11.25" customHeight="1">
      <c r="A3" s="605">
        <v>4213784</v>
      </c>
      <c r="B3" s="605" t="s">
        <v>1241</v>
      </c>
    </row>
    <row r="4" spans="1:2" ht="11.25" customHeight="1">
      <c r="A4" s="605">
        <v>4213781</v>
      </c>
      <c r="B4" s="605" t="s">
        <v>1234</v>
      </c>
    </row>
    <row r="5" spans="1:2" ht="11.25" customHeight="1">
      <c r="A5" s="605">
        <v>4213776</v>
      </c>
      <c r="B5" s="605" t="s">
        <v>162</v>
      </c>
    </row>
    <row r="6" spans="1:2" ht="11.25" customHeight="1">
      <c r="A6" s="605">
        <v>4213777</v>
      </c>
      <c r="B6" s="605" t="s">
        <v>168</v>
      </c>
    </row>
    <row r="7" spans="1:2" ht="11.25" customHeight="1">
      <c r="A7" s="605">
        <v>4213778</v>
      </c>
      <c r="B7" s="605" t="s">
        <v>174</v>
      </c>
    </row>
    <row r="8" spans="1:2" ht="11.25" customHeight="1">
      <c r="A8" s="605">
        <v>4213780</v>
      </c>
      <c r="B8" s="605" t="s">
        <v>180</v>
      </c>
    </row>
    <row r="9" spans="1:2" ht="11.25" customHeight="1">
      <c r="A9" s="605">
        <v>4213779</v>
      </c>
      <c r="B9" s="605" t="s">
        <v>1374</v>
      </c>
    </row>
    <row r="10" spans="1:2" ht="11.25" customHeight="1">
      <c r="A10" s="605">
        <v>4213783</v>
      </c>
      <c r="B10" s="605" t="s">
        <v>1389</v>
      </c>
    </row>
    <row r="11" spans="1:2" ht="11.25" customHeight="1">
      <c r="A11" s="605">
        <v>4213782</v>
      </c>
      <c r="B11" s="605" t="s">
        <v>186</v>
      </c>
    </row>
  </sheetData>
  <pageMargins left="0.7" right="0.7" top="0.625" bottom="0.625" header="0.3" footer="0.3"/>
  <pageSetup orientation="portrait"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zoomScaleNormal="100" workbookViewId="0"/>
  </sheetViews>
  <sheetFormatPr defaultColWidth="9.140625" defaultRowHeight="11.25"/>
  <cols>
    <col min="1" max="1" width="9.140625" style="605"/>
    <col min="2" max="2" width="65.28515625" style="605" customWidth="1"/>
  </cols>
  <sheetData>
    <row r="1" spans="1:2" ht="11.25" customHeight="1">
      <c r="A1" s="605" t="s">
        <v>5265</v>
      </c>
      <c r="B1" s="605" t="s">
        <v>5267</v>
      </c>
    </row>
    <row r="2" spans="1:2" ht="11.25" customHeight="1">
      <c r="A2" s="605" t="s">
        <v>5268</v>
      </c>
      <c r="B2" s="605" t="s">
        <v>247</v>
      </c>
    </row>
    <row r="3" spans="1:2" ht="11.25" customHeight="1">
      <c r="A3" s="605" t="s">
        <v>5269</v>
      </c>
      <c r="B3" s="605" t="s">
        <v>1497</v>
      </c>
    </row>
    <row r="4" spans="1:2" ht="11.25" customHeight="1">
      <c r="A4" s="605" t="s">
        <v>5270</v>
      </c>
      <c r="B4" s="605" t="s">
        <v>1507</v>
      </c>
    </row>
  </sheetData>
  <pageMargins left="0.7" right="0.7" top="0.625" bottom="0.625" header="0.3" footer="0.3"/>
  <pageSetup orientation="portrait"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zoomScaleNormal="100" workbookViewId="0"/>
  </sheetViews>
  <sheetFormatPr defaultColWidth="8.85546875" defaultRowHeight="11.25"/>
  <sheetData>
    <row r="1" spans="1:7" ht="11.25" customHeight="1">
      <c r="A1" s="59" t="s">
        <v>4939</v>
      </c>
      <c r="B1" s="59" t="s">
        <v>4940</v>
      </c>
      <c r="C1" s="59" t="s">
        <v>4941</v>
      </c>
      <c r="D1" s="59" t="s">
        <v>4942</v>
      </c>
      <c r="E1" s="59" t="s">
        <v>4943</v>
      </c>
      <c r="F1" s="59" t="s">
        <v>4944</v>
      </c>
      <c r="G1" s="59" t="s">
        <v>4945</v>
      </c>
    </row>
    <row r="2" spans="1:7" ht="11.25" customHeight="1">
      <c r="A2" s="59" t="s">
        <v>14</v>
      </c>
      <c r="B2" s="59" t="s">
        <v>4946</v>
      </c>
      <c r="C2" s="59" t="s">
        <v>4947</v>
      </c>
      <c r="D2" s="59" t="s">
        <v>4946</v>
      </c>
      <c r="E2" s="59" t="s">
        <v>4947</v>
      </c>
      <c r="F2" s="59" t="s">
        <v>4948</v>
      </c>
      <c r="G2" s="59" t="s">
        <v>105</v>
      </c>
    </row>
    <row r="3" spans="1:7" ht="11.25" customHeight="1">
      <c r="A3" s="59" t="s">
        <v>14</v>
      </c>
      <c r="B3" s="59" t="s">
        <v>4949</v>
      </c>
      <c r="C3" s="59" t="s">
        <v>4950</v>
      </c>
      <c r="D3" s="59" t="s">
        <v>4949</v>
      </c>
      <c r="E3" s="59" t="s">
        <v>4950</v>
      </c>
      <c r="F3" s="59" t="s">
        <v>4948</v>
      </c>
      <c r="G3" s="59" t="s">
        <v>106</v>
      </c>
    </row>
    <row r="4" spans="1:7" ht="11.25" customHeight="1">
      <c r="A4" s="59" t="s">
        <v>14</v>
      </c>
      <c r="B4" s="59" t="s">
        <v>4951</v>
      </c>
      <c r="C4" s="59" t="s">
        <v>4952</v>
      </c>
      <c r="D4" s="59" t="s">
        <v>4951</v>
      </c>
      <c r="E4" s="59" t="s">
        <v>4952</v>
      </c>
      <c r="F4" s="59" t="s">
        <v>4948</v>
      </c>
      <c r="G4" s="59" t="s">
        <v>86</v>
      </c>
    </row>
    <row r="5" spans="1:7" ht="11.25" customHeight="1">
      <c r="A5" s="59" t="s">
        <v>14</v>
      </c>
      <c r="B5" s="59" t="s">
        <v>4953</v>
      </c>
      <c r="C5" s="59" t="s">
        <v>4954</v>
      </c>
      <c r="D5" s="59" t="s">
        <v>4953</v>
      </c>
      <c r="E5" s="59" t="s">
        <v>4954</v>
      </c>
      <c r="F5" s="59" t="s">
        <v>4948</v>
      </c>
      <c r="G5" s="59" t="s">
        <v>87</v>
      </c>
    </row>
    <row r="6" spans="1:7" ht="11.25" customHeight="1">
      <c r="A6" s="59" t="s">
        <v>14</v>
      </c>
      <c r="B6" s="59" t="s">
        <v>4955</v>
      </c>
      <c r="C6" s="59" t="s">
        <v>4956</v>
      </c>
      <c r="D6" s="59" t="s">
        <v>4955</v>
      </c>
      <c r="E6" s="59" t="s">
        <v>4956</v>
      </c>
      <c r="F6" s="59" t="s">
        <v>4948</v>
      </c>
      <c r="G6" s="59" t="s">
        <v>107</v>
      </c>
    </row>
    <row r="7" spans="1:7" ht="11.25" customHeight="1">
      <c r="A7" s="59" t="s">
        <v>14</v>
      </c>
      <c r="B7" s="59" t="s">
        <v>4957</v>
      </c>
      <c r="C7" s="59" t="s">
        <v>4958</v>
      </c>
      <c r="D7" s="59" t="s">
        <v>4959</v>
      </c>
      <c r="E7" s="59" t="s">
        <v>4960</v>
      </c>
      <c r="F7" s="59" t="s">
        <v>4961</v>
      </c>
      <c r="G7" s="59" t="s">
        <v>88</v>
      </c>
    </row>
    <row r="8" spans="1:7" ht="11.25" customHeight="1">
      <c r="A8" s="59" t="s">
        <v>14</v>
      </c>
      <c r="B8" s="59" t="s">
        <v>4957</v>
      </c>
      <c r="C8" s="59" t="s">
        <v>4958</v>
      </c>
      <c r="D8" s="59" t="s">
        <v>4957</v>
      </c>
      <c r="E8" s="59" t="s">
        <v>4958</v>
      </c>
      <c r="F8" s="59" t="s">
        <v>4962</v>
      </c>
      <c r="G8" s="59" t="s">
        <v>89</v>
      </c>
    </row>
    <row r="9" spans="1:7" ht="11.25" customHeight="1">
      <c r="A9" s="59" t="s">
        <v>14</v>
      </c>
      <c r="B9" s="59" t="s">
        <v>4957</v>
      </c>
      <c r="C9" s="59" t="s">
        <v>4958</v>
      </c>
      <c r="D9" s="59" t="s">
        <v>4963</v>
      </c>
      <c r="E9" s="59" t="s">
        <v>4964</v>
      </c>
      <c r="F9" s="59" t="s">
        <v>4961</v>
      </c>
      <c r="G9" s="59" t="s">
        <v>108</v>
      </c>
    </row>
    <row r="10" spans="1:7" ht="11.25" customHeight="1">
      <c r="A10" s="59" t="s">
        <v>14</v>
      </c>
      <c r="B10" s="59" t="s">
        <v>4957</v>
      </c>
      <c r="C10" s="59" t="s">
        <v>4958</v>
      </c>
      <c r="D10" s="59" t="s">
        <v>4965</v>
      </c>
      <c r="E10" s="59" t="s">
        <v>4966</v>
      </c>
      <c r="F10" s="59" t="s">
        <v>4961</v>
      </c>
      <c r="G10" s="59" t="s">
        <v>144</v>
      </c>
    </row>
    <row r="11" spans="1:7" ht="11.25" customHeight="1">
      <c r="A11" s="59" t="s">
        <v>14</v>
      </c>
      <c r="B11" s="59" t="s">
        <v>4967</v>
      </c>
      <c r="C11" s="59" t="s">
        <v>4968</v>
      </c>
      <c r="D11" s="59" t="s">
        <v>4967</v>
      </c>
      <c r="E11" s="59" t="s">
        <v>4968</v>
      </c>
      <c r="F11" s="59" t="s">
        <v>4948</v>
      </c>
      <c r="G11" s="59" t="s">
        <v>145</v>
      </c>
    </row>
    <row r="12" spans="1:7" ht="11.25" customHeight="1">
      <c r="A12" s="59" t="s">
        <v>14</v>
      </c>
      <c r="B12" s="59" t="s">
        <v>4969</v>
      </c>
      <c r="C12" s="59" t="s">
        <v>4970</v>
      </c>
      <c r="D12" s="59" t="s">
        <v>4969</v>
      </c>
      <c r="E12" s="59" t="s">
        <v>4970</v>
      </c>
      <c r="F12" s="59" t="s">
        <v>4948</v>
      </c>
      <c r="G12" s="59" t="s">
        <v>146</v>
      </c>
    </row>
    <row r="13" spans="1:7" ht="11.25" customHeight="1">
      <c r="A13" s="59" t="s">
        <v>14</v>
      </c>
      <c r="B13" s="59" t="s">
        <v>4971</v>
      </c>
      <c r="C13" s="59" t="s">
        <v>4972</v>
      </c>
      <c r="D13" s="59" t="s">
        <v>4971</v>
      </c>
      <c r="E13" s="59" t="s">
        <v>4972</v>
      </c>
      <c r="F13" s="59" t="s">
        <v>4948</v>
      </c>
      <c r="G13" s="59" t="s">
        <v>147</v>
      </c>
    </row>
    <row r="14" spans="1:7" ht="11.25" customHeight="1">
      <c r="A14" s="59" t="s">
        <v>14</v>
      </c>
      <c r="B14" s="59" t="s">
        <v>4973</v>
      </c>
      <c r="C14" s="59" t="s">
        <v>4974</v>
      </c>
      <c r="D14" s="59" t="s">
        <v>4973</v>
      </c>
      <c r="E14" s="59" t="s">
        <v>4974</v>
      </c>
      <c r="F14" s="59" t="s">
        <v>4948</v>
      </c>
      <c r="G14" s="59" t="s">
        <v>148</v>
      </c>
    </row>
    <row r="15" spans="1:7" ht="11.25" customHeight="1">
      <c r="A15" s="59" t="s">
        <v>14</v>
      </c>
      <c r="B15" s="59" t="s">
        <v>4975</v>
      </c>
      <c r="C15" s="59" t="s">
        <v>4976</v>
      </c>
      <c r="D15" s="59" t="s">
        <v>4975</v>
      </c>
      <c r="E15" s="59" t="s">
        <v>4976</v>
      </c>
      <c r="F15" s="59" t="s">
        <v>4948</v>
      </c>
      <c r="G15" s="59" t="s">
        <v>149</v>
      </c>
    </row>
    <row r="16" spans="1:7" ht="11.25" customHeight="1">
      <c r="A16" s="59" t="s">
        <v>14</v>
      </c>
      <c r="B16" s="59" t="s">
        <v>4977</v>
      </c>
      <c r="C16" s="59" t="s">
        <v>4978</v>
      </c>
      <c r="D16" s="59" t="s">
        <v>4977</v>
      </c>
      <c r="E16" s="59" t="s">
        <v>4978</v>
      </c>
      <c r="F16" s="59" t="s">
        <v>4948</v>
      </c>
      <c r="G16" s="59" t="s">
        <v>1449</v>
      </c>
    </row>
    <row r="17" spans="1:7" ht="11.25" customHeight="1">
      <c r="A17" s="59" t="s">
        <v>14</v>
      </c>
      <c r="B17" s="59" t="s">
        <v>4979</v>
      </c>
      <c r="C17" s="59" t="s">
        <v>4980</v>
      </c>
      <c r="D17" s="59" t="s">
        <v>4979</v>
      </c>
      <c r="E17" s="59" t="s">
        <v>4980</v>
      </c>
      <c r="F17" s="59" t="s">
        <v>4948</v>
      </c>
      <c r="G17" s="59" t="s">
        <v>1455</v>
      </c>
    </row>
    <row r="18" spans="1:7" ht="11.25" customHeight="1">
      <c r="A18" s="59" t="s">
        <v>14</v>
      </c>
      <c r="B18" s="59" t="s">
        <v>4981</v>
      </c>
      <c r="C18" s="59" t="s">
        <v>4982</v>
      </c>
      <c r="D18" s="59" t="s">
        <v>4981</v>
      </c>
      <c r="E18" s="59" t="s">
        <v>4982</v>
      </c>
      <c r="F18" s="59" t="s">
        <v>4948</v>
      </c>
      <c r="G18" s="59" t="s">
        <v>1466</v>
      </c>
    </row>
    <row r="19" spans="1:7" ht="11.25" customHeight="1">
      <c r="A19" s="59" t="s">
        <v>14</v>
      </c>
      <c r="B19" s="59" t="s">
        <v>4983</v>
      </c>
      <c r="C19" s="59" t="s">
        <v>4984</v>
      </c>
      <c r="D19" s="59" t="s">
        <v>4983</v>
      </c>
      <c r="E19" s="59" t="s">
        <v>4984</v>
      </c>
      <c r="F19" s="59" t="s">
        <v>4948</v>
      </c>
      <c r="G19" s="59" t="s">
        <v>1480</v>
      </c>
    </row>
    <row r="20" spans="1:7" ht="11.25" customHeight="1">
      <c r="A20" s="59" t="s">
        <v>14</v>
      </c>
      <c r="B20" s="59" t="s">
        <v>4985</v>
      </c>
      <c r="C20" s="59" t="s">
        <v>4986</v>
      </c>
      <c r="D20" s="59" t="s">
        <v>4985</v>
      </c>
      <c r="E20" s="59" t="s">
        <v>4986</v>
      </c>
      <c r="F20" s="59" t="s">
        <v>4948</v>
      </c>
      <c r="G20" s="59" t="s">
        <v>1491</v>
      </c>
    </row>
    <row r="21" spans="1:7" ht="11.25" customHeight="1">
      <c r="A21" s="59" t="s">
        <v>14</v>
      </c>
      <c r="B21" s="59" t="s">
        <v>4987</v>
      </c>
      <c r="C21" s="59" t="s">
        <v>4988</v>
      </c>
      <c r="D21" s="59" t="s">
        <v>4987</v>
      </c>
      <c r="E21" s="59" t="s">
        <v>4988</v>
      </c>
      <c r="F21" s="59" t="s">
        <v>4948</v>
      </c>
      <c r="G21" s="59" t="s">
        <v>1500</v>
      </c>
    </row>
    <row r="22" spans="1:7" ht="11.25" customHeight="1">
      <c r="A22" s="59" t="s">
        <v>14</v>
      </c>
      <c r="B22" s="59" t="s">
        <v>4989</v>
      </c>
      <c r="C22" s="59" t="s">
        <v>4990</v>
      </c>
      <c r="D22" s="59" t="s">
        <v>4989</v>
      </c>
      <c r="E22" s="59" t="s">
        <v>4990</v>
      </c>
      <c r="F22" s="59" t="s">
        <v>4948</v>
      </c>
      <c r="G22" s="59" t="s">
        <v>1516</v>
      </c>
    </row>
    <row r="23" spans="1:7" ht="11.25" customHeight="1">
      <c r="A23" s="59" t="s">
        <v>14</v>
      </c>
      <c r="B23" s="59" t="s">
        <v>4991</v>
      </c>
      <c r="C23" s="59" t="s">
        <v>4992</v>
      </c>
      <c r="D23" s="59" t="s">
        <v>4991</v>
      </c>
      <c r="E23" s="59" t="s">
        <v>4992</v>
      </c>
      <c r="F23" s="59" t="s">
        <v>4948</v>
      </c>
      <c r="G23" s="59" t="s">
        <v>1523</v>
      </c>
    </row>
    <row r="24" spans="1:7" ht="11.25" customHeight="1">
      <c r="A24" s="59" t="s">
        <v>14</v>
      </c>
      <c r="B24" s="59" t="s">
        <v>4993</v>
      </c>
      <c r="C24" s="59" t="s">
        <v>4994</v>
      </c>
      <c r="D24" s="59" t="s">
        <v>4993</v>
      </c>
      <c r="E24" s="59" t="s">
        <v>4994</v>
      </c>
      <c r="F24" s="59" t="s">
        <v>4948</v>
      </c>
      <c r="G24" s="59" t="s">
        <v>1531</v>
      </c>
    </row>
    <row r="25" spans="1:7" ht="11.25" customHeight="1">
      <c r="A25" s="59" t="s">
        <v>14</v>
      </c>
      <c r="B25" s="59" t="s">
        <v>4995</v>
      </c>
      <c r="C25" s="59" t="s">
        <v>4996</v>
      </c>
      <c r="D25" s="59" t="s">
        <v>4995</v>
      </c>
      <c r="E25" s="59" t="s">
        <v>4996</v>
      </c>
      <c r="F25" s="59" t="s">
        <v>4948</v>
      </c>
      <c r="G25" s="59" t="s">
        <v>1538</v>
      </c>
    </row>
    <row r="26" spans="1:7" ht="11.25" customHeight="1">
      <c r="A26" s="59" t="s">
        <v>14</v>
      </c>
      <c r="B26" s="59" t="s">
        <v>4997</v>
      </c>
      <c r="C26" s="59" t="s">
        <v>4998</v>
      </c>
      <c r="D26" s="59" t="s">
        <v>4997</v>
      </c>
      <c r="E26" s="59" t="s">
        <v>4998</v>
      </c>
      <c r="F26" s="59" t="s">
        <v>4948</v>
      </c>
      <c r="G26" s="59" t="s">
        <v>1542</v>
      </c>
    </row>
    <row r="27" spans="1:7" ht="11.25" customHeight="1">
      <c r="A27" s="59" t="s">
        <v>14</v>
      </c>
      <c r="B27" s="59" t="s">
        <v>4999</v>
      </c>
      <c r="C27" s="59" t="s">
        <v>5000</v>
      </c>
      <c r="D27" s="59" t="s">
        <v>4999</v>
      </c>
      <c r="E27" s="59" t="s">
        <v>5000</v>
      </c>
      <c r="F27" s="59" t="s">
        <v>4948</v>
      </c>
      <c r="G27" s="59" t="s">
        <v>1547</v>
      </c>
    </row>
    <row r="28" spans="1:7" ht="11.25" customHeight="1">
      <c r="A28" s="59" t="s">
        <v>14</v>
      </c>
      <c r="B28" s="59" t="s">
        <v>5001</v>
      </c>
      <c r="C28" s="59" t="s">
        <v>5002</v>
      </c>
      <c r="D28" s="59" t="s">
        <v>5001</v>
      </c>
      <c r="E28" s="59" t="s">
        <v>5002</v>
      </c>
      <c r="F28" s="59" t="s">
        <v>4948</v>
      </c>
      <c r="G28" s="59" t="s">
        <v>1555</v>
      </c>
    </row>
    <row r="29" spans="1:7" ht="11.25" customHeight="1">
      <c r="A29" s="59" t="s">
        <v>14</v>
      </c>
      <c r="B29" s="59" t="s">
        <v>5003</v>
      </c>
      <c r="C29" s="59" t="s">
        <v>5004</v>
      </c>
      <c r="D29" s="59" t="s">
        <v>5005</v>
      </c>
      <c r="E29" s="59" t="s">
        <v>5006</v>
      </c>
      <c r="F29" s="59" t="s">
        <v>5007</v>
      </c>
      <c r="G29" s="59" t="s">
        <v>1557</v>
      </c>
    </row>
    <row r="30" spans="1:7" ht="11.25" customHeight="1">
      <c r="A30" s="59" t="s">
        <v>14</v>
      </c>
      <c r="B30" s="59" t="s">
        <v>5003</v>
      </c>
      <c r="C30" s="59" t="s">
        <v>5004</v>
      </c>
      <c r="D30" s="59" t="s">
        <v>5008</v>
      </c>
      <c r="E30" s="59" t="s">
        <v>5009</v>
      </c>
      <c r="F30" s="59" t="s">
        <v>4961</v>
      </c>
      <c r="G30" s="59" t="s">
        <v>1560</v>
      </c>
    </row>
    <row r="31" spans="1:7" ht="11.25" customHeight="1">
      <c r="A31" s="59" t="s">
        <v>14</v>
      </c>
      <c r="B31" s="59" t="s">
        <v>5003</v>
      </c>
      <c r="C31" s="59" t="s">
        <v>5004</v>
      </c>
      <c r="D31" s="59" t="s">
        <v>5010</v>
      </c>
      <c r="E31" s="59" t="s">
        <v>5011</v>
      </c>
      <c r="F31" s="59" t="s">
        <v>5012</v>
      </c>
      <c r="G31" s="59" t="s">
        <v>1566</v>
      </c>
    </row>
    <row r="32" spans="1:7" ht="11.25" customHeight="1">
      <c r="A32" s="59" t="s">
        <v>14</v>
      </c>
      <c r="B32" s="59" t="s">
        <v>5003</v>
      </c>
      <c r="C32" s="59" t="s">
        <v>5004</v>
      </c>
      <c r="D32" s="59" t="s">
        <v>5003</v>
      </c>
      <c r="E32" s="59" t="s">
        <v>5004</v>
      </c>
      <c r="F32" s="59" t="s">
        <v>4962</v>
      </c>
      <c r="G32" s="59" t="s">
        <v>1568</v>
      </c>
    </row>
    <row r="33" spans="1:7" ht="11.25" customHeight="1">
      <c r="A33" s="59" t="s">
        <v>14</v>
      </c>
      <c r="B33" s="59" t="s">
        <v>5003</v>
      </c>
      <c r="C33" s="59" t="s">
        <v>5004</v>
      </c>
      <c r="D33" s="59" t="s">
        <v>5013</v>
      </c>
      <c r="E33" s="59" t="s">
        <v>5014</v>
      </c>
      <c r="F33" s="59" t="s">
        <v>5012</v>
      </c>
      <c r="G33" s="59" t="s">
        <v>1570</v>
      </c>
    </row>
    <row r="34" spans="1:7" ht="11.25" customHeight="1">
      <c r="A34" s="59" t="s">
        <v>14</v>
      </c>
      <c r="B34" s="59" t="s">
        <v>5003</v>
      </c>
      <c r="C34" s="59" t="s">
        <v>5004</v>
      </c>
      <c r="D34" s="59" t="s">
        <v>5015</v>
      </c>
      <c r="E34" s="59" t="s">
        <v>5016</v>
      </c>
      <c r="F34" s="59" t="s">
        <v>5007</v>
      </c>
      <c r="G34" s="59" t="s">
        <v>1572</v>
      </c>
    </row>
    <row r="35" spans="1:7" ht="11.25" customHeight="1">
      <c r="A35" s="59" t="s">
        <v>14</v>
      </c>
      <c r="B35" s="59" t="s">
        <v>5003</v>
      </c>
      <c r="C35" s="59" t="s">
        <v>5004</v>
      </c>
      <c r="D35" s="59" t="s">
        <v>5017</v>
      </c>
      <c r="E35" s="59" t="s">
        <v>5018</v>
      </c>
      <c r="F35" s="59" t="s">
        <v>5007</v>
      </c>
      <c r="G35" s="59" t="s">
        <v>1577</v>
      </c>
    </row>
    <row r="36" spans="1:7" ht="11.25" customHeight="1">
      <c r="A36" s="59" t="s">
        <v>14</v>
      </c>
      <c r="B36" s="59" t="s">
        <v>5019</v>
      </c>
      <c r="C36" s="59" t="s">
        <v>5020</v>
      </c>
      <c r="D36" s="59" t="s">
        <v>5019</v>
      </c>
      <c r="E36" s="59" t="s">
        <v>5020</v>
      </c>
      <c r="F36" s="59" t="s">
        <v>4948</v>
      </c>
      <c r="G36" s="59" t="s">
        <v>1582</v>
      </c>
    </row>
    <row r="37" spans="1:7" ht="11.25" customHeight="1">
      <c r="A37" s="59" t="s">
        <v>14</v>
      </c>
      <c r="B37" s="59" t="s">
        <v>5021</v>
      </c>
      <c r="C37" s="59" t="s">
        <v>5022</v>
      </c>
      <c r="D37" s="59" t="s">
        <v>5021</v>
      </c>
      <c r="E37" s="59" t="s">
        <v>5022</v>
      </c>
      <c r="F37" s="59" t="s">
        <v>4948</v>
      </c>
      <c r="G37" s="59" t="s">
        <v>1586</v>
      </c>
    </row>
    <row r="38" spans="1:7" ht="11.25" customHeight="1">
      <c r="A38" s="59" t="s">
        <v>14</v>
      </c>
      <c r="B38" s="59" t="s">
        <v>5023</v>
      </c>
      <c r="C38" s="59" t="s">
        <v>5024</v>
      </c>
      <c r="D38" s="59" t="s">
        <v>5023</v>
      </c>
      <c r="E38" s="59" t="s">
        <v>5024</v>
      </c>
      <c r="F38" s="59" t="s">
        <v>4948</v>
      </c>
      <c r="G38" s="59" t="s">
        <v>1594</v>
      </c>
    </row>
    <row r="39" spans="1:7" ht="11.25" customHeight="1">
      <c r="A39" s="59" t="s">
        <v>14</v>
      </c>
      <c r="B39" s="59" t="s">
        <v>5025</v>
      </c>
      <c r="C39" s="59" t="s">
        <v>5026</v>
      </c>
      <c r="D39" s="59" t="s">
        <v>5025</v>
      </c>
      <c r="E39" s="59" t="s">
        <v>5026</v>
      </c>
      <c r="F39" s="59" t="s">
        <v>4948</v>
      </c>
      <c r="G39" s="59" t="s">
        <v>1600</v>
      </c>
    </row>
    <row r="40" spans="1:7" ht="11.25" customHeight="1">
      <c r="A40" s="59" t="s">
        <v>14</v>
      </c>
      <c r="B40" s="59" t="s">
        <v>5027</v>
      </c>
      <c r="C40" s="59" t="s">
        <v>5028</v>
      </c>
      <c r="D40" s="59" t="s">
        <v>5027</v>
      </c>
      <c r="E40" s="59" t="s">
        <v>5028</v>
      </c>
      <c r="F40" s="59" t="s">
        <v>4948</v>
      </c>
      <c r="G40" s="59" t="s">
        <v>1605</v>
      </c>
    </row>
    <row r="41" spans="1:7" ht="11.25" customHeight="1">
      <c r="A41" s="59" t="s">
        <v>14</v>
      </c>
      <c r="B41" s="59" t="s">
        <v>5029</v>
      </c>
      <c r="C41" s="59" t="s">
        <v>5030</v>
      </c>
      <c r="D41" s="59" t="s">
        <v>5029</v>
      </c>
      <c r="E41" s="59" t="s">
        <v>5030</v>
      </c>
      <c r="F41" s="59" t="s">
        <v>4948</v>
      </c>
      <c r="G41" s="59" t="s">
        <v>1609</v>
      </c>
    </row>
    <row r="42" spans="1:7" ht="11.25" customHeight="1">
      <c r="A42" s="59" t="s">
        <v>14</v>
      </c>
      <c r="B42" s="59" t="s">
        <v>5031</v>
      </c>
      <c r="C42" s="59" t="s">
        <v>5032</v>
      </c>
      <c r="D42" s="59" t="s">
        <v>5031</v>
      </c>
      <c r="E42" s="59" t="s">
        <v>5032</v>
      </c>
      <c r="F42" s="59" t="s">
        <v>4948</v>
      </c>
      <c r="G42" s="59" t="s">
        <v>1612</v>
      </c>
    </row>
    <row r="43" spans="1:7" ht="11.25" customHeight="1">
      <c r="A43" s="59" t="s">
        <v>14</v>
      </c>
      <c r="B43" s="59" t="s">
        <v>96</v>
      </c>
      <c r="C43" s="59" t="s">
        <v>97</v>
      </c>
      <c r="D43" s="59" t="s">
        <v>96</v>
      </c>
      <c r="E43" s="59" t="s">
        <v>97</v>
      </c>
      <c r="F43" s="59" t="s">
        <v>4948</v>
      </c>
      <c r="G43" s="59" t="s">
        <v>95</v>
      </c>
    </row>
    <row r="44" spans="1:7" ht="11.25" customHeight="1">
      <c r="A44" s="59" t="s">
        <v>14</v>
      </c>
      <c r="B44" s="59" t="s">
        <v>5033</v>
      </c>
      <c r="C44" s="59" t="s">
        <v>5034</v>
      </c>
      <c r="D44" s="59" t="s">
        <v>5035</v>
      </c>
      <c r="E44" s="59" t="s">
        <v>5036</v>
      </c>
      <c r="F44" s="59" t="s">
        <v>4961</v>
      </c>
      <c r="G44" s="59" t="s">
        <v>1627</v>
      </c>
    </row>
    <row r="45" spans="1:7" ht="11.25" customHeight="1">
      <c r="A45" s="59" t="s">
        <v>14</v>
      </c>
      <c r="B45" s="59" t="s">
        <v>5033</v>
      </c>
      <c r="C45" s="59" t="s">
        <v>5034</v>
      </c>
      <c r="D45" s="59" t="s">
        <v>5037</v>
      </c>
      <c r="E45" s="59" t="s">
        <v>5038</v>
      </c>
      <c r="F45" s="59" t="s">
        <v>4961</v>
      </c>
      <c r="G45" s="59" t="s">
        <v>1632</v>
      </c>
    </row>
    <row r="46" spans="1:7" ht="11.25" customHeight="1">
      <c r="A46" s="59" t="s">
        <v>14</v>
      </c>
      <c r="B46" s="59" t="s">
        <v>5033</v>
      </c>
      <c r="C46" s="59" t="s">
        <v>5034</v>
      </c>
      <c r="D46" s="59" t="s">
        <v>5033</v>
      </c>
      <c r="E46" s="59" t="s">
        <v>5034</v>
      </c>
      <c r="F46" s="59" t="s">
        <v>4962</v>
      </c>
      <c r="G46" s="59" t="s">
        <v>1636</v>
      </c>
    </row>
    <row r="47" spans="1:7" ht="11.25" customHeight="1">
      <c r="A47" s="59" t="s">
        <v>14</v>
      </c>
      <c r="B47" s="59" t="s">
        <v>5033</v>
      </c>
      <c r="C47" s="59" t="s">
        <v>5034</v>
      </c>
      <c r="D47" s="59" t="s">
        <v>5039</v>
      </c>
      <c r="E47" s="59" t="s">
        <v>5040</v>
      </c>
      <c r="F47" s="59" t="s">
        <v>4961</v>
      </c>
      <c r="G47" s="59" t="s">
        <v>1642</v>
      </c>
    </row>
    <row r="48" spans="1:7" ht="11.25" customHeight="1">
      <c r="A48" s="59" t="s">
        <v>14</v>
      </c>
      <c r="B48" s="59" t="s">
        <v>5033</v>
      </c>
      <c r="C48" s="59" t="s">
        <v>5034</v>
      </c>
      <c r="D48" s="59" t="s">
        <v>5041</v>
      </c>
      <c r="E48" s="59" t="s">
        <v>5042</v>
      </c>
      <c r="F48" s="59" t="s">
        <v>4961</v>
      </c>
      <c r="G48" s="59" t="s">
        <v>1647</v>
      </c>
    </row>
    <row r="49" spans="1:7" ht="11.25" customHeight="1">
      <c r="A49" s="59" t="s">
        <v>14</v>
      </c>
      <c r="B49" s="59" t="s">
        <v>5043</v>
      </c>
      <c r="C49" s="59" t="s">
        <v>5044</v>
      </c>
      <c r="D49" s="59" t="s">
        <v>5043</v>
      </c>
      <c r="E49" s="59" t="s">
        <v>5044</v>
      </c>
      <c r="F49" s="59" t="s">
        <v>4948</v>
      </c>
      <c r="G49" s="59" t="s">
        <v>1650</v>
      </c>
    </row>
    <row r="50" spans="1:7" ht="11.25" customHeight="1">
      <c r="A50" s="59" t="s">
        <v>14</v>
      </c>
      <c r="B50" s="59" t="s">
        <v>5045</v>
      </c>
      <c r="C50" s="59" t="s">
        <v>5046</v>
      </c>
      <c r="D50" s="59" t="s">
        <v>5045</v>
      </c>
      <c r="E50" s="59" t="s">
        <v>5046</v>
      </c>
      <c r="F50" s="59" t="s">
        <v>4948</v>
      </c>
      <c r="G50" s="59" t="s">
        <v>1654</v>
      </c>
    </row>
    <row r="51" spans="1:7" ht="11.25" customHeight="1">
      <c r="A51" s="59" t="s">
        <v>14</v>
      </c>
      <c r="B51" s="59" t="s">
        <v>5047</v>
      </c>
      <c r="C51" s="59" t="s">
        <v>5048</v>
      </c>
      <c r="D51" s="59" t="s">
        <v>5049</v>
      </c>
      <c r="E51" s="59" t="s">
        <v>5050</v>
      </c>
      <c r="F51" s="59" t="s">
        <v>4961</v>
      </c>
      <c r="G51" s="59" t="s">
        <v>1658</v>
      </c>
    </row>
    <row r="52" spans="1:7" ht="11.25" customHeight="1">
      <c r="A52" s="59" t="s">
        <v>14</v>
      </c>
      <c r="B52" s="59" t="s">
        <v>5047</v>
      </c>
      <c r="C52" s="59" t="s">
        <v>5048</v>
      </c>
      <c r="D52" s="59" t="s">
        <v>5051</v>
      </c>
      <c r="E52" s="59" t="s">
        <v>5052</v>
      </c>
      <c r="F52" s="59" t="s">
        <v>5053</v>
      </c>
      <c r="G52" s="59" t="s">
        <v>1662</v>
      </c>
    </row>
    <row r="53" spans="1:7" ht="11.25" customHeight="1">
      <c r="A53" s="59" t="s">
        <v>14</v>
      </c>
      <c r="B53" s="59" t="s">
        <v>5047</v>
      </c>
      <c r="C53" s="59" t="s">
        <v>5048</v>
      </c>
      <c r="D53" s="59" t="s">
        <v>5047</v>
      </c>
      <c r="E53" s="59" t="s">
        <v>5048</v>
      </c>
      <c r="F53" s="59" t="s">
        <v>4962</v>
      </c>
      <c r="G53" s="59" t="s">
        <v>1664</v>
      </c>
    </row>
    <row r="54" spans="1:7" ht="11.25" customHeight="1">
      <c r="A54" s="59" t="s">
        <v>14</v>
      </c>
      <c r="B54" s="59" t="s">
        <v>5047</v>
      </c>
      <c r="C54" s="59" t="s">
        <v>5048</v>
      </c>
      <c r="D54" s="59" t="s">
        <v>5054</v>
      </c>
      <c r="E54" s="59" t="s">
        <v>5055</v>
      </c>
      <c r="F54" s="59" t="s">
        <v>4961</v>
      </c>
      <c r="G54" s="59" t="s">
        <v>1667</v>
      </c>
    </row>
    <row r="55" spans="1:7" ht="11.25" customHeight="1">
      <c r="A55" s="59" t="s">
        <v>14</v>
      </c>
      <c r="B55" s="59" t="s">
        <v>5047</v>
      </c>
      <c r="C55" s="59" t="s">
        <v>5048</v>
      </c>
      <c r="D55" s="59" t="s">
        <v>5056</v>
      </c>
      <c r="E55" s="59" t="s">
        <v>5057</v>
      </c>
      <c r="F55" s="59" t="s">
        <v>4961</v>
      </c>
      <c r="G55" s="59" t="s">
        <v>1671</v>
      </c>
    </row>
    <row r="56" spans="1:7" ht="11.25" customHeight="1">
      <c r="A56" s="59" t="s">
        <v>14</v>
      </c>
      <c r="B56" s="59" t="s">
        <v>5058</v>
      </c>
      <c r="C56" s="59" t="s">
        <v>5059</v>
      </c>
      <c r="D56" s="59" t="s">
        <v>5058</v>
      </c>
      <c r="E56" s="59" t="s">
        <v>5059</v>
      </c>
      <c r="F56" s="59" t="s">
        <v>4948</v>
      </c>
      <c r="G56" s="59" t="s">
        <v>1674</v>
      </c>
    </row>
    <row r="57" spans="1:7" ht="11.25" customHeight="1">
      <c r="A57" s="59" t="s">
        <v>14</v>
      </c>
      <c r="B57" s="59" t="s">
        <v>5060</v>
      </c>
      <c r="C57" s="59" t="s">
        <v>5061</v>
      </c>
      <c r="D57" s="59" t="s">
        <v>5060</v>
      </c>
      <c r="E57" s="59" t="s">
        <v>5061</v>
      </c>
      <c r="F57" s="59" t="s">
        <v>4948</v>
      </c>
      <c r="G57" s="59" t="s">
        <v>1677</v>
      </c>
    </row>
    <row r="58" spans="1:7" ht="11.25" customHeight="1">
      <c r="A58" s="59" t="s">
        <v>14</v>
      </c>
      <c r="B58" s="59" t="s">
        <v>5062</v>
      </c>
      <c r="C58" s="59" t="s">
        <v>5063</v>
      </c>
      <c r="D58" s="59" t="s">
        <v>5062</v>
      </c>
      <c r="E58" s="59" t="s">
        <v>5063</v>
      </c>
      <c r="F58" s="59" t="s">
        <v>4948</v>
      </c>
      <c r="G58" s="59" t="s">
        <v>1680</v>
      </c>
    </row>
    <row r="59" spans="1:7" ht="11.25" customHeight="1">
      <c r="A59" s="59" t="s">
        <v>14</v>
      </c>
      <c r="B59" s="59" t="s">
        <v>5064</v>
      </c>
      <c r="C59" s="59" t="s">
        <v>5065</v>
      </c>
      <c r="D59" s="59" t="s">
        <v>5064</v>
      </c>
      <c r="E59" s="59" t="s">
        <v>5065</v>
      </c>
      <c r="F59" s="59" t="s">
        <v>4948</v>
      </c>
      <c r="G59" s="59" t="s">
        <v>1684</v>
      </c>
    </row>
    <row r="60" spans="1:7" ht="11.25" customHeight="1">
      <c r="A60" s="59" t="s">
        <v>14</v>
      </c>
      <c r="B60" s="59" t="s">
        <v>5066</v>
      </c>
      <c r="C60" s="59" t="s">
        <v>5067</v>
      </c>
      <c r="D60" s="59" t="s">
        <v>5066</v>
      </c>
      <c r="E60" s="59" t="s">
        <v>5067</v>
      </c>
      <c r="F60" s="59" t="s">
        <v>4948</v>
      </c>
      <c r="G60" s="59" t="s">
        <v>1687</v>
      </c>
    </row>
    <row r="61" spans="1:7" ht="11.25" customHeight="1">
      <c r="A61" s="59" t="s">
        <v>14</v>
      </c>
      <c r="B61" s="59" t="s">
        <v>5068</v>
      </c>
      <c r="C61" s="59" t="s">
        <v>5069</v>
      </c>
      <c r="D61" s="59" t="s">
        <v>5068</v>
      </c>
      <c r="E61" s="59" t="s">
        <v>5069</v>
      </c>
      <c r="F61" s="59" t="s">
        <v>4948</v>
      </c>
      <c r="G61" s="59" t="s">
        <v>5070</v>
      </c>
    </row>
    <row r="62" spans="1:7" ht="11.25" customHeight="1">
      <c r="A62" s="59" t="s">
        <v>14</v>
      </c>
      <c r="B62" s="59" t="s">
        <v>5071</v>
      </c>
      <c r="C62" s="59" t="s">
        <v>5072</v>
      </c>
      <c r="D62" s="59" t="s">
        <v>5071</v>
      </c>
      <c r="E62" s="59" t="s">
        <v>5072</v>
      </c>
      <c r="F62" s="59" t="s">
        <v>4948</v>
      </c>
      <c r="G62" s="59" t="s">
        <v>5073</v>
      </c>
    </row>
    <row r="63" spans="1:7" ht="11.25" customHeight="1">
      <c r="A63" s="59" t="s">
        <v>14</v>
      </c>
      <c r="B63" s="59" t="s">
        <v>5074</v>
      </c>
      <c r="C63" s="59" t="s">
        <v>5075</v>
      </c>
      <c r="D63" s="59" t="s">
        <v>5074</v>
      </c>
      <c r="E63" s="59" t="s">
        <v>5075</v>
      </c>
      <c r="F63" s="59" t="s">
        <v>4948</v>
      </c>
      <c r="G63" s="59" t="s">
        <v>5076</v>
      </c>
    </row>
    <row r="64" spans="1:7" ht="11.25" customHeight="1">
      <c r="A64" s="59" t="s">
        <v>14</v>
      </c>
      <c r="B64" s="59" t="s">
        <v>5077</v>
      </c>
      <c r="C64" s="59" t="s">
        <v>5078</v>
      </c>
      <c r="D64" s="59" t="s">
        <v>5077</v>
      </c>
      <c r="E64" s="59" t="s">
        <v>5078</v>
      </c>
      <c r="F64" s="59" t="s">
        <v>4948</v>
      </c>
      <c r="G64" s="59" t="s">
        <v>5079</v>
      </c>
    </row>
    <row r="65" spans="1:7" ht="11.25" customHeight="1">
      <c r="A65" s="59" t="s">
        <v>14</v>
      </c>
      <c r="B65" s="59" t="s">
        <v>5080</v>
      </c>
      <c r="C65" s="59" t="s">
        <v>5081</v>
      </c>
      <c r="D65" s="59" t="s">
        <v>5080</v>
      </c>
      <c r="E65" s="59" t="s">
        <v>5081</v>
      </c>
      <c r="F65" s="59" t="s">
        <v>4948</v>
      </c>
      <c r="G65" s="59" t="s">
        <v>5082</v>
      </c>
    </row>
    <row r="66" spans="1:7" ht="11.25" customHeight="1">
      <c r="A66" s="59" t="s">
        <v>14</v>
      </c>
      <c r="B66" s="59" t="s">
        <v>5083</v>
      </c>
      <c r="C66" s="59" t="s">
        <v>5084</v>
      </c>
      <c r="D66" s="59" t="s">
        <v>5083</v>
      </c>
      <c r="E66" s="59" t="s">
        <v>5084</v>
      </c>
      <c r="F66" s="59" t="s">
        <v>4948</v>
      </c>
      <c r="G66" s="59" t="s">
        <v>5085</v>
      </c>
    </row>
    <row r="67" spans="1:7" ht="11.25" customHeight="1">
      <c r="A67" s="59" t="s">
        <v>14</v>
      </c>
      <c r="B67" s="59" t="s">
        <v>5086</v>
      </c>
      <c r="C67" s="59" t="s">
        <v>5087</v>
      </c>
      <c r="D67" s="59" t="s">
        <v>5086</v>
      </c>
      <c r="E67" s="59" t="s">
        <v>5087</v>
      </c>
      <c r="F67" s="59" t="s">
        <v>4948</v>
      </c>
      <c r="G67" s="59" t="s">
        <v>1908</v>
      </c>
    </row>
    <row r="68" spans="1:7" ht="11.25" customHeight="1">
      <c r="A68" s="59" t="s">
        <v>14</v>
      </c>
      <c r="B68" s="59" t="s">
        <v>5088</v>
      </c>
      <c r="C68" s="59" t="s">
        <v>5089</v>
      </c>
      <c r="D68" s="59" t="s">
        <v>5088</v>
      </c>
      <c r="E68" s="59" t="s">
        <v>5089</v>
      </c>
      <c r="F68" s="59" t="s">
        <v>4948</v>
      </c>
      <c r="G68" s="59" t="s">
        <v>5090</v>
      </c>
    </row>
    <row r="69" spans="1:7" ht="11.25" customHeight="1">
      <c r="A69" s="59" t="s">
        <v>14</v>
      </c>
      <c r="B69" s="59" t="s">
        <v>5091</v>
      </c>
      <c r="C69" s="59" t="s">
        <v>5092</v>
      </c>
      <c r="D69" s="59" t="s">
        <v>5091</v>
      </c>
      <c r="E69" s="59" t="s">
        <v>5092</v>
      </c>
      <c r="F69" s="59" t="s">
        <v>4948</v>
      </c>
      <c r="G69" s="59" t="s">
        <v>2119</v>
      </c>
    </row>
    <row r="70" spans="1:7" ht="11.25" customHeight="1">
      <c r="A70" s="59" t="s">
        <v>14</v>
      </c>
      <c r="B70" s="59" t="s">
        <v>5093</v>
      </c>
      <c r="C70" s="59" t="s">
        <v>5094</v>
      </c>
      <c r="D70" s="59" t="s">
        <v>5093</v>
      </c>
      <c r="E70" s="59" t="s">
        <v>5094</v>
      </c>
      <c r="F70" s="59" t="s">
        <v>4948</v>
      </c>
      <c r="G70" s="59" t="s">
        <v>5095</v>
      </c>
    </row>
    <row r="71" spans="1:7" ht="11.25" customHeight="1">
      <c r="A71" s="59" t="s">
        <v>14</v>
      </c>
      <c r="B71" s="59" t="s">
        <v>5096</v>
      </c>
      <c r="C71" s="59" t="s">
        <v>5097</v>
      </c>
      <c r="D71" s="59" t="s">
        <v>5096</v>
      </c>
      <c r="E71" s="59" t="s">
        <v>5097</v>
      </c>
      <c r="F71" s="59" t="s">
        <v>4948</v>
      </c>
      <c r="G71" s="59" t="s">
        <v>5098</v>
      </c>
    </row>
    <row r="72" spans="1:7" ht="11.25" customHeight="1">
      <c r="A72" s="59" t="s">
        <v>14</v>
      </c>
      <c r="B72" s="59" t="s">
        <v>5099</v>
      </c>
      <c r="C72" s="59" t="s">
        <v>5100</v>
      </c>
      <c r="D72" s="59" t="s">
        <v>5099</v>
      </c>
      <c r="E72" s="59" t="s">
        <v>5100</v>
      </c>
      <c r="F72" s="59" t="s">
        <v>4948</v>
      </c>
      <c r="G72" s="59" t="s">
        <v>5101</v>
      </c>
    </row>
    <row r="73" spans="1:7" ht="11.25" customHeight="1">
      <c r="A73" s="59" t="s">
        <v>14</v>
      </c>
      <c r="B73" s="59" t="s">
        <v>5102</v>
      </c>
      <c r="C73" s="59" t="s">
        <v>5103</v>
      </c>
      <c r="D73" s="59" t="s">
        <v>5102</v>
      </c>
      <c r="E73" s="59" t="s">
        <v>5103</v>
      </c>
      <c r="F73" s="59" t="s">
        <v>4948</v>
      </c>
      <c r="G73" s="59" t="s">
        <v>5104</v>
      </c>
    </row>
    <row r="74" spans="1:7" ht="11.25" customHeight="1">
      <c r="A74" s="59" t="s">
        <v>14</v>
      </c>
      <c r="B74" s="59" t="s">
        <v>5105</v>
      </c>
      <c r="C74" s="59" t="s">
        <v>5106</v>
      </c>
      <c r="D74" s="59" t="s">
        <v>5105</v>
      </c>
      <c r="E74" s="59" t="s">
        <v>5106</v>
      </c>
      <c r="F74" s="59" t="s">
        <v>4948</v>
      </c>
      <c r="G74" s="59" t="s">
        <v>5107</v>
      </c>
    </row>
    <row r="75" spans="1:7" ht="11.25" customHeight="1">
      <c r="A75" s="59" t="s">
        <v>14</v>
      </c>
      <c r="B75" s="59" t="s">
        <v>5108</v>
      </c>
      <c r="C75" s="59" t="s">
        <v>5109</v>
      </c>
      <c r="D75" s="59" t="s">
        <v>5108</v>
      </c>
      <c r="E75" s="59" t="s">
        <v>5109</v>
      </c>
      <c r="F75" s="59" t="s">
        <v>4948</v>
      </c>
      <c r="G75" s="59" t="s">
        <v>5110</v>
      </c>
    </row>
    <row r="76" spans="1:7" ht="11.25" customHeight="1">
      <c r="A76" s="59" t="s">
        <v>14</v>
      </c>
      <c r="B76" s="59" t="s">
        <v>5111</v>
      </c>
      <c r="C76" s="59" t="s">
        <v>5112</v>
      </c>
      <c r="D76" s="59" t="s">
        <v>5111</v>
      </c>
      <c r="E76" s="59" t="s">
        <v>5112</v>
      </c>
      <c r="F76" s="59" t="s">
        <v>4948</v>
      </c>
      <c r="G76" s="59" t="s">
        <v>5113</v>
      </c>
    </row>
    <row r="77" spans="1:7" ht="11.25" customHeight="1">
      <c r="A77" s="59" t="s">
        <v>14</v>
      </c>
      <c r="B77" s="59" t="s">
        <v>5114</v>
      </c>
      <c r="C77" s="59" t="s">
        <v>5115</v>
      </c>
      <c r="D77" s="59" t="s">
        <v>5114</v>
      </c>
      <c r="E77" s="59" t="s">
        <v>5115</v>
      </c>
      <c r="F77" s="59" t="s">
        <v>4948</v>
      </c>
      <c r="G77" s="59" t="s">
        <v>5116</v>
      </c>
    </row>
    <row r="78" spans="1:7" ht="11.25" customHeight="1">
      <c r="A78" s="59" t="s">
        <v>14</v>
      </c>
      <c r="B78" s="59" t="s">
        <v>5117</v>
      </c>
      <c r="C78" s="59" t="s">
        <v>5118</v>
      </c>
      <c r="D78" s="59" t="s">
        <v>5117</v>
      </c>
      <c r="E78" s="59" t="s">
        <v>5118</v>
      </c>
      <c r="F78" s="59" t="s">
        <v>4948</v>
      </c>
      <c r="G78" s="59" t="s">
        <v>5119</v>
      </c>
    </row>
    <row r="79" spans="1:7" ht="11.25" customHeight="1">
      <c r="A79" s="59" t="s">
        <v>14</v>
      </c>
      <c r="B79" s="59" t="s">
        <v>5120</v>
      </c>
      <c r="C79" s="59" t="s">
        <v>5121</v>
      </c>
      <c r="D79" s="59" t="s">
        <v>5120</v>
      </c>
      <c r="E79" s="59" t="s">
        <v>5121</v>
      </c>
      <c r="F79" s="59" t="s">
        <v>4948</v>
      </c>
      <c r="G79" s="59" t="s">
        <v>5122</v>
      </c>
    </row>
    <row r="80" spans="1:7" ht="11.25" customHeight="1">
      <c r="A80" s="59" t="s">
        <v>14</v>
      </c>
      <c r="B80" s="59" t="s">
        <v>5123</v>
      </c>
      <c r="C80" s="59" t="s">
        <v>5124</v>
      </c>
      <c r="D80" s="59" t="s">
        <v>5123</v>
      </c>
      <c r="E80" s="59" t="s">
        <v>5124</v>
      </c>
      <c r="F80" s="59" t="s">
        <v>4948</v>
      </c>
      <c r="G80" s="59" t="s">
        <v>5125</v>
      </c>
    </row>
    <row r="81" spans="1:7" ht="11.25" customHeight="1">
      <c r="A81" s="59" t="s">
        <v>14</v>
      </c>
      <c r="B81" s="59" t="s">
        <v>5126</v>
      </c>
      <c r="C81" s="59" t="s">
        <v>5127</v>
      </c>
      <c r="D81" s="59" t="s">
        <v>5126</v>
      </c>
      <c r="E81" s="59" t="s">
        <v>5127</v>
      </c>
      <c r="F81" s="59" t="s">
        <v>4948</v>
      </c>
      <c r="G81" s="59" t="s">
        <v>5128</v>
      </c>
    </row>
    <row r="82" spans="1:7" ht="11.25" customHeight="1">
      <c r="A82" s="59" t="s">
        <v>14</v>
      </c>
      <c r="B82" s="59" t="s">
        <v>5129</v>
      </c>
      <c r="C82" s="59" t="s">
        <v>5130</v>
      </c>
      <c r="D82" s="59" t="s">
        <v>5129</v>
      </c>
      <c r="E82" s="59" t="s">
        <v>5130</v>
      </c>
      <c r="F82" s="59" t="s">
        <v>4948</v>
      </c>
      <c r="G82" s="59" t="s">
        <v>5131</v>
      </c>
    </row>
    <row r="83" spans="1:7" ht="11.25" customHeight="1">
      <c r="A83" s="59" t="s">
        <v>14</v>
      </c>
      <c r="B83" s="59" t="s">
        <v>5132</v>
      </c>
      <c r="C83" s="59" t="s">
        <v>5133</v>
      </c>
      <c r="D83" s="59" t="s">
        <v>5132</v>
      </c>
      <c r="E83" s="59" t="s">
        <v>5133</v>
      </c>
      <c r="F83" s="59" t="s">
        <v>4948</v>
      </c>
      <c r="G83" s="59" t="s">
        <v>5134</v>
      </c>
    </row>
    <row r="84" spans="1:7" ht="11.25" customHeight="1">
      <c r="A84" s="59" t="s">
        <v>14</v>
      </c>
      <c r="B84" s="59" t="s">
        <v>5135</v>
      </c>
      <c r="C84" s="59" t="s">
        <v>5136</v>
      </c>
      <c r="D84" s="59" t="s">
        <v>5135</v>
      </c>
      <c r="E84" s="59" t="s">
        <v>5136</v>
      </c>
      <c r="F84" s="59" t="s">
        <v>4948</v>
      </c>
      <c r="G84" s="59" t="s">
        <v>5137</v>
      </c>
    </row>
    <row r="85" spans="1:7" ht="11.25" customHeight="1">
      <c r="A85" s="59" t="s">
        <v>14</v>
      </c>
      <c r="B85" s="59" t="s">
        <v>5138</v>
      </c>
      <c r="C85" s="59" t="s">
        <v>5139</v>
      </c>
      <c r="D85" s="59" t="s">
        <v>5138</v>
      </c>
      <c r="E85" s="59" t="s">
        <v>5139</v>
      </c>
      <c r="F85" s="59" t="s">
        <v>4948</v>
      </c>
      <c r="G85" s="59" t="s">
        <v>5140</v>
      </c>
    </row>
    <row r="86" spans="1:7" ht="11.25" customHeight="1">
      <c r="A86" s="59" t="s">
        <v>14</v>
      </c>
      <c r="B86" s="59" t="s">
        <v>5141</v>
      </c>
      <c r="C86" s="59" t="s">
        <v>5142</v>
      </c>
      <c r="D86" s="59" t="s">
        <v>5141</v>
      </c>
      <c r="E86" s="59" t="s">
        <v>5142</v>
      </c>
      <c r="F86" s="59" t="s">
        <v>4948</v>
      </c>
      <c r="G86" s="59" t="s">
        <v>5143</v>
      </c>
    </row>
    <row r="87" spans="1:7" ht="11.25" customHeight="1">
      <c r="A87" s="59" t="s">
        <v>14</v>
      </c>
      <c r="B87" s="59" t="s">
        <v>5144</v>
      </c>
      <c r="C87" s="59" t="s">
        <v>5145</v>
      </c>
      <c r="D87" s="59" t="s">
        <v>5146</v>
      </c>
      <c r="E87" s="59" t="s">
        <v>5147</v>
      </c>
      <c r="F87" s="59" t="s">
        <v>4961</v>
      </c>
      <c r="G87" s="59" t="s">
        <v>5148</v>
      </c>
    </row>
    <row r="88" spans="1:7" ht="11.25" customHeight="1">
      <c r="A88" s="59" t="s">
        <v>14</v>
      </c>
      <c r="B88" s="59" t="s">
        <v>5144</v>
      </c>
      <c r="C88" s="59" t="s">
        <v>5145</v>
      </c>
      <c r="D88" s="59" t="s">
        <v>5149</v>
      </c>
      <c r="E88" s="59" t="s">
        <v>5150</v>
      </c>
      <c r="F88" s="59" t="s">
        <v>4961</v>
      </c>
      <c r="G88" s="59" t="s">
        <v>5151</v>
      </c>
    </row>
    <row r="89" spans="1:7" ht="11.25" customHeight="1">
      <c r="A89" s="59" t="s">
        <v>14</v>
      </c>
      <c r="B89" s="59" t="s">
        <v>5144</v>
      </c>
      <c r="C89" s="59" t="s">
        <v>5145</v>
      </c>
      <c r="D89" s="59" t="s">
        <v>5152</v>
      </c>
      <c r="E89" s="59" t="s">
        <v>5153</v>
      </c>
      <c r="F89" s="59" t="s">
        <v>4961</v>
      </c>
      <c r="G89" s="59" t="s">
        <v>5154</v>
      </c>
    </row>
    <row r="90" spans="1:7" ht="11.25" customHeight="1">
      <c r="A90" s="59" t="s">
        <v>14</v>
      </c>
      <c r="B90" s="59" t="s">
        <v>5144</v>
      </c>
      <c r="C90" s="59" t="s">
        <v>5145</v>
      </c>
      <c r="D90" s="59" t="s">
        <v>5155</v>
      </c>
      <c r="E90" s="59" t="s">
        <v>5156</v>
      </c>
      <c r="F90" s="59" t="s">
        <v>4961</v>
      </c>
      <c r="G90" s="59" t="s">
        <v>5157</v>
      </c>
    </row>
    <row r="91" spans="1:7" ht="11.25" customHeight="1">
      <c r="A91" s="59" t="s">
        <v>14</v>
      </c>
      <c r="B91" s="59" t="s">
        <v>5144</v>
      </c>
      <c r="C91" s="59" t="s">
        <v>5145</v>
      </c>
      <c r="D91" s="59" t="s">
        <v>5158</v>
      </c>
      <c r="E91" s="59" t="s">
        <v>5159</v>
      </c>
      <c r="F91" s="59" t="s">
        <v>4961</v>
      </c>
      <c r="G91" s="59" t="s">
        <v>5160</v>
      </c>
    </row>
    <row r="92" spans="1:7" ht="11.25" customHeight="1">
      <c r="A92" s="59" t="s">
        <v>14</v>
      </c>
      <c r="B92" s="59" t="s">
        <v>5144</v>
      </c>
      <c r="C92" s="59" t="s">
        <v>5145</v>
      </c>
      <c r="D92" s="59" t="s">
        <v>5144</v>
      </c>
      <c r="E92" s="59" t="s">
        <v>5145</v>
      </c>
      <c r="F92" s="59" t="s">
        <v>4962</v>
      </c>
      <c r="G92" s="59" t="s">
        <v>5161</v>
      </c>
    </row>
    <row r="93" spans="1:7" ht="11.25" customHeight="1">
      <c r="A93" s="59" t="s">
        <v>14</v>
      </c>
      <c r="B93" s="59" t="s">
        <v>5162</v>
      </c>
      <c r="C93" s="59" t="s">
        <v>5163</v>
      </c>
      <c r="D93" s="59" t="s">
        <v>5162</v>
      </c>
      <c r="E93" s="59" t="s">
        <v>5163</v>
      </c>
      <c r="F93" s="59" t="s">
        <v>4948</v>
      </c>
      <c r="G93" s="59" t="s">
        <v>5164</v>
      </c>
    </row>
    <row r="94" spans="1:7" ht="11.25" customHeight="1">
      <c r="A94" s="59" t="s">
        <v>14</v>
      </c>
      <c r="B94" s="59" t="s">
        <v>5165</v>
      </c>
      <c r="C94" s="59" t="s">
        <v>5166</v>
      </c>
      <c r="D94" s="59" t="s">
        <v>5165</v>
      </c>
      <c r="E94" s="59" t="s">
        <v>5166</v>
      </c>
      <c r="F94" s="59" t="s">
        <v>4948</v>
      </c>
      <c r="G94" s="59" t="s">
        <v>5167</v>
      </c>
    </row>
    <row r="95" spans="1:7" ht="11.25" customHeight="1">
      <c r="A95" s="59" t="s">
        <v>14</v>
      </c>
      <c r="B95" s="59" t="s">
        <v>5168</v>
      </c>
      <c r="C95" s="59" t="s">
        <v>5169</v>
      </c>
      <c r="D95" s="59" t="s">
        <v>5168</v>
      </c>
      <c r="E95" s="59" t="s">
        <v>5169</v>
      </c>
      <c r="F95" s="59" t="s">
        <v>4948</v>
      </c>
      <c r="G95" s="59" t="s">
        <v>5170</v>
      </c>
    </row>
    <row r="96" spans="1:7" ht="11.25" customHeight="1">
      <c r="A96" s="59" t="s">
        <v>14</v>
      </c>
      <c r="B96" s="59" t="s">
        <v>5171</v>
      </c>
      <c r="C96" s="59" t="s">
        <v>5172</v>
      </c>
      <c r="D96" s="59" t="s">
        <v>5171</v>
      </c>
      <c r="E96" s="59" t="s">
        <v>5172</v>
      </c>
      <c r="F96" s="59" t="s">
        <v>4948</v>
      </c>
      <c r="G96" s="59" t="s">
        <v>5173</v>
      </c>
    </row>
  </sheetData>
  <pageMargins left="0.7" right="0.7" top="0.625" bottom="0.625" header="0.3" footer="0.3"/>
  <pageSetup orientation="portrait"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zoomScaleNormal="100" workbookViewId="0"/>
  </sheetViews>
  <sheetFormatPr defaultColWidth="9.140625" defaultRowHeight="11.25"/>
  <cols>
    <col min="1" max="1" width="9.140625" style="605"/>
    <col min="2" max="2" width="84.28515625" style="605" customWidth="1"/>
    <col min="3" max="3" width="9.140625" style="605"/>
  </cols>
  <sheetData>
    <row r="1" spans="1:3" ht="11.25" customHeight="1">
      <c r="A1" s="605" t="s">
        <v>5271</v>
      </c>
      <c r="B1" s="605" t="s">
        <v>5272</v>
      </c>
      <c r="C1" s="605" t="s">
        <v>1152</v>
      </c>
    </row>
    <row r="2" spans="1:3" ht="11.25" customHeight="1">
      <c r="A2" s="605">
        <v>4189678</v>
      </c>
      <c r="B2" s="605" t="s">
        <v>5273</v>
      </c>
      <c r="C2" s="605" t="s">
        <v>5274</v>
      </c>
    </row>
    <row r="3" spans="1:3" ht="11.25" customHeight="1">
      <c r="A3" s="605">
        <v>4190415</v>
      </c>
      <c r="B3" s="605" t="s">
        <v>5275</v>
      </c>
      <c r="C3" s="605" t="s">
        <v>5274</v>
      </c>
    </row>
  </sheetData>
  <pageMargins left="0.7" right="0.7" top="0.625" bottom="0.625" header="0.3" footer="0.3"/>
  <pageSetup orientation="portrait"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zoomScaleNormal="100" workbookViewId="0"/>
  </sheetViews>
  <sheetFormatPr defaultColWidth="9.140625" defaultRowHeight="15"/>
  <cols>
    <col min="1" max="1" width="38.42578125" style="1076" customWidth="1"/>
    <col min="2" max="5" width="9.140625" style="1076"/>
  </cols>
  <sheetData>
    <row r="1" spans="1:5" ht="15" customHeight="1">
      <c r="A1" s="1077" t="s">
        <v>5276</v>
      </c>
      <c r="B1" s="1077" t="s">
        <v>5277</v>
      </c>
      <c r="C1" s="1077"/>
      <c r="D1" s="1077"/>
      <c r="E1" s="1077"/>
    </row>
    <row r="2" spans="1:5" ht="15" customHeight="1">
      <c r="A2" s="1077"/>
      <c r="B2" s="1077"/>
      <c r="C2" s="1077"/>
      <c r="D2" s="1077"/>
      <c r="E2" s="1077"/>
    </row>
    <row r="3" spans="1:5" ht="15" customHeight="1">
      <c r="A3" s="1077"/>
      <c r="B3" s="1077"/>
      <c r="C3" s="1077"/>
      <c r="D3" s="1077"/>
      <c r="E3" s="1077"/>
    </row>
    <row r="4" spans="1:5" ht="15" customHeight="1">
      <c r="A4" s="1077"/>
      <c r="B4" s="1077"/>
      <c r="C4" s="1077"/>
      <c r="D4" s="1077"/>
      <c r="E4" s="1077"/>
    </row>
    <row r="5" spans="1:5" ht="15" customHeight="1">
      <c r="A5" s="1077"/>
      <c r="B5" s="1077"/>
      <c r="C5" s="1077"/>
      <c r="D5" s="1077"/>
      <c r="E5" s="1077"/>
    </row>
    <row r="6" spans="1:5" ht="15" customHeight="1">
      <c r="A6" s="1077"/>
      <c r="B6" s="1077"/>
      <c r="C6" s="1077"/>
      <c r="D6" s="1077"/>
      <c r="E6" s="1077"/>
    </row>
    <row r="7" spans="1:5" ht="15" customHeight="1">
      <c r="A7" s="1077"/>
      <c r="B7" s="1077"/>
      <c r="C7" s="1077"/>
      <c r="D7" s="1077"/>
      <c r="E7" s="1077"/>
    </row>
    <row r="8" spans="1:5" ht="15" customHeight="1">
      <c r="A8" s="1077"/>
      <c r="B8" s="1077"/>
      <c r="C8" s="1077"/>
      <c r="D8" s="1077"/>
      <c r="E8" s="1077"/>
    </row>
  </sheetData>
  <pageMargins left="0.7" right="0.7" top="0.625" bottom="0.625" header="0.3" footer="0.3"/>
  <pageSetup orientation="portrait"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zoomScaleNormal="100" workbookViewId="0"/>
  </sheetViews>
  <sheetFormatPr defaultColWidth="8.85546875" defaultRowHeight="11.25"/>
  <sheetData>
    <row r="1" spans="1:2" ht="11.25" customHeight="1">
      <c r="A1" s="59" t="s">
        <v>5278</v>
      </c>
      <c r="B1" s="59" t="b">
        <f>TRUE()</f>
        <v>1</v>
      </c>
    </row>
    <row r="2" spans="1:2" ht="11.25" customHeight="1">
      <c r="A2" s="59" t="s">
        <v>5279</v>
      </c>
      <c r="B2" s="59" t="b">
        <f>FALSE()</f>
        <v>0</v>
      </c>
    </row>
    <row r="3" spans="1:2" ht="11.25" customHeight="1">
      <c r="A3" s="59" t="s">
        <v>5280</v>
      </c>
      <c r="B3" s="59" t="b">
        <f>FALSE()</f>
        <v>0</v>
      </c>
    </row>
    <row r="4" spans="1:2" ht="11.25" customHeight="1">
      <c r="A4" s="59" t="s">
        <v>5281</v>
      </c>
      <c r="B4" s="59" t="b">
        <f>FALSE()</f>
        <v>0</v>
      </c>
    </row>
    <row r="5" spans="1:2" ht="11.25" customHeight="1">
      <c r="A5" s="59" t="s">
        <v>5282</v>
      </c>
      <c r="B5" s="59" t="b">
        <f>TRUE()</f>
        <v>1</v>
      </c>
    </row>
    <row r="6" spans="1:2" ht="11.25" customHeight="1">
      <c r="A6" s="59" t="s">
        <v>5283</v>
      </c>
      <c r="B6" s="59" t="b">
        <f>FALSE()</f>
        <v>0</v>
      </c>
    </row>
    <row r="7" spans="1:2" ht="11.25" customHeight="1">
      <c r="A7" s="59" t="s">
        <v>5284</v>
      </c>
      <c r="B7" s="59" t="b">
        <f>FALSE()</f>
        <v>0</v>
      </c>
    </row>
    <row r="8" spans="1:2" ht="11.25" customHeight="1">
      <c r="A8" s="59" t="s">
        <v>5285</v>
      </c>
      <c r="B8" s="59" t="b">
        <f>FALSE()</f>
        <v>0</v>
      </c>
    </row>
    <row r="9" spans="1:2" ht="11.25" customHeight="1">
      <c r="A9" s="59" t="s">
        <v>5286</v>
      </c>
      <c r="B9" s="59" t="b">
        <f>TRUE()</f>
        <v>1</v>
      </c>
    </row>
    <row r="10" spans="1:2" ht="11.25" customHeight="1">
      <c r="A10" s="59" t="s">
        <v>5287</v>
      </c>
      <c r="B10" s="59" t="b">
        <f>FALSE()</f>
        <v>0</v>
      </c>
    </row>
    <row r="11" spans="1:2" ht="11.25" customHeight="1">
      <c r="A11" s="59" t="s">
        <v>5288</v>
      </c>
      <c r="B11" s="59" t="b">
        <f>FALSE()</f>
        <v>0</v>
      </c>
    </row>
    <row r="12" spans="1:2" ht="11.25" customHeight="1">
      <c r="A12" s="59" t="s">
        <v>5289</v>
      </c>
      <c r="B12" s="59" t="b">
        <f>FALSE()</f>
        <v>0</v>
      </c>
    </row>
    <row r="13" spans="1:2" ht="11.25" customHeight="1">
      <c r="A13" s="59" t="s">
        <v>5290</v>
      </c>
      <c r="B13" s="59" t="b">
        <f>FALSE()</f>
        <v>0</v>
      </c>
    </row>
    <row r="14" spans="1:2" ht="11.25" customHeight="1">
      <c r="A14" s="59" t="s">
        <v>5291</v>
      </c>
      <c r="B14" s="59" t="b">
        <f>FALSE()</f>
        <v>0</v>
      </c>
    </row>
    <row r="15" spans="1:2" ht="11.25" customHeight="1">
      <c r="A15" s="59" t="s">
        <v>5292</v>
      </c>
      <c r="B15" s="59" t="b">
        <f>TRUE()</f>
        <v>1</v>
      </c>
    </row>
  </sheetData>
  <pageMargins left="0.7" right="0.7" top="0.625" bottom="0.625" header="0.3" footer="0.3"/>
  <pageSetup orientation="portrait"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zoomScaleNormal="100" workbookViewId="0"/>
  </sheetViews>
  <sheetFormatPr defaultColWidth="9.140625" defaultRowHeight="12.75"/>
  <cols>
    <col min="1" max="1" width="9.140625" style="15"/>
  </cols>
  <sheetData/>
  <pageMargins left="0.75" right="0.75" top="0.875" bottom="0.875" header="0.5" footer="0.5"/>
  <pageSetup orientation="portrait"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70"/>
  <sheetViews>
    <sheetView showGridLines="0" zoomScaleNormal="100" workbookViewId="0"/>
  </sheetViews>
  <sheetFormatPr defaultColWidth="9.140625" defaultRowHeight="11.25"/>
  <cols>
    <col min="1" max="1" width="36.28515625" style="59" customWidth="1"/>
    <col min="2" max="2" width="21.140625" style="59" customWidth="1"/>
  </cols>
  <sheetData>
    <row r="1" spans="1:2" ht="11.25" customHeight="1">
      <c r="A1" s="1078" t="s">
        <v>5293</v>
      </c>
      <c r="B1" s="1078" t="s">
        <v>5294</v>
      </c>
    </row>
    <row r="2" spans="1:2" ht="11.25" customHeight="1">
      <c r="A2" s="59" t="s">
        <v>5295</v>
      </c>
      <c r="B2" s="59" t="s">
        <v>5296</v>
      </c>
    </row>
    <row r="3" spans="1:2" ht="11.25" customHeight="1">
      <c r="A3" s="59" t="s">
        <v>5297</v>
      </c>
      <c r="B3" s="59" t="s">
        <v>5298</v>
      </c>
    </row>
    <row r="4" spans="1:2" ht="11.25" customHeight="1">
      <c r="A4" s="59" t="s">
        <v>5299</v>
      </c>
      <c r="B4" s="59" t="s">
        <v>5300</v>
      </c>
    </row>
    <row r="5" spans="1:2" ht="11.25" customHeight="1">
      <c r="A5" s="59" t="s">
        <v>5301</v>
      </c>
      <c r="B5" s="59" t="s">
        <v>5302</v>
      </c>
    </row>
    <row r="6" spans="1:2" ht="11.25" customHeight="1">
      <c r="A6" s="59" t="s">
        <v>5303</v>
      </c>
      <c r="B6" s="59" t="s">
        <v>5304</v>
      </c>
    </row>
    <row r="7" spans="1:2" ht="11.25" customHeight="1">
      <c r="A7" s="59" t="s">
        <v>5305</v>
      </c>
      <c r="B7" s="59" t="s">
        <v>5306</v>
      </c>
    </row>
    <row r="8" spans="1:2" ht="11.25" customHeight="1">
      <c r="A8" s="59" t="s">
        <v>5307</v>
      </c>
      <c r="B8" s="59" t="s">
        <v>5308</v>
      </c>
    </row>
    <row r="9" spans="1:2" ht="11.25" customHeight="1">
      <c r="A9" s="59" t="s">
        <v>5309</v>
      </c>
      <c r="B9" s="59" t="s">
        <v>5310</v>
      </c>
    </row>
    <row r="10" spans="1:2" ht="11.25" customHeight="1">
      <c r="A10" s="59" t="s">
        <v>5311</v>
      </c>
      <c r="B10" s="59" t="s">
        <v>5312</v>
      </c>
    </row>
    <row r="11" spans="1:2" ht="11.25" customHeight="1">
      <c r="A11" s="59" t="s">
        <v>5313</v>
      </c>
      <c r="B11" s="59" t="s">
        <v>5314</v>
      </c>
    </row>
    <row r="12" spans="1:2" ht="11.25" customHeight="1">
      <c r="A12" s="59" t="s">
        <v>5315</v>
      </c>
      <c r="B12" s="59" t="s">
        <v>5316</v>
      </c>
    </row>
    <row r="13" spans="1:2" ht="11.25" customHeight="1">
      <c r="A13" s="59" t="s">
        <v>5317</v>
      </c>
      <c r="B13" s="59" t="s">
        <v>5318</v>
      </c>
    </row>
    <row r="14" spans="1:2" ht="11.25" customHeight="1">
      <c r="A14" s="59" t="s">
        <v>5319</v>
      </c>
      <c r="B14" s="59" t="s">
        <v>5320</v>
      </c>
    </row>
    <row r="15" spans="1:2" ht="11.25" customHeight="1">
      <c r="A15" s="59" t="s">
        <v>5321</v>
      </c>
      <c r="B15" s="59" t="s">
        <v>5322</v>
      </c>
    </row>
    <row r="16" spans="1:2" ht="11.25" customHeight="1">
      <c r="A16" s="59" t="s">
        <v>5323</v>
      </c>
      <c r="B16" s="59" t="s">
        <v>5324</v>
      </c>
    </row>
    <row r="17" spans="1:2" ht="11.25" customHeight="1">
      <c r="A17" s="59" t="s">
        <v>5325</v>
      </c>
      <c r="B17" s="59" t="s">
        <v>5326</v>
      </c>
    </row>
    <row r="18" spans="1:2" ht="11.25" customHeight="1">
      <c r="A18" s="59" t="s">
        <v>5327</v>
      </c>
      <c r="B18" s="59" t="s">
        <v>5328</v>
      </c>
    </row>
    <row r="19" spans="1:2" ht="11.25" customHeight="1">
      <c r="A19" s="59" t="s">
        <v>5329</v>
      </c>
      <c r="B19" s="59" t="s">
        <v>5330</v>
      </c>
    </row>
    <row r="20" spans="1:2" ht="11.25" customHeight="1">
      <c r="A20" s="59" t="s">
        <v>5331</v>
      </c>
      <c r="B20" s="59" t="s">
        <v>5332</v>
      </c>
    </row>
    <row r="21" spans="1:2" ht="11.25" customHeight="1">
      <c r="A21" s="59" t="s">
        <v>5333</v>
      </c>
      <c r="B21" s="59" t="s">
        <v>5334</v>
      </c>
    </row>
    <row r="22" spans="1:2" ht="11.25" customHeight="1">
      <c r="A22" s="59" t="s">
        <v>5335</v>
      </c>
      <c r="B22" s="59" t="s">
        <v>5336</v>
      </c>
    </row>
    <row r="23" spans="1:2" ht="11.25" customHeight="1">
      <c r="A23" s="59" t="s">
        <v>5337</v>
      </c>
      <c r="B23" s="59" t="s">
        <v>5338</v>
      </c>
    </row>
    <row r="24" spans="1:2" ht="11.25" customHeight="1">
      <c r="A24" s="59" t="s">
        <v>5339</v>
      </c>
      <c r="B24" s="59" t="s">
        <v>5340</v>
      </c>
    </row>
    <row r="25" spans="1:2" ht="11.25" customHeight="1">
      <c r="A25" s="59" t="s">
        <v>5341</v>
      </c>
      <c r="B25" s="59" t="s">
        <v>5342</v>
      </c>
    </row>
    <row r="26" spans="1:2" ht="11.25" customHeight="1">
      <c r="A26" s="59" t="s">
        <v>5343</v>
      </c>
      <c r="B26" s="59" t="s">
        <v>5344</v>
      </c>
    </row>
    <row r="27" spans="1:2" ht="11.25" customHeight="1">
      <c r="A27" s="59" t="s">
        <v>5345</v>
      </c>
      <c r="B27" s="59" t="s">
        <v>5346</v>
      </c>
    </row>
    <row r="28" spans="1:2" ht="11.25" customHeight="1">
      <c r="A28" s="59" t="s">
        <v>5347</v>
      </c>
      <c r="B28" s="59" t="s">
        <v>5348</v>
      </c>
    </row>
    <row r="29" spans="1:2" ht="11.25" customHeight="1">
      <c r="A29" s="59" t="s">
        <v>5349</v>
      </c>
      <c r="B29" s="59" t="s">
        <v>5350</v>
      </c>
    </row>
    <row r="30" spans="1:2" ht="11.25" customHeight="1">
      <c r="A30" s="59" t="s">
        <v>5351</v>
      </c>
      <c r="B30" s="59" t="s">
        <v>5352</v>
      </c>
    </row>
    <row r="31" spans="1:2" ht="11.25" customHeight="1">
      <c r="A31" s="59" t="s">
        <v>5353</v>
      </c>
      <c r="B31" s="59" t="s">
        <v>5354</v>
      </c>
    </row>
    <row r="32" spans="1:2" ht="11.25" customHeight="1">
      <c r="A32" s="59" t="s">
        <v>5355</v>
      </c>
      <c r="B32" s="59" t="s">
        <v>5356</v>
      </c>
    </row>
    <row r="33" spans="1:2" ht="11.25" customHeight="1">
      <c r="A33" s="59" t="s">
        <v>5357</v>
      </c>
      <c r="B33" s="59" t="s">
        <v>5358</v>
      </c>
    </row>
    <row r="34" spans="1:2" ht="11.25" customHeight="1">
      <c r="A34" s="59" t="s">
        <v>5359</v>
      </c>
      <c r="B34" s="59" t="s">
        <v>5360</v>
      </c>
    </row>
    <row r="35" spans="1:2" ht="11.25" customHeight="1">
      <c r="A35" s="59" t="s">
        <v>5361</v>
      </c>
      <c r="B35" s="59" t="s">
        <v>5362</v>
      </c>
    </row>
    <row r="36" spans="1:2" ht="11.25" customHeight="1">
      <c r="A36" s="59" t="s">
        <v>5363</v>
      </c>
      <c r="B36" s="59" t="s">
        <v>5364</v>
      </c>
    </row>
    <row r="37" spans="1:2" ht="11.25" customHeight="1">
      <c r="A37" s="59" t="s">
        <v>5365</v>
      </c>
      <c r="B37" s="59" t="s">
        <v>5366</v>
      </c>
    </row>
    <row r="38" spans="1:2" ht="11.25" customHeight="1">
      <c r="A38" s="59" t="s">
        <v>5367</v>
      </c>
      <c r="B38" s="59" t="s">
        <v>5368</v>
      </c>
    </row>
    <row r="39" spans="1:2" ht="11.25" customHeight="1">
      <c r="A39" s="59" t="s">
        <v>5369</v>
      </c>
      <c r="B39" s="59" t="s">
        <v>5370</v>
      </c>
    </row>
    <row r="40" spans="1:2" ht="11.25" customHeight="1">
      <c r="A40" s="59" t="s">
        <v>5371</v>
      </c>
      <c r="B40" s="59" t="s">
        <v>5372</v>
      </c>
    </row>
    <row r="41" spans="1:2" ht="11.25" customHeight="1">
      <c r="A41" s="59" t="s">
        <v>5373</v>
      </c>
      <c r="B41" s="59" t="s">
        <v>5374</v>
      </c>
    </row>
    <row r="42" spans="1:2" ht="11.25" customHeight="1">
      <c r="A42" s="59" t="s">
        <v>5375</v>
      </c>
      <c r="B42" s="59" t="s">
        <v>5376</v>
      </c>
    </row>
    <row r="43" spans="1:2" ht="11.25" customHeight="1">
      <c r="A43" s="59" t="s">
        <v>5377</v>
      </c>
      <c r="B43" s="59" t="s">
        <v>5378</v>
      </c>
    </row>
    <row r="44" spans="1:2" ht="11.25" customHeight="1">
      <c r="A44" s="59" t="s">
        <v>5379</v>
      </c>
      <c r="B44" s="59" t="s">
        <v>5380</v>
      </c>
    </row>
    <row r="45" spans="1:2" ht="11.25" customHeight="1">
      <c r="A45" s="59" t="s">
        <v>5381</v>
      </c>
      <c r="B45" s="59" t="s">
        <v>5382</v>
      </c>
    </row>
    <row r="46" spans="1:2" ht="11.25" customHeight="1">
      <c r="A46" s="59" t="s">
        <v>5383</v>
      </c>
      <c r="B46" s="59" t="s">
        <v>5384</v>
      </c>
    </row>
    <row r="47" spans="1:2" ht="11.25" customHeight="1">
      <c r="A47" s="59" t="s">
        <v>5385</v>
      </c>
      <c r="B47" s="59" t="s">
        <v>5386</v>
      </c>
    </row>
    <row r="48" spans="1:2" ht="11.25" customHeight="1">
      <c r="A48" s="59" t="s">
        <v>5387</v>
      </c>
      <c r="B48" s="59" t="s">
        <v>5388</v>
      </c>
    </row>
    <row r="49" spans="1:2" ht="11.25" customHeight="1">
      <c r="A49" s="59" t="s">
        <v>5389</v>
      </c>
      <c r="B49" s="59" t="s">
        <v>5390</v>
      </c>
    </row>
    <row r="50" spans="1:2" ht="11.25" customHeight="1">
      <c r="A50" s="59" t="s">
        <v>5391</v>
      </c>
      <c r="B50" s="59" t="s">
        <v>5392</v>
      </c>
    </row>
    <row r="51" spans="1:2" ht="11.25" customHeight="1">
      <c r="A51" s="59" t="s">
        <v>5393</v>
      </c>
      <c r="B51" s="59" t="s">
        <v>5394</v>
      </c>
    </row>
    <row r="52" spans="1:2" ht="11.25" customHeight="1">
      <c r="A52" s="59" t="s">
        <v>5395</v>
      </c>
      <c r="B52" s="59" t="s">
        <v>5396</v>
      </c>
    </row>
    <row r="53" spans="1:2" ht="11.25" customHeight="1">
      <c r="A53" s="59" t="s">
        <v>5397</v>
      </c>
      <c r="B53" s="59" t="s">
        <v>5398</v>
      </c>
    </row>
    <row r="54" spans="1:2" ht="11.25" customHeight="1">
      <c r="A54" s="59" t="s">
        <v>5399</v>
      </c>
      <c r="B54" s="59" t="s">
        <v>5400</v>
      </c>
    </row>
    <row r="55" spans="1:2" ht="11.25" customHeight="1">
      <c r="A55" s="59" t="s">
        <v>5401</v>
      </c>
      <c r="B55" s="59" t="s">
        <v>5402</v>
      </c>
    </row>
    <row r="56" spans="1:2" ht="11.25" customHeight="1">
      <c r="A56" s="59" t="s">
        <v>5403</v>
      </c>
      <c r="B56" s="59" t="s">
        <v>5404</v>
      </c>
    </row>
    <row r="57" spans="1:2" ht="11.25" customHeight="1">
      <c r="A57" s="59" t="s">
        <v>5405</v>
      </c>
      <c r="B57" s="59" t="s">
        <v>5406</v>
      </c>
    </row>
    <row r="58" spans="1:2" ht="11.25" customHeight="1">
      <c r="A58" s="59" t="s">
        <v>5407</v>
      </c>
      <c r="B58" s="59" t="s">
        <v>5408</v>
      </c>
    </row>
    <row r="59" spans="1:2" ht="11.25" customHeight="1">
      <c r="A59" s="59" t="s">
        <v>5409</v>
      </c>
      <c r="B59" s="59" t="s">
        <v>5410</v>
      </c>
    </row>
    <row r="60" spans="1:2" ht="11.25" customHeight="1">
      <c r="A60" s="59" t="s">
        <v>5411</v>
      </c>
      <c r="B60" s="59" t="s">
        <v>5412</v>
      </c>
    </row>
    <row r="61" spans="1:2" ht="11.25" customHeight="1">
      <c r="B61" s="59" t="s">
        <v>5413</v>
      </c>
    </row>
    <row r="62" spans="1:2" ht="11.25" customHeight="1">
      <c r="B62" s="59" t="s">
        <v>5414</v>
      </c>
    </row>
    <row r="63" spans="1:2" ht="11.25" customHeight="1">
      <c r="B63" s="59" t="s">
        <v>5415</v>
      </c>
    </row>
    <row r="64" spans="1:2" ht="11.25" customHeight="1">
      <c r="B64" s="59" t="s">
        <v>5416</v>
      </c>
    </row>
    <row r="65" spans="2:2" ht="11.25" customHeight="1">
      <c r="B65" s="59" t="s">
        <v>5417</v>
      </c>
    </row>
    <row r="66" spans="2:2" ht="11.25" customHeight="1">
      <c r="B66" s="59" t="s">
        <v>5418</v>
      </c>
    </row>
    <row r="67" spans="2:2" ht="11.25" customHeight="1">
      <c r="B67" s="59" t="s">
        <v>5419</v>
      </c>
    </row>
    <row r="68" spans="2:2" ht="11.25" customHeight="1">
      <c r="B68" s="59" t="s">
        <v>5420</v>
      </c>
    </row>
    <row r="69" spans="2:2" ht="11.25" customHeight="1">
      <c r="B69" s="59" t="s">
        <v>5421</v>
      </c>
    </row>
    <row r="70" spans="2:2" ht="11.25" customHeight="1">
      <c r="B70" s="59" t="s">
        <v>5422</v>
      </c>
    </row>
  </sheetData>
  <pageMargins left="0.75" right="0.75" top="0.875" bottom="0.875" header="0.5" footer="0.5"/>
  <pageSetup paperSize="9" orientation="portrait"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zoomScaleNormal="100" workbookViewId="0"/>
  </sheetViews>
  <sheetFormatPr defaultColWidth="9.140625" defaultRowHeight="11.25"/>
  <cols>
    <col min="1" max="1" width="3.7109375" style="59" customWidth="1"/>
    <col min="2" max="2" width="90.7109375" style="59" customWidth="1"/>
    <col min="3" max="4" width="9.140625" style="59"/>
  </cols>
  <sheetData>
    <row r="1" spans="2:4" ht="11.25" customHeight="1">
      <c r="B1" s="1079" t="s">
        <v>5423</v>
      </c>
    </row>
    <row r="2" spans="2:4" ht="90" customHeight="1">
      <c r="B2" s="1080" t="s">
        <v>5424</v>
      </c>
    </row>
    <row r="3" spans="2:4" ht="67.5" customHeight="1">
      <c r="B3" s="1080" t="s">
        <v>5425</v>
      </c>
    </row>
    <row r="4" spans="2:4" ht="33.75" customHeight="1">
      <c r="B4" s="1080" t="s">
        <v>5426</v>
      </c>
    </row>
    <row r="5" spans="2:4" ht="11.25" customHeight="1">
      <c r="B5" s="1080" t="s">
        <v>5427</v>
      </c>
    </row>
    <row r="6" spans="2:4" ht="22.5" customHeight="1">
      <c r="B6" s="1080" t="s">
        <v>5428</v>
      </c>
    </row>
    <row r="7" spans="2:4" ht="22.5" customHeight="1">
      <c r="B7" s="1080" t="s">
        <v>5429</v>
      </c>
    </row>
    <row r="8" spans="2:4" ht="22.5" customHeight="1">
      <c r="B8" s="1080" t="s">
        <v>5430</v>
      </c>
    </row>
    <row r="9" spans="2:4" ht="22.5" customHeight="1">
      <c r="B9" s="1080" t="s">
        <v>5431</v>
      </c>
    </row>
    <row r="10" spans="2:4" ht="56.25" customHeight="1">
      <c r="B10" s="1080" t="s">
        <v>5432</v>
      </c>
    </row>
    <row r="11" spans="2:4" ht="12.75" customHeight="1">
      <c r="B11" s="1081" t="s">
        <v>5433</v>
      </c>
    </row>
    <row r="12" spans="2:4" ht="11.25" customHeight="1">
      <c r="B12" s="1079" t="s">
        <v>5434</v>
      </c>
    </row>
    <row r="13" spans="2:4" ht="22.5" customHeight="1">
      <c r="B13" s="1080" t="s">
        <v>5435</v>
      </c>
    </row>
    <row r="14" spans="2:4" ht="67.5" customHeight="1">
      <c r="B14" s="1080" t="s">
        <v>5436</v>
      </c>
    </row>
    <row r="15" spans="2:4" ht="22.5" customHeight="1">
      <c r="B15" s="1080" t="s">
        <v>5437</v>
      </c>
    </row>
    <row r="16" spans="2:4" ht="11.25" customHeight="1">
      <c r="B16" s="1079" t="s">
        <v>5438</v>
      </c>
      <c r="D16" s="605"/>
    </row>
    <row r="17" spans="2:2" ht="33.75" customHeight="1">
      <c r="B17" s="1080" t="s">
        <v>5439</v>
      </c>
    </row>
    <row r="18" spans="2:2" ht="33.75" customHeight="1">
      <c r="B18" s="1080" t="s">
        <v>5440</v>
      </c>
    </row>
    <row r="19" spans="2:2" ht="11.25" customHeight="1">
      <c r="B19" s="1080" t="s">
        <v>5441</v>
      </c>
    </row>
    <row r="20" spans="2:2" ht="33.75" customHeight="1">
      <c r="B20" s="1080" t="s">
        <v>5442</v>
      </c>
    </row>
    <row r="21" spans="2:2" ht="11.25" customHeight="1">
      <c r="B21" s="1079" t="s">
        <v>5443</v>
      </c>
    </row>
    <row r="22" spans="2:2" ht="11.25" customHeight="1">
      <c r="B22" s="1080" t="s">
        <v>5444</v>
      </c>
    </row>
    <row r="24" spans="2:2" ht="22.5" customHeight="1">
      <c r="B24" s="1082" t="s">
        <v>5445</v>
      </c>
    </row>
    <row r="26" spans="2:2" ht="11.25" customHeight="1">
      <c r="B26" s="1079" t="s">
        <v>5446</v>
      </c>
    </row>
    <row r="27" spans="2:2" ht="22.5" customHeight="1">
      <c r="B27" s="346" t="s">
        <v>385</v>
      </c>
    </row>
    <row r="28" spans="2:2" ht="56.25" customHeight="1">
      <c r="B28" s="346" t="s">
        <v>5447</v>
      </c>
    </row>
    <row r="29" spans="2:2" ht="11.25" customHeight="1">
      <c r="B29" s="1083" t="s">
        <v>5448</v>
      </c>
    </row>
    <row r="30" spans="2:2" ht="22.5" customHeight="1">
      <c r="B30" s="346" t="s">
        <v>5449</v>
      </c>
    </row>
    <row r="32" spans="2:2" ht="11.25" customHeight="1">
      <c r="B32" s="1084" t="s">
        <v>5450</v>
      </c>
    </row>
    <row r="33" spans="1:2" ht="14.25" customHeight="1">
      <c r="A33" s="1085">
        <v>1</v>
      </c>
      <c r="B33" s="1086" t="s">
        <v>5451</v>
      </c>
    </row>
    <row r="34" spans="1:2" ht="14.25" customHeight="1">
      <c r="A34" s="1085">
        <v>2</v>
      </c>
      <c r="B34" s="1086" t="s">
        <v>5452</v>
      </c>
    </row>
    <row r="35" spans="1:2" ht="11.25" customHeight="1">
      <c r="B35" s="1084" t="s">
        <v>5453</v>
      </c>
    </row>
    <row r="36" spans="1:2" ht="11.25" customHeight="1">
      <c r="B36" s="1086" t="s">
        <v>5454</v>
      </c>
    </row>
  </sheetData>
  <pageMargins left="0.75" right="0.75" top="0.875" bottom="0.875" header="0.5" footer="0.5"/>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revision>1</cp:revision>
  <cp:lastPrinted>2013-08-29T08:11:20Z</cp:lastPrinted>
  <dcterms:created xsi:type="dcterms:W3CDTF">2004-05-21T07:18:45Z</dcterms:created>
  <dcterms:modified xsi:type="dcterms:W3CDTF">2023-12-27T11:50:34Z</dcterms:modified>
  <dc:language>ru-RU</dc:language>
</cp:coreProperties>
</file>