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g" ContentType="image/jpe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32.xml" ContentType="application/vnd.openxmlformats-officedocument.spreadsheetml.worksheet+xml"/>
  <Override PartName="/xl/worksheets/sheet30.xml" ContentType="application/vnd.openxmlformats-officedocument.spreadsheetml.worksheet+xml"/>
  <Override PartName="/xl/worksheets/sheet6.xml" ContentType="application/vnd.openxmlformats-officedocument.spreadsheetml.worksheet+xml"/>
  <Override PartName="/xl/worksheets/sheet77.xml" ContentType="application/vnd.openxmlformats-officedocument.spreadsheetml.worksheet+xml"/>
  <Override PartName="/xl/worksheets/sheet73.xml" ContentType="application/vnd.openxmlformats-officedocument.spreadsheetml.worksheet+xml"/>
  <Override PartName="/xl/worksheets/sheet7.xml" ContentType="application/vnd.openxmlformats-officedocument.spreadsheetml.worksheet+xml"/>
  <Override PartName="/xl/worksheets/sheet46.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86.xml" ContentType="application/vnd.openxmlformats-officedocument.spreadsheetml.worksheet+xml"/>
  <Override PartName="/xl/worksheets/sheet26.xml" ContentType="application/vnd.openxmlformats-officedocument.spreadsheetml.worksheet+xml"/>
  <Override PartName="/xl/worksheets/sheet20.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11.xml" ContentType="application/vnd.openxmlformats-officedocument.spreadsheetml.worksheet+xml"/>
  <Override PartName="/xl/worksheets/sheet2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21.xml" ContentType="application/vnd.openxmlformats-officedocument.spreadsheetml.worksheet+xml"/>
  <Override PartName="/xl/worksheets/sheet76.xml" ContentType="application/vnd.openxmlformats-officedocument.spreadsheetml.worksheet+xml"/>
  <Override PartName="/xl/worksheets/sheet16.xml" ContentType="application/vnd.openxmlformats-officedocument.spreadsheetml.worksheet+xml"/>
  <Override PartName="/xl/worksheets/sheet52.xml" ContentType="application/vnd.openxmlformats-officedocument.spreadsheetml.worksheet+xml"/>
  <Override PartName="/xl/worksheets/sheet28.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drawings/drawing4.xml" ContentType="application/vnd.openxmlformats-officedocument.drawing+xml"/>
  <Override PartName="/xl/worksheets/sheet35.xml" ContentType="application/vnd.openxmlformats-officedocument.spreadsheetml.worksheet+xml"/>
  <Override PartName="/xl/worksheets/sheet80.xml" ContentType="application/vnd.openxmlformats-officedocument.spreadsheetml.worksheet+xml"/>
  <Override PartName="/xl/drawings/drawing5.xml" ContentType="application/vnd.openxmlformats-officedocument.drawing+xml"/>
  <Override PartName="/xl/worksheets/sheet36.xml" ContentType="application/vnd.openxmlformats-officedocument.spreadsheetml.worksheet+xml"/>
  <Override PartName="/xl/worksheets/sheet23.xml" ContentType="application/vnd.openxmlformats-officedocument.spreadsheetml.worksheet+xml"/>
  <Override PartName="/xl/worksheets/sheet50.xml" ContentType="application/vnd.openxmlformats-officedocument.spreadsheetml.worksheet+xml"/>
  <Override PartName="/xl/worksheets/sheet54.xml" ContentType="application/vnd.openxmlformats-officedocument.spreadsheetml.worksheet+xml"/>
  <Override PartName="/xl/worksheets/sheet38.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drawings/drawing8.xml" ContentType="application/vnd.openxmlformats-officedocument.drawing+xml"/>
  <Override PartName="/xl/worksheets/sheet62.xml" ContentType="application/vnd.openxmlformats-officedocument.spreadsheetml.worksheet+xml"/>
  <Override PartName="/xl/worksheets/sheet12.xml" ContentType="application/vnd.openxmlformats-officedocument.spreadsheetml.worksheet+xml"/>
  <Override PartName="/xl/worksheets/sheet74.xml" ContentType="application/vnd.openxmlformats-officedocument.spreadsheetml.worksheet+xml"/>
  <Override PartName="/xl/drawings/drawing3.xml" ContentType="application/vnd.openxmlformats-officedocument.drawing+xml"/>
  <Override PartName="/xl/worksheets/sheet64.xml" ContentType="application/vnd.openxmlformats-officedocument.spreadsheetml.worksheet+xml"/>
  <Override PartName="/xl/worksheets/sheet19.xml" ContentType="application/vnd.openxmlformats-officedocument.spreadsheetml.worksheet+xml"/>
  <Override PartName="/xl/drawings/drawing7.xml" ContentType="application/vnd.openxmlformats-officedocument.drawing+xml"/>
  <Override PartName="/xl/worksheets/sheet61.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drawings/drawing6.xml" ContentType="application/vnd.openxmlformats-officedocument.drawing+xml"/>
  <Override PartName="/xl/worksheets/sheet56.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sharedStrings.xml" ContentType="application/vnd.openxmlformats-officedocument.spreadsheetml.sharedStrings+xml"/>
  <Override PartName="/xl/worksheets/sheet65.xml" ContentType="application/vnd.openxmlformats-officedocument.spreadsheetml.worksheet+xml"/>
  <Override PartName="/xl/worksheets/sheet57.xml" ContentType="application/vnd.openxmlformats-officedocument.spreadsheetml.worksheet+xml"/>
  <Override PartName="/xl/worksheets/sheet34.xml" ContentType="application/vnd.openxmlformats-officedocument.spreadsheetml.worksheet+xml"/>
  <Override PartName="/xl/worksheets/sheet78.xml" ContentType="application/vnd.openxmlformats-officedocument.spreadsheetml.worksheet+xml"/>
  <Override PartName="/xl/worksheets/sheet66.xml" ContentType="application/vnd.openxmlformats-officedocument.spreadsheetml.worksheet+xml"/>
  <Override PartName="/xl/worksheets/sheet83.xml" ContentType="application/vnd.openxmlformats-officedocument.spreadsheetml.worksheet+xml"/>
  <Override PartName="/xl/worksheets/sheet37.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worksheets/sheet55.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69.xml" ContentType="application/vnd.openxmlformats-officedocument.spreadsheetml.worksheet+xml"/>
  <Override PartName="/xl/worksheets/sheet49.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6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31.xml" ContentType="application/vnd.openxmlformats-officedocument.spreadsheetml.worksheet+xml"/>
  <Override PartName="/xl/worksheets/sheet53.xml" ContentType="application/vnd.openxmlformats-officedocument.spreadsheetml.worksheet+xml"/>
  <Override PartName="/xl/worksheets/sheet82.xml" ContentType="application/vnd.openxmlformats-officedocument.spreadsheetml.worksheet+xml"/>
  <Override PartName="/xl/worksheets/sheet22.xml" ContentType="application/vnd.openxmlformats-officedocument.spreadsheetml.worksheet+xml"/>
  <Override PartName="/xl/comments1.xml" ContentType="application/vnd.openxmlformats-officedocument.spreadsheetml.comments+xml"/>
  <Override PartName="/xl/worksheets/sheet88.xml" ContentType="application/vnd.openxmlformats-officedocument.spreadsheetml.worksheet+xml"/>
  <Override PartName="/xl/worksheets/sheet45.xml" ContentType="application/vnd.openxmlformats-officedocument.spreadsheetml.worksheet+xml"/>
  <Override PartName="/xl/worksheets/sheet71.xml" ContentType="application/vnd.openxmlformats-officedocument.spreadsheetml.worksheet+xml"/>
  <Override PartName="/xl/worksheets/sheet84.xml" ContentType="application/vnd.openxmlformats-officedocument.spreadsheetml.worksheet+xml"/>
  <Override PartName="/xl/worksheets/sheet70.xml" ContentType="application/vnd.openxmlformats-officedocument.spreadsheetml.worksheet+xml"/>
  <Override PartName="/xl/worksheets/sheet44.xml" ContentType="application/vnd.openxmlformats-officedocument.spreadsheetml.worksheet+xml"/>
  <Override PartName="/xl/worksheets/sheet89.xml" ContentType="application/vnd.openxmlformats-officedocument.spreadsheetml.worksheet+xml"/>
  <Override PartName="/xl/worksheets/sheet87.xml" ContentType="application/vnd.openxmlformats-officedocument.spreadsheetml.worksheet+xml"/>
  <Override PartName="/xl/worksheets/sheet58.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text>
        <r>
          <rPr>
            <b/>
            <sz val="9"/>
            <rFont val="Tahoma"/>
          </rPr>
          <t>Author:</t>
        </r>
        <r>
          <rPr>
            <sz val="9"/>
            <rFont val="Tahoma"/>
          </rPr>
          <t xml:space="preserve">
Тип организации</t>
        </r>
      </text>
    </comment>
    <comment ref="L6" authorId="0">
      <text>
        <r>
          <rPr>
            <b/>
            <sz val="9"/>
            <rFont val="Tahoma"/>
          </rPr>
          <t>Author:</t>
        </r>
        <r>
          <rPr>
            <sz val="9"/>
            <rFont val="Tahoma"/>
          </rPr>
          <t xml:space="preserve">
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text>
        <r>
          <rPr>
            <b/>
            <sz val="9"/>
            <rFont val="Tahoma"/>
          </rPr>
          <t>Author:</t>
        </r>
        <r>
          <rPr>
            <sz val="9"/>
            <rFont val="Tahoma"/>
          </rPr>
          <t xml:space="preserve">
сюда же для некоторых формул может входить:
- VOTV
- HOTVSNA</t>
        </r>
      </text>
    </comment>
    <comment ref="U2" authorId="0">
      <text>
        <r>
          <rPr>
            <b/>
            <sz val="9"/>
            <rFont val="Tahoma"/>
          </rPr>
          <t>Author:</t>
        </r>
        <r>
          <rPr>
            <sz val="9"/>
            <rFont val="Tahoma"/>
          </rPr>
          <t xml:space="preserve">
сюда же для некоторых формул может входить:
- VOTV
- HOTVSNA</t>
        </r>
      </text>
    </comment>
  </commentList>
</comments>
</file>

<file path=xl/sharedStrings.xml><?xml version="1.0" encoding="utf-8"?>
<sst xmlns="http://schemas.openxmlformats.org/spreadsheetml/2006/main" count="4164" uniqueCount="4164">
  <si>
    <t xml:space="preserve"> (требуется обновление)</t>
  </si>
  <si>
    <t xml:space="preserve">Код отчёта: PP110.OPEN.INFO.QUARTER.HEAT.EIAS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</si>
  <si>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</si>
  <si>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</si>
  <si>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</si>
  <si>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</si>
  <si>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</si>
  <si>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</si>
  <si>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</si>
  <si>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</si>
  <si>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</si>
  <si>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</si>
  <si>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</si>
  <si>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27588527</t>
  </si>
  <si>
    <t>Flag_Row_Size</t>
  </si>
  <si>
    <t xml:space="preserve">Субъект РФ</t>
  </si>
  <si>
    <t xml:space="preserve">Рязанская область</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</si>
  <si>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</si>
  <si>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</si>
  <si>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</si>
  <si>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</si>
  <si>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</si>
  <si>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</si>
  <si>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</si>
  <si>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</si>
  <si>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</si>
  <si>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</si>
  <si>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</si>
  <si>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</si>
  <si>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xml:space="preserve">Дата предоставления информации</t>
  </si>
  <si>
    <t xml:space="preserve">BALANCE, QUARTER, TERMS</t>
  </si>
  <si>
    <t>Год</t>
  </si>
  <si>
    <t xml:space="preserve">Отчётный период (год)</t>
  </si>
  <si>
    <t>QUARTER</t>
  </si>
  <si>
    <t>Квартал</t>
  </si>
  <si>
    <t xml:space="preserve">II квартал</t>
  </si>
  <si>
    <t xml:space="preserve">Отчётный период (квартал)</t>
  </si>
  <si>
    <t xml:space="preserve">Тип отчёта</t>
  </si>
  <si>
    <t xml:space="preserve">первичное раскрытие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</si>
  <si>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</si>
  <si>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</si>
  <si>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</si>
  <si>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 xml:space="preserve">Наименование органа регулирования, принявшего решение об утверждении тарифов</t>
  </si>
  <si>
    <t xml:space="preserve">Источник официального опубликования решения</t>
  </si>
  <si>
    <t xml:space="preserve">Открывается, если Тип отчёта "изменения в раскрытой ранее информации"</t>
  </si>
  <si>
    <t xml:space="preserve">Наименование органа регулирования, принявшего решение об изменении тарифов</t>
  </si>
  <si>
    <t xml:space="preserve">филиал ПАО "ОГК-2" - Рязанская ГРЭС</t>
  </si>
  <si>
    <t xml:space="preserve">Наименование (описание) обособленного подразделения</t>
  </si>
  <si>
    <t>ИНН</t>
  </si>
  <si>
    <t>2607018122</t>
  </si>
  <si>
    <t>КПП</t>
  </si>
  <si>
    <t>621143001</t>
  </si>
  <si>
    <t xml:space="preserve">Тип теплоснабжающей организации</t>
  </si>
  <si>
    <t xml:space="preserve">Регулируемая организация</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</si>
  <si>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</si>
  <si>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</si>
  <si>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</si>
  <si>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</si>
  <si>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</si>
  <si>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</si>
  <si>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</si>
  <si>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</si>
  <si>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</si>
  <si>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</si>
  <si>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</si>
  <si>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</si>
  <si>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да</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</si>
  <si>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</si>
  <si>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</si>
  <si>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</si>
  <si>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391160 Рязанская область, Пронский район, г. Новомичуринск, ул. Промышленная, д. 1</t>
  </si>
  <si>
    <t xml:space="preserve">Фамилия, имя, отчество руководителя</t>
  </si>
  <si>
    <t xml:space="preserve">Кабаев Виталий Михайлович</t>
  </si>
  <si>
    <t xml:space="preserve">Ответственный за заполнение формы</t>
  </si>
  <si>
    <t xml:space="preserve">Фамилия, имя, отчество</t>
  </si>
  <si>
    <t xml:space="preserve">Прусов Олег Николаевич</t>
  </si>
  <si>
    <t>Должность</t>
  </si>
  <si>
    <t xml:space="preserve">Ведущий инженер ПТО</t>
  </si>
  <si>
    <t xml:space="preserve">Контактный телефон</t>
  </si>
  <si>
    <t xml:space="preserve">(49141) 4-50-68</t>
  </si>
  <si>
    <t>E-mail</t>
  </si>
  <si>
    <t>Prusov.Oleg@rgr.ogk2.ru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</si>
  <si>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</si>
  <si>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</si>
  <si>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</si>
  <si>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</si>
  <si>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</si>
  <si>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</si>
  <si>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</si>
  <si>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</si>
  <si>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</si>
  <si>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</si>
  <si>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</si>
  <si>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</si>
  <si>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</si>
  <si>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</si>
  <si>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</si>
  <si>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</si>
  <si>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</si>
  <si>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130</t>
  </si>
  <si>
    <t xml:space="preserve">Пронский муниципальный район</t>
  </si>
  <si>
    <t>Новомичуринское</t>
  </si>
  <si>
    <t>61625114</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</si>
  <si>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</si>
  <si>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</si>
  <si>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</si>
  <si>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</si>
  <si>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</si>
  <si>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</si>
  <si>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</si>
  <si>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</si>
  <si>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2</t>
  </si>
  <si>
    <t>5</t>
  </si>
  <si>
    <t>8</t>
  </si>
  <si>
    <t>ID_DIFF</t>
  </si>
  <si>
    <t>VD</t>
  </si>
  <si>
    <t>AREA</t>
  </si>
  <si>
    <t>SYSTEM</t>
  </si>
  <si>
    <t>diff_1</t>
  </si>
  <si>
    <t xml:space="preserve">4190064; 4190067; 4190068; 4190069; 4190070; 4190071</t>
  </si>
  <si>
    <t>a</t>
  </si>
  <si>
    <t xml:space="preserve">Добавить централизованную систему</t>
  </si>
  <si>
    <t xml:space="preserve">Добавить описание территории</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</si>
  <si>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</si>
  <si>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</si>
  <si>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</si>
  <si>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</si>
  <si>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</si>
  <si>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</si>
  <si>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</si>
  <si>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</si>
  <si>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</si>
  <si>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</si>
  <si>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</si>
  <si>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</si>
  <si>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</si>
  <si>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</si>
  <si>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</si>
  <si>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</si>
  <si>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</si>
  <si>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</si>
  <si>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</si>
  <si>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</si>
  <si>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</si>
  <si>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</si>
  <si>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</si>
  <si>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</si>
  <si>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</si>
  <si>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</si>
  <si>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</si>
  <si>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</si>
  <si>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</si>
  <si>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</si>
  <si>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</si>
  <si>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</si>
  <si>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</si>
  <si>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</si>
  <si>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</si>
  <si>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</si>
  <si>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</si>
  <si>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</si>
  <si>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</si>
  <si>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</si>
  <si>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</si>
  <si>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</si>
  <si>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</si>
  <si>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</si>
  <si>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</si>
  <si>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</si>
  <si>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</si>
  <si>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</si>
  <si>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</si>
  <si>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</si>
  <si>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</si>
  <si>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</si>
  <si>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</si>
  <si>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</si>
  <si>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</si>
  <si>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</si>
  <si>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</si>
  <si>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</si>
  <si>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</si>
  <si>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</si>
  <si>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</si>
  <si>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</si>
  <si>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</si>
  <si>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</si>
  <si>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</si>
  <si>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</si>
  <si>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</si>
  <si>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</si>
  <si>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</si>
  <si>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</si>
  <si>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</si>
  <si>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</si>
  <si>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</si>
  <si>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</si>
  <si>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</si>
  <si>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</si>
  <si>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</si>
  <si>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</si>
  <si>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</si>
  <si>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</si>
  <si>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</si>
  <si>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</si>
  <si>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pIns_PT_VTAR_H</t>
  </si>
  <si>
    <t>pt_ntar_20</t>
  </si>
  <si>
    <t>pt_ter_20</t>
  </si>
  <si>
    <t>pt_cs_20</t>
  </si>
  <si>
    <t>pt_ist_te_20</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</si>
  <si>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</si>
  <si>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</si>
  <si>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</si>
  <si>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</si>
  <si>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</si>
  <si>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</si>
  <si>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</si>
  <si>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</si>
  <si>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</si>
  <si>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</si>
  <si>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</si>
  <si>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</si>
  <si>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</si>
  <si>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</si>
  <si>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</si>
  <si>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</si>
  <si>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</si>
  <si>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</si>
  <si>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</si>
  <si>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</si>
  <si>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</si>
  <si>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</si>
  <si>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</si>
  <si>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</si>
  <si>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</si>
  <si>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</si>
  <si>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</si>
  <si>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</si>
  <si>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</si>
  <si>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</si>
  <si>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</si>
  <si>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</si>
  <si>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</si>
  <si>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</si>
  <si>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</si>
  <si>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</si>
  <si>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</si>
  <si>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</si>
  <si>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</si>
  <si>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</si>
  <si>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</si>
  <si>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</si>
  <si>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</si>
  <si>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</si>
  <si>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</si>
  <si>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</si>
  <si>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</si>
  <si>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</si>
  <si>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</si>
  <si>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</si>
  <si>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</si>
  <si>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</si>
  <si>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</si>
  <si>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</si>
  <si>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</si>
  <si>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</si>
  <si>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</si>
  <si>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</si>
  <si>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</si>
  <si>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</si>
  <si>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</si>
  <si>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</si>
  <si>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</si>
  <si>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</si>
  <si>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</si>
  <si>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</si>
  <si>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</si>
  <si>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</si>
  <si>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</si>
  <si>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</si>
  <si>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</si>
  <si>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</si>
  <si>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</si>
  <si>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</si>
  <si>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</si>
  <si>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</si>
  <si>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</si>
  <si>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</si>
  <si>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</si>
  <si>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</si>
  <si>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</si>
  <si>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</si>
  <si>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</si>
  <si>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</si>
  <si>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</si>
  <si>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</si>
  <si>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</si>
  <si>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</si>
  <si>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</si>
  <si>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</si>
  <si>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</si>
  <si>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</si>
  <si>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</si>
  <si>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</si>
  <si>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</si>
  <si>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</si>
  <si>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</si>
  <si>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</si>
  <si>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</si>
  <si>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</si>
  <si>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</si>
  <si>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</si>
  <si>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</si>
  <si>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</si>
  <si>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</si>
  <si>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</si>
  <si>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</si>
  <si>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</si>
  <si>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</si>
  <si>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</si>
  <si>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</si>
  <si>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</si>
  <si>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</si>
  <si>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</si>
  <si>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</si>
  <si>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</si>
  <si>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</si>
  <si>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</si>
  <si>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</si>
  <si>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</si>
  <si>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</si>
  <si>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</si>
  <si>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</si>
  <si>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</si>
  <si>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</si>
  <si>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</si>
  <si>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</si>
  <si>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</si>
  <si>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</si>
  <si>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</si>
  <si>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</si>
  <si>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</si>
  <si>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</si>
  <si>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</si>
  <si>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</si>
  <si>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</si>
  <si>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</si>
  <si>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</si>
  <si>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</si>
  <si>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</si>
  <si>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</si>
  <si>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</si>
  <si>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</si>
  <si>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</si>
  <si>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</si>
  <si>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</si>
  <si>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</si>
  <si>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</si>
  <si>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</si>
  <si>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</si>
  <si>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</si>
  <si>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</si>
  <si>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</si>
  <si>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</si>
  <si>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</si>
  <si>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</si>
  <si>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</si>
  <si>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</si>
  <si>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</si>
  <si>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</si>
  <si>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</si>
  <si>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</si>
  <si>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</si>
  <si>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</si>
  <si>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</si>
  <si>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</si>
  <si>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</si>
  <si>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</si>
  <si>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</si>
  <si>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</si>
  <si>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</si>
  <si>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</si>
  <si>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</si>
  <si>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</si>
  <si>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</si>
  <si>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</si>
  <si>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</si>
  <si>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</si>
  <si>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</si>
  <si>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</si>
  <si>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</si>
  <si>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</si>
  <si>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</si>
  <si>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</si>
  <si>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</si>
  <si>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</si>
  <si>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</si>
  <si>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</si>
  <si>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</si>
  <si>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</si>
  <si>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</si>
  <si>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</si>
  <si>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</si>
  <si>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</si>
  <si>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</si>
  <si>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</si>
  <si>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</si>
  <si>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</si>
  <si>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</si>
  <si>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</si>
  <si>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</si>
  <si>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</si>
  <si>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</si>
  <si>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</si>
  <si>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</si>
  <si>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</si>
  <si>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</si>
  <si>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</si>
  <si>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</si>
  <si>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</si>
  <si>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</si>
  <si>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</si>
  <si>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</si>
  <si>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</si>
  <si>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</si>
  <si>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</si>
  <si>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</si>
  <si>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</si>
  <si>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</si>
  <si>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</si>
  <si>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</si>
  <si>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</si>
  <si>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</si>
  <si>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</si>
  <si>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</si>
  <si>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</si>
  <si>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</si>
  <si>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</si>
  <si>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</si>
  <si>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</si>
  <si>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</si>
  <si>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</si>
  <si>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</si>
  <si>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</si>
  <si>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</si>
  <si>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</si>
  <si>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</si>
  <si>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</si>
  <si>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Добавить наименование тарифа</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</si>
  <si>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</si>
  <si>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</si>
  <si>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</si>
  <si>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</si>
  <si>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</si>
  <si>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</si>
  <si>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</si>
  <si>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</si>
  <si>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</si>
  <si>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</si>
  <si>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</si>
  <si>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</si>
  <si>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</si>
  <si>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</si>
  <si>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</si>
  <si>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</si>
  <si>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</si>
  <si>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</si>
  <si>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</si>
  <si>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</si>
  <si>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</si>
  <si>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</si>
  <si>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</si>
  <si>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</si>
  <si>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</si>
  <si>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</si>
  <si>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</si>
  <si>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</si>
  <si>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</si>
  <si>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</si>
  <si>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</si>
  <si>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</si>
  <si>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</si>
  <si>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</si>
  <si>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</si>
  <si>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</si>
  <si>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</si>
  <si>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</si>
  <si>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</si>
  <si>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</si>
  <si>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</si>
  <si>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</si>
  <si>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</si>
  <si>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</si>
  <si>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</si>
  <si>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</si>
  <si>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</si>
  <si>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</si>
  <si>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</si>
  <si>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</si>
  <si>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</si>
  <si>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</si>
  <si>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</si>
  <si>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</si>
  <si>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</si>
  <si>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</si>
  <si>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</si>
  <si>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</si>
  <si>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</si>
  <si>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</si>
  <si>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</si>
  <si>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</si>
  <si>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</si>
  <si>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</si>
  <si>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</si>
  <si>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</si>
  <si>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</si>
  <si>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</si>
  <si>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</si>
  <si>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</si>
  <si>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</si>
  <si>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</si>
  <si>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</si>
  <si>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</si>
  <si>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</si>
  <si>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</si>
  <si>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</si>
  <si>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</si>
  <si>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</si>
  <si>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</si>
  <si>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</si>
  <si>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</si>
  <si>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</si>
  <si>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</si>
  <si>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</si>
  <si>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</si>
  <si>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</si>
  <si>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</si>
  <si>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</si>
  <si>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</si>
  <si>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</si>
  <si>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</si>
  <si>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</si>
  <si>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</si>
  <si>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</si>
  <si>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</si>
  <si>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</si>
  <si>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</si>
  <si>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</si>
  <si>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</si>
  <si>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</si>
  <si>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</si>
  <si>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</si>
  <si>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</si>
  <si>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</si>
  <si>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</si>
  <si>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</si>
  <si>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</si>
  <si>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</si>
  <si>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</si>
  <si>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</si>
  <si>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</si>
  <si>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</si>
  <si>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</si>
  <si>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</si>
  <si>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</si>
  <si>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</si>
  <si>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</si>
  <si>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</si>
  <si>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</si>
  <si>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</si>
  <si>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</si>
  <si>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</si>
  <si>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</si>
  <si>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</si>
  <si>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</si>
  <si>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</si>
  <si>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</si>
  <si>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</si>
  <si>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</si>
  <si>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</si>
  <si>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</si>
  <si>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</si>
  <si>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</si>
  <si>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</si>
  <si>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</si>
  <si>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</si>
  <si>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</si>
  <si>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</si>
  <si>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</si>
  <si>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</si>
  <si>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</si>
  <si>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</si>
  <si>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</si>
  <si>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</si>
  <si>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</si>
  <si>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</si>
  <si>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</si>
  <si>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</si>
  <si>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</si>
  <si>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</si>
  <si>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</si>
  <si>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</si>
  <si>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</si>
  <si>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</si>
  <si>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</si>
  <si>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</si>
  <si>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</si>
  <si>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</si>
  <si>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</si>
  <si>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</si>
  <si>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</si>
  <si>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</si>
  <si>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</si>
  <si>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</si>
  <si>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</si>
  <si>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</si>
  <si>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</si>
  <si>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</si>
  <si>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</si>
  <si>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</si>
  <si>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</si>
  <si>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</si>
  <si>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</si>
  <si>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</si>
  <si>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</si>
  <si>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</si>
  <si>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</si>
  <si>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</si>
  <si>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</si>
  <si>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</si>
  <si>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</si>
  <si>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</si>
  <si>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</si>
  <si>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</si>
  <si>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</si>
  <si>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</si>
  <si>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</si>
  <si>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</si>
  <si>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</si>
  <si>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</si>
  <si>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</si>
  <si>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</si>
  <si>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</si>
  <si>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</si>
  <si>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</si>
  <si>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</si>
  <si>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</si>
  <si>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</si>
  <si>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</si>
  <si>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</si>
  <si>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</si>
  <si>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</si>
  <si>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</si>
  <si>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</si>
  <si>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</si>
  <si>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</si>
  <si>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</si>
  <si>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</si>
  <si>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</si>
  <si>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</si>
  <si>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</si>
  <si>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</si>
  <si>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</si>
  <si>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</si>
  <si>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</si>
  <si>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</si>
  <si>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</si>
  <si>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</si>
  <si>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</si>
  <si>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</si>
  <si>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</si>
  <si>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</si>
  <si>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</si>
  <si>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</si>
  <si>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</si>
  <si>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</si>
  <si>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</si>
  <si>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</si>
  <si>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</si>
  <si>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</si>
  <si>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</si>
  <si>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</si>
  <si>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</si>
  <si>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</si>
  <si>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</si>
  <si>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</si>
  <si>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</si>
  <si>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</si>
  <si>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</si>
  <si>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</si>
  <si>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</si>
  <si>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</si>
  <si>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</si>
  <si>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</si>
  <si>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</si>
  <si>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</si>
  <si>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</si>
  <si>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</si>
  <si>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</si>
  <si>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</si>
  <si>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</si>
  <si>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</si>
  <si>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</si>
  <si>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</si>
  <si>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</si>
  <si>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</si>
  <si>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</si>
  <si>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</si>
  <si>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</si>
  <si>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</si>
  <si>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</si>
  <si>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</si>
  <si>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</si>
  <si>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</si>
  <si>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</si>
  <si>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</si>
  <si>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</si>
  <si>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</si>
  <si>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</si>
  <si>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</si>
  <si>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</si>
  <si>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</si>
  <si>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</si>
  <si>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</si>
  <si>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</si>
  <si>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</si>
  <si>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</si>
  <si>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</si>
  <si>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</si>
  <si>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</si>
  <si>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</si>
  <si>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</si>
  <si>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</si>
  <si>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</si>
  <si>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</si>
  <si>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</si>
  <si>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</si>
  <si>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</si>
  <si>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</si>
  <si>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</si>
  <si>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</si>
  <si>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</si>
  <si>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</si>
  <si>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</si>
  <si>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</si>
  <si>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</si>
  <si>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</si>
  <si>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</si>
  <si>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</si>
  <si>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</si>
  <si>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</si>
  <si>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</si>
  <si>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</si>
  <si>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</si>
  <si>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</si>
  <si>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</si>
  <si>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</si>
  <si>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</si>
  <si>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</si>
  <si>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</si>
  <si>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</si>
  <si>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</si>
  <si>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</si>
  <si>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</si>
  <si>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</si>
  <si>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</si>
  <si>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</si>
  <si>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</si>
  <si>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</si>
  <si>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</si>
  <si>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</si>
  <si>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</si>
  <si>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</si>
  <si>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</si>
  <si>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</si>
  <si>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</si>
  <si>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</si>
  <si>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</si>
  <si>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</si>
  <si>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</si>
  <si>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</si>
  <si>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</si>
  <si>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</si>
  <si>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</si>
  <si>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</si>
  <si>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</si>
  <si>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</si>
  <si>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</si>
  <si>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</si>
  <si>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</si>
  <si>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</si>
  <si>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</si>
  <si>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</si>
  <si>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</si>
  <si>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</si>
  <si>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</si>
  <si>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</si>
  <si>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</si>
  <si>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</si>
  <si>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</si>
  <si>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</si>
  <si>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</si>
  <si>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</si>
  <si>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</si>
  <si>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</si>
  <si>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</si>
  <si>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</si>
  <si>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</si>
  <si>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</si>
  <si>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</si>
  <si>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</si>
  <si>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</si>
  <si>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</si>
  <si>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</si>
  <si>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</si>
  <si>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</si>
  <si>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</si>
  <si>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</si>
  <si>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</si>
  <si>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</si>
  <si>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</si>
  <si>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</si>
  <si>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</si>
  <si>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</si>
  <si>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</si>
  <si>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</si>
  <si>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</si>
  <si>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</si>
  <si>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</si>
  <si>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</si>
  <si>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</si>
  <si>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</si>
  <si>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</si>
  <si>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</si>
  <si>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</si>
  <si>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</si>
  <si>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</si>
  <si>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</si>
  <si>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</si>
  <si>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</si>
  <si>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</si>
  <si>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</si>
  <si>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</si>
  <si>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</si>
  <si>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</si>
  <si>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</si>
  <si>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</si>
  <si>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</si>
  <si>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</si>
  <si>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</si>
  <si>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</si>
  <si>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</si>
  <si>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</si>
  <si>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</si>
  <si>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</si>
  <si>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</si>
  <si>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</si>
  <si>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</si>
  <si>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</si>
  <si>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</si>
  <si>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</si>
  <si>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</si>
  <si>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</si>
  <si>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</si>
  <si>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</si>
  <si>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</si>
  <si>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</si>
  <si>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</si>
  <si>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</si>
  <si>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</si>
  <si>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</si>
  <si>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</si>
  <si>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</si>
  <si>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</si>
  <si>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</si>
  <si>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</si>
  <si>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</si>
  <si>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</si>
  <si>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</si>
  <si>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</si>
  <si>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</si>
  <si>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</si>
  <si>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</si>
  <si>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</si>
  <si>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</si>
  <si>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</si>
  <si>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</si>
  <si>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</si>
  <si>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</si>
  <si>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</si>
  <si>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</si>
  <si>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</si>
  <si>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</si>
  <si>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</si>
  <si>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</si>
  <si>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</si>
  <si>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</si>
  <si>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</si>
  <si>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</si>
  <si>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</si>
  <si>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</si>
  <si>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</si>
  <si>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</si>
  <si>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</si>
  <si>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</si>
  <si>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</si>
  <si>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</si>
  <si>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</si>
  <si>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</si>
  <si>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</si>
  <si>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</si>
  <si>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</si>
  <si>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</si>
  <si>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</si>
  <si>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</si>
  <si>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</si>
  <si>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</si>
  <si>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</si>
  <si>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</si>
  <si>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</si>
  <si>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</si>
  <si>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</si>
  <si>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</si>
  <si>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</si>
  <si>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</si>
  <si>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</si>
  <si>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</si>
  <si>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</si>
  <si>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</si>
  <si>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</si>
  <si>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</si>
  <si>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</si>
  <si>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</si>
  <si>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</si>
  <si>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</si>
  <si>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</si>
  <si>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</si>
  <si>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</si>
  <si>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</si>
  <si>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</si>
  <si>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</si>
  <si>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</si>
  <si>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</si>
  <si>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</si>
  <si>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</si>
  <si>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</si>
  <si>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</si>
  <si>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</si>
  <si>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</si>
  <si>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</si>
  <si>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</si>
  <si>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</si>
  <si>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</si>
  <si>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</si>
  <si>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</si>
  <si>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</si>
  <si>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</si>
  <si>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</si>
  <si>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Не 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</si>
  <si>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</si>
  <si>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</si>
  <si>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</si>
  <si>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</si>
  <si>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</si>
  <si>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</si>
  <si>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</si>
  <si>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</si>
  <si>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</si>
  <si>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</si>
  <si>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</si>
  <si>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</si>
  <si>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</si>
  <si>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</si>
  <si>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</si>
  <si>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</si>
  <si>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</si>
  <si>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</si>
  <si>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</si>
  <si>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</si>
  <si>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</si>
  <si>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</si>
  <si>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</si>
  <si>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</si>
  <si>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</si>
  <si>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</si>
  <si>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</si>
  <si>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</si>
  <si>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</si>
  <si>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</si>
  <si>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</si>
  <si>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</si>
  <si>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</si>
  <si>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</si>
  <si>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</si>
  <si>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</si>
  <si>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</si>
  <si>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</si>
  <si>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</si>
  <si>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</si>
  <si>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</si>
  <si>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</si>
  <si>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</si>
  <si>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</si>
  <si>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</si>
  <si>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</si>
  <si>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</si>
  <si>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</si>
  <si>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</si>
  <si>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</si>
  <si>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</si>
  <si>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</si>
  <si>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</si>
  <si>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</si>
  <si>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</si>
  <si>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</si>
  <si>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</si>
  <si>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</si>
  <si>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</si>
  <si>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</si>
  <si>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</si>
  <si>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</si>
  <si>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</si>
  <si>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</si>
  <si>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</si>
  <si>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</si>
  <si>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</si>
  <si>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</si>
  <si>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</si>
  <si>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</si>
  <si>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</si>
  <si>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</si>
  <si>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</si>
  <si>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</si>
  <si>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</si>
  <si>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</si>
  <si>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</si>
  <si>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</si>
  <si>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</si>
  <si>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</si>
  <si>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</si>
  <si>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</si>
  <si>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</si>
  <si>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</si>
  <si>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</si>
  <si>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</si>
  <si>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</si>
  <si>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</si>
  <si>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</si>
  <si>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</si>
  <si>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</si>
  <si>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</si>
  <si>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</si>
  <si>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</si>
  <si>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</si>
  <si>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</si>
  <si>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</si>
  <si>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</si>
  <si>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</si>
  <si>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</si>
  <si>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</si>
  <si>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</si>
  <si>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</si>
  <si>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</si>
  <si>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</si>
  <si>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</si>
  <si>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</si>
  <si>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</si>
  <si>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</si>
  <si>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</si>
  <si>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</si>
  <si>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</si>
  <si>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</si>
  <si>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</si>
  <si>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</si>
  <si>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</si>
  <si>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</si>
  <si>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</si>
  <si>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</si>
  <si>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</si>
  <si>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</si>
  <si>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</si>
  <si>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</si>
  <si>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</si>
  <si>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</si>
  <si>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</si>
  <si>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</si>
  <si>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</si>
  <si>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</si>
  <si>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</si>
  <si>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</si>
  <si>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</si>
  <si>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</si>
  <si>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</si>
  <si>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</si>
  <si>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</si>
  <si>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</si>
  <si>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</si>
  <si>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</si>
  <si>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</si>
  <si>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</si>
  <si>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</si>
  <si>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</si>
  <si>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</si>
  <si>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</si>
  <si>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</si>
  <si>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</si>
  <si>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</si>
  <si>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</si>
  <si>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</si>
  <si>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</si>
  <si>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</si>
  <si>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</si>
  <si>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</si>
  <si>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</si>
  <si>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</si>
  <si>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</si>
  <si>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</si>
  <si>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</si>
  <si>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Филиал ПАО "ОГК-2" - Рязанская ГРЭС</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</si>
  <si>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</si>
  <si>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</si>
  <si>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</si>
  <si>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</si>
  <si>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</si>
  <si>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</si>
  <si>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</si>
  <si>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</si>
  <si>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</si>
  <si>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</si>
  <si>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</si>
  <si>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</si>
  <si>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</si>
  <si>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</si>
  <si>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</si>
  <si>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</si>
  <si>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</si>
  <si>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</si>
  <si>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</si>
  <si>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</si>
  <si>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</si>
  <si>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</si>
  <si>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5.1.1</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</si>
  <si>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</si>
  <si>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</si>
  <si>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</si>
  <si>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</si>
  <si>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</si>
  <si>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</si>
  <si>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</si>
  <si>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</si>
  <si>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</si>
  <si>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</si>
  <si>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</si>
  <si>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</si>
  <si>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</si>
  <si>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</si>
  <si>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</si>
  <si>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</si>
  <si>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</si>
  <si>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</si>
  <si>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</si>
  <si>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</si>
  <si>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</si>
  <si>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</si>
  <si>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</si>
  <si>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</si>
  <si>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</si>
  <si>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</si>
  <si>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</si>
  <si>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</si>
  <si>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</si>
  <si>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</si>
  <si>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</si>
  <si>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</si>
  <si>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</si>
  <si>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</si>
  <si>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</si>
  <si>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</si>
  <si>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</si>
  <si>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</si>
  <si>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</si>
  <si>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</si>
  <si>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</si>
  <si>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</si>
  <si>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</si>
  <si>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</si>
  <si>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</si>
  <si>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</si>
  <si>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</si>
  <si>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</si>
  <si>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</si>
  <si>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</si>
  <si>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</si>
  <si>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</si>
  <si>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</si>
  <si>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</si>
  <si>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</si>
  <si>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</si>
  <si>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</si>
  <si>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</si>
  <si>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</si>
  <si>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</si>
  <si>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</si>
  <si>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</si>
  <si>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</si>
  <si>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</si>
  <si>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</si>
  <si>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</si>
  <si>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</si>
  <si>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</si>
  <si>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</si>
  <si>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</si>
  <si>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</si>
  <si>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 xml:space="preserve">метод экономически обоснованных расходов (затрат)</t>
  </si>
  <si>
    <t>Передача+Сбыт</t>
  </si>
  <si>
    <t>вода</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</si>
  <si>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</si>
  <si>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</si>
  <si>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</si>
  <si>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</si>
  <si>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</si>
  <si>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</si>
  <si>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</si>
  <si>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</si>
  <si>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</si>
  <si>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</si>
  <si>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</si>
  <si>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</si>
  <si>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</si>
  <si>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</si>
  <si>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</si>
  <si>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газ природный по регулируемой цене</t>
  </si>
  <si>
    <t xml:space="preserve">тыс м3</t>
  </si>
  <si>
    <t>Январь</t>
  </si>
  <si>
    <t xml:space="preserve">Амурская область</t>
  </si>
  <si>
    <t>февраль</t>
  </si>
  <si>
    <t xml:space="preserve">На сайте регулирующего органа</t>
  </si>
  <si>
    <t>УСН</t>
  </si>
  <si>
    <t xml:space="preserve">метод индексации установленных тарифов</t>
  </si>
  <si>
    <t>Передача</t>
  </si>
  <si>
    <t>пар</t>
  </si>
  <si>
    <t xml:space="preserve">изменения в раскрытой ранее информации</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</si>
  <si>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</si>
  <si>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</si>
  <si>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</si>
  <si>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</si>
  <si>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</si>
  <si>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</si>
  <si>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</si>
  <si>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</si>
  <si>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</si>
  <si>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</si>
  <si>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</si>
  <si>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</si>
  <si>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</si>
  <si>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</si>
  <si>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</si>
  <si>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</si>
  <si>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</si>
  <si>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</si>
  <si>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</si>
  <si>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</si>
  <si>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</si>
  <si>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</si>
  <si>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</si>
  <si>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</si>
  <si>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</si>
  <si>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</si>
  <si>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</si>
  <si>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</si>
  <si>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</si>
  <si>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</si>
  <si>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</si>
  <si>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</si>
  <si>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</si>
  <si>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</si>
  <si>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</si>
  <si>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</si>
  <si>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</si>
  <si>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</si>
  <si>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</si>
  <si>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</si>
  <si>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</si>
  <si>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</si>
  <si>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</si>
  <si>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</si>
  <si>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</si>
  <si>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</si>
  <si>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</si>
  <si>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</si>
  <si>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</si>
  <si>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</si>
  <si>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</si>
  <si>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</si>
  <si>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</si>
  <si>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</si>
  <si>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</si>
  <si>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</si>
  <si>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</si>
  <si>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</si>
  <si>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</si>
  <si>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</si>
  <si>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</si>
  <si>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</si>
  <si>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</si>
  <si>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</si>
  <si>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</si>
  <si>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</si>
  <si>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</si>
  <si>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</si>
  <si>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</si>
  <si>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</si>
  <si>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</si>
  <si>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</si>
  <si>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</si>
  <si>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</si>
  <si>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</si>
  <si>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</si>
  <si>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</si>
  <si>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</si>
  <si>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</si>
  <si>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</si>
  <si>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</si>
  <si>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</si>
  <si>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</si>
  <si>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</si>
  <si>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</si>
  <si>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</si>
  <si>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</si>
  <si>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</si>
  <si>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</si>
  <si>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</si>
  <si>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</si>
  <si>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</si>
  <si>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</si>
  <si>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</si>
  <si>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</si>
  <si>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</si>
  <si>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</si>
  <si>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</si>
  <si>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</si>
  <si>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</si>
  <si>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</si>
  <si>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</si>
  <si>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</si>
  <si>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</si>
  <si>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</si>
  <si>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</si>
  <si>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</si>
  <si>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</si>
  <si>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</si>
  <si>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</si>
  <si>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</si>
  <si>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</si>
  <si>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</si>
  <si>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</si>
  <si>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</si>
  <si>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</si>
  <si>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</si>
  <si>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</si>
  <si>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</si>
  <si>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</si>
  <si>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</si>
  <si>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</si>
  <si>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</si>
  <si>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</si>
  <si>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</si>
  <si>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</si>
  <si>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</si>
  <si>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</si>
  <si>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</si>
  <si>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</si>
  <si>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</si>
  <si>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</si>
  <si>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</si>
  <si>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</si>
  <si>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</si>
  <si>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</si>
  <si>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</si>
  <si>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</si>
  <si>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</si>
  <si>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</si>
  <si>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</si>
  <si>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</si>
  <si>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</si>
  <si>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</si>
  <si>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</si>
  <si>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</si>
  <si>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</si>
  <si>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</si>
  <si>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</si>
  <si>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</si>
  <si>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</si>
  <si>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</si>
  <si>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</si>
  <si>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</si>
  <si>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</si>
  <si>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</si>
  <si>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</si>
  <si>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</si>
  <si>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</si>
  <si>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</si>
  <si>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</si>
  <si>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</si>
  <si>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</si>
  <si>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</si>
  <si>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</si>
  <si>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</si>
  <si>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</si>
  <si>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</si>
  <si>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</si>
  <si>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</si>
  <si>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</si>
  <si>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</si>
  <si>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</si>
  <si>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</si>
  <si>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</si>
  <si>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</si>
  <si>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</si>
  <si>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</si>
  <si>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</si>
  <si>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</si>
  <si>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</si>
  <si>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</si>
  <si>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</si>
  <si>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</si>
  <si>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</si>
  <si>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</si>
  <si>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</si>
  <si>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</si>
  <si>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</si>
  <si>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</si>
  <si>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</si>
  <si>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</si>
  <si>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</si>
  <si>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</si>
  <si>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</si>
  <si>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</si>
  <si>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</si>
  <si>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</si>
  <si>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</si>
  <si>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</si>
  <si>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</si>
  <si>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</si>
  <si>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</si>
  <si>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</si>
  <si>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</si>
  <si>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</si>
  <si>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</si>
  <si>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</si>
  <si>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</si>
  <si>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</si>
  <si>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</si>
  <si>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</si>
  <si>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</si>
  <si>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</si>
  <si>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</si>
  <si>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</si>
  <si>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</si>
  <si>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</si>
  <si>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</si>
  <si>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</si>
  <si>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</si>
  <si>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</si>
  <si>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</si>
  <si>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</si>
  <si>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</si>
  <si>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</si>
  <si>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</si>
  <si>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</si>
  <si>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</si>
  <si>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</si>
  <si>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</si>
  <si>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</si>
  <si>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</si>
  <si>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</si>
  <si>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</si>
  <si>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</si>
  <si>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</si>
  <si>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</si>
  <si>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</si>
  <si>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</si>
  <si>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</si>
  <si>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</si>
  <si>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</si>
  <si>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</si>
  <si>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</si>
  <si>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</si>
  <si>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</si>
  <si>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</si>
  <si>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</si>
  <si>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</si>
  <si>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</si>
  <si>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</si>
  <si>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</si>
  <si>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</si>
  <si>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</si>
  <si>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</si>
  <si>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</si>
  <si>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</si>
  <si>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</si>
  <si>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</si>
  <si>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</si>
  <si>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</si>
  <si>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</si>
  <si>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</si>
  <si>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</si>
  <si>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</si>
  <si>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</si>
  <si>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</si>
  <si>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</si>
  <si>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</si>
  <si>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</si>
  <si>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</si>
  <si>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</si>
  <si>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</si>
  <si>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</si>
  <si>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</si>
  <si>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</si>
  <si>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</si>
  <si>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</si>
  <si>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</si>
  <si>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</si>
  <si>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</si>
  <si>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</si>
  <si>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</si>
  <si>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</si>
  <si>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</si>
  <si>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</si>
  <si>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</si>
  <si>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</si>
  <si>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</si>
  <si>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</si>
  <si>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</si>
  <si>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</si>
  <si>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</si>
  <si>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</si>
  <si>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</si>
  <si>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</si>
  <si>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</si>
  <si>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</si>
  <si>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</si>
  <si>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</si>
  <si>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</si>
  <si>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</si>
  <si>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</si>
  <si>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</si>
  <si>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</si>
  <si>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</si>
  <si>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</si>
  <si>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</si>
  <si>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</si>
  <si>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</si>
  <si>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</si>
  <si>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</si>
  <si>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</si>
  <si>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</si>
  <si>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</si>
  <si>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</si>
  <si>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</si>
  <si>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</si>
  <si>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</si>
  <si>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</si>
  <si>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</si>
  <si>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</si>
  <si>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</si>
  <si>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</si>
  <si>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</si>
  <si>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</si>
  <si>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</si>
  <si>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</si>
  <si>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</si>
  <si>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 xml:space="preserve">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</si>
  <si>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</si>
  <si>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</si>
  <si>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</si>
  <si>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</si>
  <si>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</si>
  <si>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</si>
  <si>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</si>
  <si>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</si>
  <si>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</si>
  <si>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</si>
  <si>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</si>
  <si>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</si>
  <si>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</si>
  <si>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</si>
  <si>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</si>
  <si>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</si>
  <si>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</si>
  <si>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</si>
  <si>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</si>
  <si>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</si>
  <si>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</si>
  <si>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</si>
  <si>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</si>
  <si>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</si>
  <si>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</si>
  <si>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</si>
  <si>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</si>
  <si>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</si>
  <si>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</si>
  <si>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</si>
  <si>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</si>
  <si>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</si>
  <si>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</si>
  <si>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</si>
  <si>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</si>
  <si>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</si>
  <si>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</si>
  <si>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</si>
  <si>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</si>
  <si>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</si>
  <si>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</si>
  <si>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</si>
  <si>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</si>
  <si>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</si>
  <si>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</si>
  <si>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</si>
  <si>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</si>
  <si>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</si>
  <si>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</si>
  <si>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</si>
  <si>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</si>
  <si>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</si>
  <si>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</si>
  <si>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</si>
  <si>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</si>
  <si>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</si>
  <si>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</si>
  <si>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</si>
  <si>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</si>
  <si>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</si>
  <si>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</si>
  <si>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</si>
  <si>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</si>
  <si>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</si>
  <si>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</si>
  <si>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</si>
  <si>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</si>
  <si>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Q</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</si>
  <si>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</si>
  <si>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</si>
  <si>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</si>
  <si>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</si>
  <si>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</si>
  <si>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</si>
  <si>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</si>
  <si>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</si>
  <si>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</si>
  <si>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</si>
  <si>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</si>
  <si>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</si>
  <si>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</si>
  <si>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</si>
  <si>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</si>
  <si>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</si>
  <si>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</si>
  <si>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</si>
  <si>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</si>
  <si>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 xml:space="preserve">Приморский край</t>
  </si>
  <si>
    <t>TERMS</t>
  </si>
  <si>
    <t>T</t>
  </si>
  <si>
    <t>47</t>
  </si>
  <si>
    <t xml:space="preserve">Псковская область</t>
  </si>
  <si>
    <t>INVEST</t>
  </si>
  <si>
    <t>48</t>
  </si>
  <si>
    <t xml:space="preserve">Республика Адыгея</t>
  </si>
  <si>
    <t>REQUEST</t>
  </si>
  <si>
    <t>R</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</si>
  <si>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</si>
  <si>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</si>
  <si>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</si>
  <si>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</si>
  <si>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P</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</si>
  <si>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</si>
  <si>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</si>
  <si>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</si>
  <si>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</si>
  <si>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</si>
  <si>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</si>
  <si>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</si>
  <si>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</si>
  <si>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</si>
  <si>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</si>
  <si>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</si>
  <si>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</si>
  <si>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</si>
  <si>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</si>
  <si>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</si>
  <si>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</si>
  <si>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</si>
  <si>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</si>
  <si>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</si>
  <si>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</si>
  <si>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</si>
  <si>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</si>
  <si>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</si>
  <si>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</si>
  <si>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</si>
  <si>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</si>
  <si>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</si>
  <si>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</si>
  <si>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</si>
  <si>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</si>
  <si>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</si>
  <si>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</si>
  <si>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</si>
  <si>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</si>
  <si>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</si>
  <si>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</si>
  <si>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</si>
  <si>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</si>
  <si>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</si>
  <si>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</si>
  <si>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</si>
  <si>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</si>
  <si>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</si>
  <si>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</si>
  <si>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</si>
  <si>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</si>
  <si>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</si>
  <si>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</si>
  <si>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</si>
  <si>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</si>
  <si>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</si>
  <si>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</si>
  <si>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</si>
  <si>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</si>
  <si>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</si>
  <si>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</si>
  <si>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</si>
  <si>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</si>
  <si>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</si>
  <si>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</si>
  <si>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</si>
  <si>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</si>
  <si>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</si>
  <si>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</si>
  <si>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</si>
  <si>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</si>
  <si>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</si>
  <si>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</si>
  <si>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</si>
  <si>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</si>
  <si>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</si>
  <si>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</si>
  <si>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</si>
  <si>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</si>
  <si>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</si>
  <si>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</si>
  <si>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</si>
  <si>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</si>
  <si>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</si>
  <si>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</si>
  <si>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</si>
  <si>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</si>
  <si>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</si>
  <si>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</si>
  <si>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</si>
  <si>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</si>
  <si>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</si>
  <si>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</si>
  <si>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</si>
  <si>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</si>
  <si>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</si>
  <si>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</si>
  <si>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</si>
  <si>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</si>
  <si>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</si>
  <si>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</si>
  <si>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Хабаровский край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</si>
  <si>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</si>
  <si>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</si>
  <si>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</si>
  <si>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</si>
  <si>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</si>
  <si>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</si>
  <si>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</si>
  <si>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</si>
  <si>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</si>
  <si>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</si>
  <si>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</si>
  <si>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</si>
  <si>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</si>
  <si>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</si>
  <si>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</si>
  <si>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</si>
  <si>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</si>
  <si>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</si>
  <si>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</si>
  <si>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</si>
  <si>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</si>
  <si>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</si>
  <si>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</si>
  <si>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</si>
  <si>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</si>
  <si>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</si>
  <si>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</si>
  <si>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</si>
  <si>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</si>
  <si>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</si>
  <si>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</si>
  <si>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</si>
  <si>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</si>
  <si>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</si>
  <si>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</si>
  <si>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</si>
  <si>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</si>
  <si>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</si>
  <si>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</si>
  <si>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</si>
  <si>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</si>
  <si>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</si>
  <si>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</si>
  <si>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</si>
  <si>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</si>
  <si>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</si>
  <si>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</si>
  <si>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</si>
  <si>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</si>
  <si>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</si>
  <si>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</si>
  <si>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</si>
  <si>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</si>
  <si>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</si>
  <si>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</si>
  <si>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</si>
  <si>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</si>
  <si>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</si>
  <si>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</si>
  <si>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</si>
  <si>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</si>
  <si>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</si>
  <si>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</si>
  <si>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</si>
  <si>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</si>
  <si>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</si>
  <si>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</si>
  <si>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</si>
  <si>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</si>
  <si>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</si>
  <si>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</si>
  <si>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тыс.руб./Гкал/ч</t>
  </si>
  <si>
    <t>тыс.руб.</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</si>
  <si>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</si>
  <si>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</si>
  <si>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</si>
  <si>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</si>
  <si>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</si>
  <si>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</si>
  <si>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</si>
  <si>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</si>
  <si>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</si>
  <si>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</si>
  <si>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</si>
  <si>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</si>
  <si>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</si>
  <si>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</si>
  <si>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</si>
  <si>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</si>
  <si>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</si>
  <si>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</si>
  <si>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</si>
  <si>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</si>
  <si>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</si>
  <si>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</si>
  <si>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</si>
  <si>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</si>
  <si>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</si>
  <si>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</si>
  <si>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</si>
  <si>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</si>
  <si>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</si>
  <si>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</si>
  <si>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</si>
  <si>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</si>
  <si>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</si>
  <si>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</si>
  <si>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</si>
  <si>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</si>
  <si>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</si>
  <si>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</si>
  <si>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</si>
  <si>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</si>
  <si>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</si>
  <si>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</si>
  <si>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</si>
  <si>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</si>
  <si>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</si>
  <si>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</si>
  <si>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</si>
  <si>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</si>
  <si>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</si>
  <si>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</si>
  <si>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</si>
  <si>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</si>
  <si>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</si>
  <si>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</si>
  <si>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</si>
  <si>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</si>
  <si>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</si>
  <si>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</si>
  <si>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</si>
  <si>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</si>
  <si>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</si>
  <si>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</si>
  <si>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</si>
  <si>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</si>
  <si>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</si>
  <si>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</si>
  <si>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</si>
  <si>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</si>
  <si>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</si>
  <si>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</si>
  <si>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</si>
  <si>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</si>
  <si>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</si>
  <si>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</si>
  <si>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</si>
  <si>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</si>
  <si>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</si>
  <si>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</si>
  <si>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</si>
  <si>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</si>
  <si>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</si>
  <si>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</si>
  <si>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</si>
  <si>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</si>
  <si>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</si>
  <si>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</si>
  <si>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</si>
  <si>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 xml:space="preserve">Добавить поставщика</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</si>
  <si>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</si>
  <si>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</si>
  <si>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</si>
  <si>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</si>
  <si>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</si>
  <si>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</si>
  <si>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</si>
  <si>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</si>
  <si>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</si>
  <si>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</si>
  <si>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</si>
  <si>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</si>
  <si>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</si>
  <si>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</si>
  <si>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</si>
  <si>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</si>
  <si>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</si>
  <si>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</si>
  <si>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</si>
  <si>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</si>
  <si>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</si>
  <si>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</si>
  <si>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</si>
  <si>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</si>
  <si>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</si>
  <si>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</si>
  <si>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</si>
  <si>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</si>
  <si>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</si>
  <si>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</si>
  <si>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</si>
  <si>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</si>
  <si>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</si>
  <si>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</si>
  <si>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</si>
  <si>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</si>
  <si>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</si>
  <si>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</si>
  <si>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</si>
  <si>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</si>
  <si>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</si>
  <si>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</si>
  <si>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</si>
  <si>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</si>
  <si>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</si>
  <si>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</si>
  <si>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</si>
  <si>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</si>
  <si>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</si>
  <si>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</si>
  <si>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</si>
  <si>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</si>
  <si>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</si>
  <si>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</si>
  <si>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</si>
  <si>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</si>
  <si>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</si>
  <si>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</si>
  <si>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</si>
  <si>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</si>
  <si>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</si>
  <si>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</si>
  <si>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</si>
  <si>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</si>
  <si>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</si>
  <si>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</si>
  <si>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</si>
  <si>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</si>
  <si>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</si>
  <si>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</si>
  <si>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</si>
  <si>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</si>
  <si>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</si>
  <si>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</si>
  <si>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</si>
  <si>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</si>
  <si>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</si>
  <si>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</si>
  <si>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</si>
  <si>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</si>
  <si>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</si>
  <si>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</si>
  <si>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</si>
  <si>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</si>
  <si>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</si>
  <si>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</si>
  <si>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</si>
  <si>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</si>
  <si>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</si>
  <si>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</si>
  <si>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</si>
  <si>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</si>
  <si>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</si>
  <si>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</si>
  <si>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</si>
  <si>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</si>
  <si>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</si>
  <si>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</si>
  <si>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</si>
  <si>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</si>
  <si>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</si>
  <si>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</si>
  <si>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</si>
  <si>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</si>
  <si>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</si>
  <si>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</si>
  <si>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</si>
  <si>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</si>
  <si>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</si>
  <si>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</si>
  <si>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</si>
  <si>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</si>
  <si>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</si>
  <si>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</si>
  <si>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</si>
  <si>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</si>
  <si>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</si>
  <si>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</si>
  <si>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</si>
  <si>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</si>
  <si>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</si>
  <si>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</si>
  <si>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</si>
  <si>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</si>
  <si>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</si>
  <si>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</si>
  <si>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</si>
  <si>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</si>
  <si>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</si>
  <si>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</si>
  <si>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</si>
  <si>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</si>
  <si>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</si>
  <si>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</si>
  <si>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</si>
  <si>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</si>
  <si>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</si>
  <si>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</si>
  <si>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</si>
  <si>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</si>
  <si>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</si>
  <si>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</si>
  <si>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</si>
  <si>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</si>
  <si>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</si>
  <si>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</si>
  <si>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</si>
  <si>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</si>
  <si>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</si>
  <si>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</si>
  <si>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</si>
  <si>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</si>
  <si>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</si>
  <si>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</si>
  <si>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</si>
  <si>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</si>
  <si>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</si>
  <si>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</si>
  <si>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</si>
  <si>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</si>
  <si>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</si>
  <si>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</si>
  <si>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</si>
  <si>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</si>
  <si>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</si>
  <si>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</si>
  <si>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</si>
  <si>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</si>
  <si>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</si>
  <si>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</si>
  <si>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</si>
  <si>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</si>
  <si>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</si>
  <si>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</si>
  <si>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</si>
  <si>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</si>
  <si>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</si>
  <si>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</si>
  <si>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</si>
  <si>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</si>
  <si>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</si>
  <si>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</si>
  <si>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</si>
  <si>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</si>
  <si>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</si>
  <si>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</si>
  <si>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</si>
  <si>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</si>
  <si>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</si>
  <si>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</si>
  <si>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</si>
  <si>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</si>
  <si>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</si>
  <si>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</si>
  <si>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</si>
  <si>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</si>
  <si>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</si>
  <si>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</si>
  <si>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</si>
  <si>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</si>
  <si>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</si>
  <si>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</si>
  <si>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</si>
  <si>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</si>
  <si>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</si>
  <si>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</si>
  <si>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</si>
  <si>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</si>
  <si>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</si>
  <si>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</si>
  <si>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</si>
  <si>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</si>
  <si>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</si>
  <si>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</si>
  <si>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</si>
  <si>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</si>
  <si>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</si>
  <si>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</si>
  <si>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</si>
  <si>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</si>
  <si>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</si>
  <si>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</si>
  <si>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</si>
  <si>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</si>
  <si>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</si>
  <si>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</si>
  <si>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</si>
  <si>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</si>
  <si>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</si>
  <si>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</si>
  <si>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</si>
  <si>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</si>
  <si>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</si>
  <si>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</si>
  <si>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</si>
  <si>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</si>
  <si>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</si>
  <si>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</si>
  <si>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</si>
  <si>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</si>
  <si>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</si>
  <si>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</si>
  <si>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</si>
  <si>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</si>
  <si>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</si>
  <si>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</si>
  <si>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</si>
  <si>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</si>
  <si>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</si>
  <si>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</si>
  <si>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</si>
  <si>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</si>
  <si>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</si>
  <si>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</si>
  <si>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</si>
  <si>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</si>
  <si>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</si>
  <si>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</si>
  <si>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</si>
  <si>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</si>
  <si>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</si>
  <si>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</si>
  <si>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</si>
  <si>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</si>
  <si>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</si>
  <si>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</si>
  <si>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</si>
  <si>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</si>
  <si>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</si>
  <si>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</si>
  <si>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</si>
  <si>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</si>
  <si>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</si>
  <si>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</si>
  <si>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</si>
  <si>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</si>
  <si>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</si>
  <si>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</si>
  <si>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</si>
  <si>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</si>
  <si>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</si>
  <si>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</si>
  <si>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</si>
  <si>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</si>
  <si>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</si>
  <si>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</si>
  <si>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</si>
  <si>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</si>
  <si>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</si>
  <si>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</si>
  <si>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</si>
  <si>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</si>
  <si>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</si>
  <si>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</si>
  <si>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</si>
  <si>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</si>
  <si>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</si>
  <si>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</si>
  <si>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</si>
  <si>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</si>
  <si>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</si>
  <si>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</si>
  <si>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</si>
  <si>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</si>
  <si>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</si>
  <si>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</si>
  <si>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</si>
  <si>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</si>
  <si>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</si>
  <si>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</si>
  <si>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</si>
  <si>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</si>
  <si>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</si>
  <si>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</si>
  <si>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2598</t>
  </si>
  <si>
    <t>26321960</t>
  </si>
  <si>
    <t xml:space="preserve">АО "360 авиационный ремонтный завод"</t>
  </si>
  <si>
    <t>6229059220</t>
  </si>
  <si>
    <t>622901001</t>
  </si>
  <si>
    <t>28796046</t>
  </si>
  <si>
    <t xml:space="preserve">АО "ГТ Энерго"</t>
  </si>
  <si>
    <t>7703806647</t>
  </si>
  <si>
    <t>772801001</t>
  </si>
  <si>
    <t>30357669</t>
  </si>
  <si>
    <t xml:space="preserve">АО "Главное управление жилищно-коммунального хозяйства"</t>
  </si>
  <si>
    <t>5116000922</t>
  </si>
  <si>
    <t>623445001</t>
  </si>
  <si>
    <t>26359365</t>
  </si>
  <si>
    <t xml:space="preserve">АО "Государственный Рязанский приборный завод"</t>
  </si>
  <si>
    <t>6234098539</t>
  </si>
  <si>
    <t>623401001</t>
  </si>
  <si>
    <t>26359355</t>
  </si>
  <si>
    <t xml:space="preserve">АО "Приокский завод цветных металлов"</t>
  </si>
  <si>
    <t>6226006397</t>
  </si>
  <si>
    <t>622601001</t>
  </si>
  <si>
    <t xml:space="preserve">28-03-2003 00:00:00</t>
  </si>
  <si>
    <t>26374789</t>
  </si>
  <si>
    <t xml:space="preserve">АО "РНПК"</t>
  </si>
  <si>
    <t>6227007322</t>
  </si>
  <si>
    <t>26838066</t>
  </si>
  <si>
    <t xml:space="preserve">АО "РЭУ"</t>
  </si>
  <si>
    <t>7714783092</t>
  </si>
  <si>
    <t>770401001</t>
  </si>
  <si>
    <t>26359363</t>
  </si>
  <si>
    <t xml:space="preserve">АО "Рязанский радиозавод"</t>
  </si>
  <si>
    <t>6231006875</t>
  </si>
  <si>
    <t>623101001</t>
  </si>
  <si>
    <t>27781407</t>
  </si>
  <si>
    <t xml:space="preserve">Вагонное ремонтное депо Сасово-обособленное структурное подразделение акционерного общества "Вагонная Ремонтная Компания-3"</t>
  </si>
  <si>
    <t>7708737500</t>
  </si>
  <si>
    <t>623245001</t>
  </si>
  <si>
    <t xml:space="preserve">14-04-2011 00:00:00</t>
  </si>
  <si>
    <t>30414868</t>
  </si>
  <si>
    <t xml:space="preserve">ГБУ РО "ДОЦ круглогодичного действия "Зарница"</t>
  </si>
  <si>
    <t>6215028085</t>
  </si>
  <si>
    <t>621501001</t>
  </si>
  <si>
    <t>30427506</t>
  </si>
  <si>
    <t xml:space="preserve">ГБУ РО ОКОД</t>
  </si>
  <si>
    <t>6230008245</t>
  </si>
  <si>
    <t>623001001</t>
  </si>
  <si>
    <t>28874837</t>
  </si>
  <si>
    <t xml:space="preserve">ГБУ Рязанской области "Городская клиническая больница №11"</t>
  </si>
  <si>
    <t>6230001056</t>
  </si>
  <si>
    <t xml:space="preserve">ГЛАВНОЕ УПРАВЛЕНИЕ "РЕГИОНАЛЬНАЯ ЭНЕРГЕТИЧЕСКАЯ КОМИССИЯ" РЯЗАНСКОЙ ОБЛАСТИ</t>
  </si>
  <si>
    <t>6231037520</t>
  </si>
  <si>
    <t>26775083</t>
  </si>
  <si>
    <t xml:space="preserve">Гавриловское линейное производственное управление магистральных газопроводов - филиал ООО “Газпром трансгаз Москва”</t>
  </si>
  <si>
    <t>5003028028</t>
  </si>
  <si>
    <t>507203001</t>
  </si>
  <si>
    <t>26359361</t>
  </si>
  <si>
    <t xml:space="preserve">ЗАО "Рязанский завод силикатных изделий"</t>
  </si>
  <si>
    <t>6229005352</t>
  </si>
  <si>
    <t>28467773</t>
  </si>
  <si>
    <t xml:space="preserve">ЗАО "Электронприбор"</t>
  </si>
  <si>
    <t>6230040094</t>
  </si>
  <si>
    <t>26359352</t>
  </si>
  <si>
    <t xml:space="preserve">Лесновское МУП ЖКХ</t>
  </si>
  <si>
    <t>6225001565</t>
  </si>
  <si>
    <t>622501001</t>
  </si>
  <si>
    <t>31034066</t>
  </si>
  <si>
    <t xml:space="preserve">МКП "ЖКХ "Милославское"</t>
  </si>
  <si>
    <t>6207004740</t>
  </si>
  <si>
    <t>620701001</t>
  </si>
  <si>
    <t xml:space="preserve">08-11-2017 00:00:00</t>
  </si>
  <si>
    <t>31215552</t>
  </si>
  <si>
    <t xml:space="preserve">МКП "ЖКХ Путятинское"</t>
  </si>
  <si>
    <t>6212002949</t>
  </si>
  <si>
    <t>621201001</t>
  </si>
  <si>
    <t xml:space="preserve">31-05-2018 00:00:00</t>
  </si>
  <si>
    <t>30864654</t>
  </si>
  <si>
    <t xml:space="preserve">МКП "ЖКХ Рязанское"</t>
  </si>
  <si>
    <t>6215030609</t>
  </si>
  <si>
    <t xml:space="preserve">09-09-2016 00:00:00</t>
  </si>
  <si>
    <t>31197181</t>
  </si>
  <si>
    <t xml:space="preserve">МКП "ЖКХ Сасовского района"</t>
  </si>
  <si>
    <t>6218003152</t>
  </si>
  <si>
    <t>621801001</t>
  </si>
  <si>
    <t xml:space="preserve">24-05-2018 00:00:00</t>
  </si>
  <si>
    <t>30861215</t>
  </si>
  <si>
    <t xml:space="preserve">МКП "ЖКХ Чучковское"</t>
  </si>
  <si>
    <t>6223002475</t>
  </si>
  <si>
    <t>622301001</t>
  </si>
  <si>
    <t xml:space="preserve">22-07-2016 00:00:00</t>
  </si>
  <si>
    <t>30795147</t>
  </si>
  <si>
    <t xml:space="preserve">МКП "Жилсервис"</t>
  </si>
  <si>
    <t>6219007897</t>
  </si>
  <si>
    <t>621901001</t>
  </si>
  <si>
    <t xml:space="preserve">27-01-2016 00:00:00</t>
  </si>
  <si>
    <t>30864638</t>
  </si>
  <si>
    <t xml:space="preserve">МКП "Касимовсервис"</t>
  </si>
  <si>
    <t>6226013002</t>
  </si>
  <si>
    <t xml:space="preserve">18-10-2016 00:00:00</t>
  </si>
  <si>
    <t>31203571</t>
  </si>
  <si>
    <t xml:space="preserve">МКП "Клепиковское"</t>
  </si>
  <si>
    <t>6205000683</t>
  </si>
  <si>
    <t>620501001</t>
  </si>
  <si>
    <t xml:space="preserve">24-01-2018 00:00:00</t>
  </si>
  <si>
    <t>26359326</t>
  </si>
  <si>
    <t xml:space="preserve">МКП "Кораблинские тепловые и электрические сети"</t>
  </si>
  <si>
    <t>6206003510</t>
  </si>
  <si>
    <t>620601001</t>
  </si>
  <si>
    <t xml:space="preserve">27-12-2006 00:00:00</t>
  </si>
  <si>
    <t>30434284</t>
  </si>
  <si>
    <t xml:space="preserve">МКП "Октябрьское"</t>
  </si>
  <si>
    <t>6208011563</t>
  </si>
  <si>
    <t>620801001</t>
  </si>
  <si>
    <t>31197268</t>
  </si>
  <si>
    <t xml:space="preserve">МКП "ПассажирСервис"</t>
  </si>
  <si>
    <t>6217008197</t>
  </si>
  <si>
    <t>621701001</t>
  </si>
  <si>
    <t xml:space="preserve">26-01-2011 00:00:00</t>
  </si>
  <si>
    <t>30983721</t>
  </si>
  <si>
    <t xml:space="preserve">МКП "Пронские тепловые сети"</t>
  </si>
  <si>
    <t>6211008578</t>
  </si>
  <si>
    <t>621101001</t>
  </si>
  <si>
    <t xml:space="preserve">14-09-2017 00:00:00</t>
  </si>
  <si>
    <t>31468938</t>
  </si>
  <si>
    <t xml:space="preserve">МКП "РЫБНОВСКОЕ"</t>
  </si>
  <si>
    <t>6213013929</t>
  </si>
  <si>
    <t>621301001</t>
  </si>
  <si>
    <t xml:space="preserve">11-06-2019 00:00:00</t>
  </si>
  <si>
    <t>30836700</t>
  </si>
  <si>
    <t xml:space="preserve">МКП "Сапожковское ЖКХ"</t>
  </si>
  <si>
    <t>6216002210</t>
  </si>
  <si>
    <t>621601001</t>
  </si>
  <si>
    <t xml:space="preserve">06-10-2015 00:00:00</t>
  </si>
  <si>
    <t>30933869</t>
  </si>
  <si>
    <t xml:space="preserve">МКП "Сасовские тепловые сети"</t>
  </si>
  <si>
    <t>6232009710</t>
  </si>
  <si>
    <t>623201001</t>
  </si>
  <si>
    <t xml:space="preserve">16-06-2017 00:00:00</t>
  </si>
  <si>
    <t>31211868</t>
  </si>
  <si>
    <t xml:space="preserve">МКП "Теплосервис"</t>
  </si>
  <si>
    <t>6220010220</t>
  </si>
  <si>
    <t>622001001</t>
  </si>
  <si>
    <t xml:space="preserve">20-06-2018 00:00:00</t>
  </si>
  <si>
    <t>30378184</t>
  </si>
  <si>
    <t xml:space="preserve">МКП "Теплотехника №2"</t>
  </si>
  <si>
    <t>6214006515</t>
  </si>
  <si>
    <t>621401001</t>
  </si>
  <si>
    <t>26321934</t>
  </si>
  <si>
    <t xml:space="preserve">МКП "Ухоловский коммунальщик"</t>
  </si>
  <si>
    <t>6217007362</t>
  </si>
  <si>
    <t>622201001</t>
  </si>
  <si>
    <t>26359327</t>
  </si>
  <si>
    <t xml:space="preserve">МКП "Энерго-сбытовая и тепловая компания"</t>
  </si>
  <si>
    <t>6208009187</t>
  </si>
  <si>
    <t>31218363</t>
  </si>
  <si>
    <t xml:space="preserve">МКП «ЖКХ «Захаровское»</t>
  </si>
  <si>
    <t>6202005637</t>
  </si>
  <si>
    <t>620201001</t>
  </si>
  <si>
    <t>31514170</t>
  </si>
  <si>
    <t xml:space="preserve">МКП «ЖКХ Городское»</t>
  </si>
  <si>
    <t>6224007074</t>
  </si>
  <si>
    <t>622401001</t>
  </si>
  <si>
    <t xml:space="preserve">16-04-2021 00:00:00</t>
  </si>
  <si>
    <t>30384847</t>
  </si>
  <si>
    <t xml:space="preserve">МКП «Скопинские тепловые сети» Скопинского муниципального округа Рязанской области</t>
  </si>
  <si>
    <t>6233003654</t>
  </si>
  <si>
    <t>623301001</t>
  </si>
  <si>
    <t>26359368</t>
  </si>
  <si>
    <t xml:space="preserve">МУП " ЖКХ Жилкомсервис г.Сасово"</t>
  </si>
  <si>
    <t>6232006300</t>
  </si>
  <si>
    <t>26359358</t>
  </si>
  <si>
    <t xml:space="preserve">МУП "РМПТС"</t>
  </si>
  <si>
    <t>6227000888</t>
  </si>
  <si>
    <t>26543465</t>
  </si>
  <si>
    <t xml:space="preserve">МУП ЖКХ "БЫТ"</t>
  </si>
  <si>
    <t>6215023143</t>
  </si>
  <si>
    <t>26360982</t>
  </si>
  <si>
    <t xml:space="preserve">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</si>
  <si>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</si>
  <si>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</si>
  <si>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26359349</t>
  </si>
  <si>
    <t xml:space="preserve">ОАО "Автоколонна 1663"</t>
  </si>
  <si>
    <t>6224001153</t>
  </si>
  <si>
    <t>26535752</t>
  </si>
  <si>
    <t xml:space="preserve">ОАО "Ветзоотехника"</t>
  </si>
  <si>
    <t>6213000302</t>
  </si>
  <si>
    <t>26778743</t>
  </si>
  <si>
    <t xml:space="preserve">ОАО "Михайловхлебопродукты"</t>
  </si>
  <si>
    <t>6208000459</t>
  </si>
  <si>
    <t>26535486</t>
  </si>
  <si>
    <t xml:space="preserve">ОАО "РЖД" Рязанские дорожные путевые ремонтно-механические мастерские</t>
  </si>
  <si>
    <t>623431004</t>
  </si>
  <si>
    <t>27791256</t>
  </si>
  <si>
    <t xml:space="preserve">ОАО "Скопинское автотранспортное предприятие"</t>
  </si>
  <si>
    <t>6219000235</t>
  </si>
  <si>
    <t>27583068</t>
  </si>
  <si>
    <t xml:space="preserve">ОГБОУ СПО «Рязанский педагогический колледж» (г.Касимов)</t>
  </si>
  <si>
    <t>6231041608</t>
  </si>
  <si>
    <t>30856193</t>
  </si>
  <si>
    <t xml:space="preserve">ОГБПОУ "РПК" (г.Касимов)</t>
  </si>
  <si>
    <t xml:space="preserve">06-04-1999 00:00:00</t>
  </si>
  <si>
    <t>27776274</t>
  </si>
  <si>
    <t xml:space="preserve">ОГБПОУ "Рязанский железнодорожный колледж"</t>
  </si>
  <si>
    <t>6234064441</t>
  </si>
  <si>
    <t>30434678</t>
  </si>
  <si>
    <t xml:space="preserve">ОГБПОУ "Шацкий агротехнологический техникум"</t>
  </si>
  <si>
    <t>6224006465</t>
  </si>
  <si>
    <t>30960974</t>
  </si>
  <si>
    <t xml:space="preserve">ОГБПОУ «Шиловский агротехнологический техникум»</t>
  </si>
  <si>
    <t>6225009050</t>
  </si>
  <si>
    <t>28950993</t>
  </si>
  <si>
    <t xml:space="preserve">ООО " Рыбновские тепловые системы+"</t>
  </si>
  <si>
    <t>6213011022</t>
  </si>
  <si>
    <t>28146346</t>
  </si>
  <si>
    <t xml:space="preserve">ООО " Теплоэнергетик"</t>
  </si>
  <si>
    <t>6218005752</t>
  </si>
  <si>
    <t>26535710</t>
  </si>
  <si>
    <t xml:space="preserve">ООО "Авангард"</t>
  </si>
  <si>
    <t>6215013346</t>
  </si>
  <si>
    <t>26764325</t>
  </si>
  <si>
    <t xml:space="preserve">ООО "Ансет"</t>
  </si>
  <si>
    <t>6234026238</t>
  </si>
  <si>
    <t>27736545</t>
  </si>
  <si>
    <t xml:space="preserve">ООО "Веста"</t>
  </si>
  <si>
    <t>6212002628</t>
  </si>
  <si>
    <t xml:space="preserve">20-04-2011 00:00:00</t>
  </si>
  <si>
    <t>28007130</t>
  </si>
  <si>
    <t xml:space="preserve">ООО "Водоканал плюс"</t>
  </si>
  <si>
    <t>6213010082</t>
  </si>
  <si>
    <t xml:space="preserve">08-07-2011 00:00:00</t>
  </si>
  <si>
    <t>31739998</t>
  </si>
  <si>
    <t xml:space="preserve">ООО "Дивергенция"</t>
  </si>
  <si>
    <t>7842218811</t>
  </si>
  <si>
    <t>784201001</t>
  </si>
  <si>
    <t xml:space="preserve">01-11-2023 00:00:00</t>
  </si>
  <si>
    <t>26815952</t>
  </si>
  <si>
    <t xml:space="preserve">ООО "КВИН"</t>
  </si>
  <si>
    <t>6204006957</t>
  </si>
  <si>
    <t>620401001</t>
  </si>
  <si>
    <t xml:space="preserve">22-06-2006 00:00:00</t>
  </si>
  <si>
    <t>30478712</t>
  </si>
  <si>
    <t xml:space="preserve">ООО "Кардинал"</t>
  </si>
  <si>
    <t>7103037615</t>
  </si>
  <si>
    <t>26812556</t>
  </si>
  <si>
    <t xml:space="preserve">ООО "Касимовские коммунальные системы"</t>
  </si>
  <si>
    <t>6226010770</t>
  </si>
  <si>
    <t>26760815</t>
  </si>
  <si>
    <t xml:space="preserve">ООО "Луч"</t>
  </si>
  <si>
    <t>7728739872</t>
  </si>
  <si>
    <t>28462778</t>
  </si>
  <si>
    <t xml:space="preserve">ООО "Маяк-Инвест"</t>
  </si>
  <si>
    <t>6231030733</t>
  </si>
  <si>
    <t>31732437</t>
  </si>
  <si>
    <t xml:space="preserve">ООО "Монолит"</t>
  </si>
  <si>
    <t>6234036275</t>
  </si>
  <si>
    <t xml:space="preserve">26-01-2007 00:00:00</t>
  </si>
  <si>
    <t>30874996</t>
  </si>
  <si>
    <t xml:space="preserve">ООО "ПРИТОК"</t>
  </si>
  <si>
    <t>6231032762</t>
  </si>
  <si>
    <t>26535775</t>
  </si>
  <si>
    <t xml:space="preserve">ООО "Приток-Строй"</t>
  </si>
  <si>
    <t>6234031703</t>
  </si>
  <si>
    <t>26359359</t>
  </si>
  <si>
    <t xml:space="preserve">ООО "РЗЖБИ-2"</t>
  </si>
  <si>
    <t>6234145242</t>
  </si>
  <si>
    <t xml:space="preserve">10-06-2015 00:00:00</t>
  </si>
  <si>
    <t>28946020</t>
  </si>
  <si>
    <t xml:space="preserve">ООО "Рыбновские тепловые системы"</t>
  </si>
  <si>
    <t>6213011030</t>
  </si>
  <si>
    <t>26777984</t>
  </si>
  <si>
    <t xml:space="preserve">ООО "Ряжские тепловые сети"</t>
  </si>
  <si>
    <t>6214006900</t>
  </si>
  <si>
    <t>31455828</t>
  </si>
  <si>
    <t xml:space="preserve">ООО "Рязанская теплосетевая компания"</t>
  </si>
  <si>
    <t>6215033254</t>
  </si>
  <si>
    <t xml:space="preserve">27-08-2020 00:00:00</t>
  </si>
  <si>
    <t>26534862</t>
  </si>
  <si>
    <t xml:space="preserve">ООО "Рязаньэлеватор"</t>
  </si>
  <si>
    <t>6229042107</t>
  </si>
  <si>
    <t>27290489</t>
  </si>
  <si>
    <t xml:space="preserve">ООО "Сасовские тепловые сети"</t>
  </si>
  <si>
    <t>6232008508</t>
  </si>
  <si>
    <t>26760242</t>
  </si>
  <si>
    <t xml:space="preserve">ООО "Спас-Клепиковские коммунальные системы"</t>
  </si>
  <si>
    <t>6205008001</t>
  </si>
  <si>
    <t>27517239</t>
  </si>
  <si>
    <t xml:space="preserve">ООО "Спасские коммунальные системы"</t>
  </si>
  <si>
    <t>6220008662</t>
  </si>
  <si>
    <t xml:space="preserve">11-01-2011 00:00:00</t>
  </si>
  <si>
    <t>26781296</t>
  </si>
  <si>
    <t xml:space="preserve">ООО "Старожиловское ЖКХ"</t>
  </si>
  <si>
    <t>6221003498</t>
  </si>
  <si>
    <t>622101001</t>
  </si>
  <si>
    <t>26769835</t>
  </si>
  <si>
    <t xml:space="preserve">ООО "Тепловодоканал"</t>
  </si>
  <si>
    <t>6209003685</t>
  </si>
  <si>
    <t>620901001</t>
  </si>
  <si>
    <t>30875545</t>
  </si>
  <si>
    <t xml:space="preserve">ООО "Трон"</t>
  </si>
  <si>
    <t>6234102792</t>
  </si>
  <si>
    <t>31033083</t>
  </si>
  <si>
    <t xml:space="preserve">ООО "УК "Вертикаль"</t>
  </si>
  <si>
    <t>6234149279</t>
  </si>
  <si>
    <t xml:space="preserve">13-10-2015 00:00:00</t>
  </si>
  <si>
    <t>28151994</t>
  </si>
  <si>
    <t xml:space="preserve">ООО "Управляющая организация  Техрембытсервис-1"</t>
  </si>
  <si>
    <t>5005055524</t>
  </si>
  <si>
    <t>500501001</t>
  </si>
  <si>
    <t>26816768</t>
  </si>
  <si>
    <t xml:space="preserve">ООО "Шацкие коммунальные системы"</t>
  </si>
  <si>
    <t>6224006112</t>
  </si>
  <si>
    <t>31341524</t>
  </si>
  <si>
    <t xml:space="preserve">ООО "ЭТАЛОН ИНВЕСТ"</t>
  </si>
  <si>
    <t>5005062634</t>
  </si>
  <si>
    <t xml:space="preserve">07-06-2016 00:00:00</t>
  </si>
  <si>
    <t>28461429</t>
  </si>
  <si>
    <t xml:space="preserve">ООО" Управляющая жилищно-сервисная компания"</t>
  </si>
  <si>
    <t>6234051918</t>
  </si>
  <si>
    <t>30983657</t>
  </si>
  <si>
    <t xml:space="preserve">Рязанская территориальная фирма «Мостоотряд №22» филиал ПАО «Мостотрест»</t>
  </si>
  <si>
    <t>7701045732</t>
  </si>
  <si>
    <t>773001001</t>
  </si>
  <si>
    <t>26318543</t>
  </si>
  <si>
    <t xml:space="preserve">Рязанский филиал ООО "Ново-Рязанская ТЭЦ"</t>
  </si>
  <si>
    <t>1655063821</t>
  </si>
  <si>
    <t>623003001</t>
  </si>
  <si>
    <t>31210520</t>
  </si>
  <si>
    <t xml:space="preserve">Рязанский филиал ФГБУ "Рослесинфорг"</t>
  </si>
  <si>
    <t>7722319952</t>
  </si>
  <si>
    <t>623443001</t>
  </si>
  <si>
    <t xml:space="preserve">19-03-2015 00:00:00</t>
  </si>
  <si>
    <t>26506363</t>
  </si>
  <si>
    <t xml:space="preserve">Тульский территориальный участок Московской дирекции по тепловодоснабжению структурного подразделения Центральной дирекции по тепловодоснабжению - филиала ОАО "РЖД"</t>
  </si>
  <si>
    <t>770845001</t>
  </si>
  <si>
    <t>26535106</t>
  </si>
  <si>
    <t xml:space="preserve">ФГБОУ ВО РГАТУ</t>
  </si>
  <si>
    <t>6229000643</t>
  </si>
  <si>
    <t>30903763</t>
  </si>
  <si>
    <t xml:space="preserve">ФГБУ "ЦЖКУ" МИНОБОРОНЫ РОССИИ</t>
  </si>
  <si>
    <t>7729314745</t>
  </si>
  <si>
    <t>770101001</t>
  </si>
  <si>
    <t>26359346</t>
  </si>
  <si>
    <t xml:space="preserve">ФГКУ комбинат "Красная Новь"</t>
  </si>
  <si>
    <t>6223000870</t>
  </si>
  <si>
    <t>26535723</t>
  </si>
  <si>
    <t xml:space="preserve">ФКПОУ "МЭКИ" Минтруда России</t>
  </si>
  <si>
    <t>6208004799</t>
  </si>
  <si>
    <t>26535068</t>
  </si>
  <si>
    <t xml:space="preserve">ФКУ ИК-2 УФСИН России по Рязанской области</t>
  </si>
  <si>
    <t>6229029473</t>
  </si>
  <si>
    <t>31838625</t>
  </si>
  <si>
    <t xml:space="preserve">ФКУ ИЦ-2 УФСИН России по Рязанской области</t>
  </si>
  <si>
    <t>6200003017</t>
  </si>
  <si>
    <t>620001001</t>
  </si>
  <si>
    <t xml:space="preserve">07-03-2025 00:00:00</t>
  </si>
  <si>
    <t>28869496</t>
  </si>
  <si>
    <t xml:space="preserve">Филиал АО «РИР Энерго» - «Тамбовская генерация» Котельная в поселке Искра Рязанского района Рязанской области</t>
  </si>
  <si>
    <t>6829012680</t>
  </si>
  <si>
    <t>621545001</t>
  </si>
  <si>
    <t xml:space="preserve">20-04-2005 00:00:00</t>
  </si>
  <si>
    <t>26359941</t>
  </si>
  <si>
    <t xml:space="preserve">Филиал АО «РИР Энерго» - «Тамбовская генерация» производственное подразделение «Дягилевская ТЭЦ»</t>
  </si>
  <si>
    <t>622945001</t>
  </si>
  <si>
    <t>30941480</t>
  </si>
  <si>
    <t xml:space="preserve">Филиал ФГБУ "ЦЖКУ" Минобороны России (по МВО)</t>
  </si>
  <si>
    <t>503243002</t>
  </si>
  <si>
    <t>26513518</t>
  </si>
  <si>
    <t xml:space="preserve">Центральный филиал ООО «Газпром энерго»</t>
  </si>
  <si>
    <t>7736186950</t>
  </si>
  <si>
    <t>504343001</t>
  </si>
  <si>
    <t xml:space="preserve">07-02-2006 00:00:00</t>
  </si>
  <si>
    <t>26359351</t>
  </si>
  <si>
    <t xml:space="preserve">Шиловское МУПТЭС</t>
  </si>
  <si>
    <t>6225000882</t>
  </si>
  <si>
    <t xml:space="preserve">29-09-2000 00:00:00</t>
  </si>
  <si>
    <t>26759919</t>
  </si>
  <si>
    <t xml:space="preserve">филиал ООО "Газпром ПХГ" "Касимовское УПХГ"</t>
  </si>
  <si>
    <t>5003065767</t>
  </si>
  <si>
    <t>620402001</t>
  </si>
  <si>
    <t xml:space="preserve">24-06-2015 00:00:00</t>
  </si>
  <si>
    <t>27566166</t>
  </si>
  <si>
    <t xml:space="preserve">филиал Рязанское районное нефтепроводное управление" АО "Транснефть-Верхняя Волга"</t>
  </si>
  <si>
    <t>5260900725</t>
  </si>
  <si>
    <t>622802001</t>
  </si>
  <si>
    <t>31905657</t>
  </si>
  <si>
    <t xml:space="preserve">АО "ДРУЖБА"</t>
  </si>
  <si>
    <t>6234093080</t>
  </si>
  <si>
    <t>167501001</t>
  </si>
  <si>
    <t xml:space="preserve">07-07-2011 00:00:00</t>
  </si>
  <si>
    <t>26758277</t>
  </si>
  <si>
    <t xml:space="preserve">АО "Окское"</t>
  </si>
  <si>
    <t>6215000428</t>
  </si>
  <si>
    <t xml:space="preserve">09-10-2018 00:00:00</t>
  </si>
  <si>
    <t>26651649</t>
  </si>
  <si>
    <t xml:space="preserve">АО "Ухоловский молочный завод"</t>
  </si>
  <si>
    <t>6222000027</t>
  </si>
  <si>
    <t>28150745</t>
  </si>
  <si>
    <t xml:space="preserve">ГБУ РО "Касимовский ММЦ"</t>
  </si>
  <si>
    <t>6226001871</t>
  </si>
  <si>
    <t>26808802</t>
  </si>
  <si>
    <t xml:space="preserve">Горьковская дирекция по тепловодоснабжению структурное подразделение Центральной дирекции по тепловодоснабжению - филиала ОАО "РЖД"</t>
  </si>
  <si>
    <t>525745041</t>
  </si>
  <si>
    <t>26849569</t>
  </si>
  <si>
    <t xml:space="preserve">ЖСК "Зеленинские дворики"</t>
  </si>
  <si>
    <t>6229055258</t>
  </si>
  <si>
    <t>31650764</t>
  </si>
  <si>
    <t xml:space="preserve">ЖСК "Раменские дворики"</t>
  </si>
  <si>
    <t>6229058890</t>
  </si>
  <si>
    <t xml:space="preserve">22-08-2007 00:00:00</t>
  </si>
  <si>
    <t>28876347</t>
  </si>
  <si>
    <t xml:space="preserve">ЖСК "Ходынинские дворики"</t>
  </si>
  <si>
    <t>6229058900</t>
  </si>
  <si>
    <t>26759744</t>
  </si>
  <si>
    <t xml:space="preserve">ЗАО "Александровский ППР"</t>
  </si>
  <si>
    <t>6215001816</t>
  </si>
  <si>
    <t xml:space="preserve">05-03-2026 00:00:00</t>
  </si>
  <si>
    <t>26650414</t>
  </si>
  <si>
    <t xml:space="preserve">ЗАО "Победа"</t>
  </si>
  <si>
    <t>6202000773</t>
  </si>
  <si>
    <t>30988965</t>
  </si>
  <si>
    <t xml:space="preserve">ЗАО "Старый Завод"</t>
  </si>
  <si>
    <t>6220007549</t>
  </si>
  <si>
    <t>30376989</t>
  </si>
  <si>
    <t xml:space="preserve">ИП Сорокин А.В.</t>
  </si>
  <si>
    <t>622700976908</t>
  </si>
  <si>
    <t>26812367</t>
  </si>
  <si>
    <t xml:space="preserve">Куйбышевская дирекция  по тепловодоснабжению структурное подразделение Центральной дирекции по тепловодоснабжению филиала ПАО «РЖД»</t>
  </si>
  <si>
    <t>631145034</t>
  </si>
  <si>
    <t>30880562</t>
  </si>
  <si>
    <t xml:space="preserve">МКП "Водоканал-Пителинский"</t>
  </si>
  <si>
    <t>6210001308</t>
  </si>
  <si>
    <t>621001001</t>
  </si>
  <si>
    <t xml:space="preserve">11-11-2016 00:00:00</t>
  </si>
  <si>
    <t>31151844</t>
  </si>
  <si>
    <t xml:space="preserve">МКП "Водосток"</t>
  </si>
  <si>
    <t>6220010196</t>
  </si>
  <si>
    <t xml:space="preserve">11-05-2018 00:00:00</t>
  </si>
  <si>
    <t>31311310</t>
  </si>
  <si>
    <t xml:space="preserve">МКП "Гусевское ЖКХ"</t>
  </si>
  <si>
    <t>6204009443</t>
  </si>
  <si>
    <t xml:space="preserve">07-12-2018 00:00:00</t>
  </si>
  <si>
    <t>31339158</t>
  </si>
  <si>
    <t xml:space="preserve">МКП "Елатомское ЖКХ"</t>
  </si>
  <si>
    <t>6204009468</t>
  </si>
  <si>
    <t xml:space="preserve">13-02-2019 00:00:00</t>
  </si>
  <si>
    <t xml:space="preserve">26-03-2026 00:00:00</t>
  </si>
  <si>
    <t>31230276</t>
  </si>
  <si>
    <t xml:space="preserve">МКП "ЖКХ Ермишинское"</t>
  </si>
  <si>
    <t>6201003179</t>
  </si>
  <si>
    <t>620101001</t>
  </si>
  <si>
    <t xml:space="preserve">04-10-2018 00:00:00</t>
  </si>
  <si>
    <t>31041387</t>
  </si>
  <si>
    <t xml:space="preserve">МКП "ЖКХ Истьинское"</t>
  </si>
  <si>
    <t>6221004237</t>
  </si>
  <si>
    <t xml:space="preserve">14-11-2017 00:00:00</t>
  </si>
  <si>
    <t>31280393</t>
  </si>
  <si>
    <t xml:space="preserve">МКП "ЖКХ Кадомское"</t>
  </si>
  <si>
    <t>6203003199</t>
  </si>
  <si>
    <t>620301001</t>
  </si>
  <si>
    <t xml:space="preserve">13-12-2018 00:00:00</t>
  </si>
  <si>
    <t>26653308</t>
  </si>
  <si>
    <t xml:space="preserve">МКП "Ижевское коммунальное хозяйство"</t>
  </si>
  <si>
    <t>6220007411</t>
  </si>
  <si>
    <t>31108499</t>
  </si>
  <si>
    <t xml:space="preserve">МКП "Касимовское ЖКХ"</t>
  </si>
  <si>
    <t>6204009411</t>
  </si>
  <si>
    <t xml:space="preserve">16-04-2018 00:00:00</t>
  </si>
  <si>
    <t>31450871</t>
  </si>
  <si>
    <t xml:space="preserve">МКП "Кораблиносервис"</t>
  </si>
  <si>
    <t>6206005490</t>
  </si>
  <si>
    <t xml:space="preserve">18-02-2020 00:00:00</t>
  </si>
  <si>
    <t>28267027</t>
  </si>
  <si>
    <t xml:space="preserve">МКП "Кораблинская транспортная компания"</t>
  </si>
  <si>
    <t>6206003479</t>
  </si>
  <si>
    <t>31777009</t>
  </si>
  <si>
    <t xml:space="preserve">МКП "Ряжский Водоканал"</t>
  </si>
  <si>
    <t>6200006385</t>
  </si>
  <si>
    <t xml:space="preserve">17-07-2024 00:00:00</t>
  </si>
  <si>
    <t>31304503</t>
  </si>
  <si>
    <t xml:space="preserve">МКП "Скопинские водные системы"</t>
  </si>
  <si>
    <t>6233007433</t>
  </si>
  <si>
    <t xml:space="preserve">15-01-2019 00:00:00</t>
  </si>
  <si>
    <t>31913059</t>
  </si>
  <si>
    <t xml:space="preserve">МКП "Старожилово-Водоканал"</t>
  </si>
  <si>
    <t>6200020252</t>
  </si>
  <si>
    <t xml:space="preserve">26-12-2025 00:00:00</t>
  </si>
  <si>
    <t>31696089</t>
  </si>
  <si>
    <t xml:space="preserve">МКП "Старожиловское ЖКХ"</t>
  </si>
  <si>
    <t>6219009020</t>
  </si>
  <si>
    <t xml:space="preserve">18-05-2023 00:00:00</t>
  </si>
  <si>
    <t>31503781</t>
  </si>
  <si>
    <t xml:space="preserve">МКП "ТУМСКОЕ"</t>
  </si>
  <si>
    <t>6205000940</t>
  </si>
  <si>
    <t xml:space="preserve">26-02-2021 00:00:00</t>
  </si>
  <si>
    <t>31419747</t>
  </si>
  <si>
    <t xml:space="preserve">МКП "Центр услуг"</t>
  </si>
  <si>
    <t>6209004047</t>
  </si>
  <si>
    <t xml:space="preserve">13-08-2019 00:00:00</t>
  </si>
  <si>
    <t>30934802</t>
  </si>
  <si>
    <t xml:space="preserve">МКП «ЖКХ Рязанский Водоканал» муниципального образования – Рязанский муниципальный район Рязанской области</t>
  </si>
  <si>
    <t>6215031271</t>
  </si>
  <si>
    <t xml:space="preserve">04-05-2017 00:00:00</t>
  </si>
  <si>
    <t>26536576</t>
  </si>
  <si>
    <t xml:space="preserve">МКП ЖКХ "Сельское"</t>
  </si>
  <si>
    <t>6224005380</t>
  </si>
  <si>
    <t>31225384</t>
  </si>
  <si>
    <t xml:space="preserve">МОУ Кадомская СШ им.С.Я.Батышева</t>
  </si>
  <si>
    <t>6203001755</t>
  </si>
  <si>
    <t>26374788</t>
  </si>
  <si>
    <t xml:space="preserve">МП "Водоканал города Рязани"</t>
  </si>
  <si>
    <t>6227004811</t>
  </si>
  <si>
    <t>26381028</t>
  </si>
  <si>
    <t xml:space="preserve">МП "Новомичуринский водоканал"</t>
  </si>
  <si>
    <t>6211004809</t>
  </si>
  <si>
    <t>26359348</t>
  </si>
  <si>
    <t xml:space="preserve">МУ МПЖКХ Гусь-Железный</t>
  </si>
  <si>
    <t>6204000137</t>
  </si>
  <si>
    <t xml:space="preserve">03-11-2016 00:00:00</t>
  </si>
  <si>
    <t>26650689</t>
  </si>
  <si>
    <t xml:space="preserve">МУП "Водоканал" (г.Касимов)</t>
  </si>
  <si>
    <t>6226009817</t>
  </si>
  <si>
    <t>27726253</t>
  </si>
  <si>
    <t xml:space="preserve">МУП "Скопинский комплекс водных систем"</t>
  </si>
  <si>
    <t>6233003608</t>
  </si>
  <si>
    <t>31910718</t>
  </si>
  <si>
    <t xml:space="preserve">Михайловский филиал АО "ЦЕМРОС"</t>
  </si>
  <si>
    <t>7708117908</t>
  </si>
  <si>
    <t>620043001</t>
  </si>
  <si>
    <t xml:space="preserve">20-05-2025 00:00:00</t>
  </si>
  <si>
    <t>28466542</t>
  </si>
  <si>
    <t xml:space="preserve">ОАО "Ряжский элеватор"</t>
  </si>
  <si>
    <t>6214000030</t>
  </si>
  <si>
    <t>26651860</t>
  </si>
  <si>
    <t xml:space="preserve">ОАО "Управление жилыми домами"</t>
  </si>
  <si>
    <t>6208009910</t>
  </si>
  <si>
    <t>30380363</t>
  </si>
  <si>
    <t xml:space="preserve">ООО "АРТТЕХНОЛОДЖИ"</t>
  </si>
  <si>
    <t>6226011870</t>
  </si>
  <si>
    <t xml:space="preserve">10-06-2016 00:00:00</t>
  </si>
  <si>
    <t>26851376</t>
  </si>
  <si>
    <t xml:space="preserve">ООО "Агрозернотрейд"</t>
  </si>
  <si>
    <t>6215015216</t>
  </si>
  <si>
    <t>31489124</t>
  </si>
  <si>
    <t xml:space="preserve">ООО "Агромилк"</t>
  </si>
  <si>
    <t>6224006761</t>
  </si>
  <si>
    <t xml:space="preserve">15-02-2016 00:00:00</t>
  </si>
  <si>
    <t>27534574</t>
  </si>
  <si>
    <t xml:space="preserve">ООО "Водоресурс"</t>
  </si>
  <si>
    <t>7701566446</t>
  </si>
  <si>
    <t xml:space="preserve">13-01-2011 00:00:00</t>
  </si>
  <si>
    <t>26374794</t>
  </si>
  <si>
    <t xml:space="preserve">ООО "Водстрой"</t>
  </si>
  <si>
    <t>6230009369</t>
  </si>
  <si>
    <t>26851887</t>
  </si>
  <si>
    <t xml:space="preserve">ООО "Елатьмасервис"</t>
  </si>
  <si>
    <t>6204007069</t>
  </si>
  <si>
    <t>28467508</t>
  </si>
  <si>
    <t xml:space="preserve">ООО "Жилсервис Плюс"</t>
  </si>
  <si>
    <t>6218006259</t>
  </si>
  <si>
    <t>27502114</t>
  </si>
  <si>
    <t xml:space="preserve">ООО "ЗАРЕЧЬЕ"</t>
  </si>
  <si>
    <t>6204006072</t>
  </si>
  <si>
    <t xml:space="preserve">13-07-2005 00:00:00</t>
  </si>
  <si>
    <t>31281020</t>
  </si>
  <si>
    <t xml:space="preserve">ООО "Завод точного литья"</t>
  </si>
  <si>
    <t>6234181970</t>
  </si>
  <si>
    <t xml:space="preserve">06-02-2019 00:00:00</t>
  </si>
  <si>
    <t>28458532</t>
  </si>
  <si>
    <t xml:space="preserve">ООО "Заречное"</t>
  </si>
  <si>
    <t>6218006266</t>
  </si>
  <si>
    <t>26650406</t>
  </si>
  <si>
    <t xml:space="preserve">ООО "Захаровское ЖКХ"</t>
  </si>
  <si>
    <t>6202004810</t>
  </si>
  <si>
    <t>31856907</t>
  </si>
  <si>
    <t xml:space="preserve">ООО "Источник 75"</t>
  </si>
  <si>
    <t>6200014467</t>
  </si>
  <si>
    <t xml:space="preserve">26-05-2025 00:00:00</t>
  </si>
  <si>
    <t>26848688</t>
  </si>
  <si>
    <t xml:space="preserve">ООО "КЛЁН"</t>
  </si>
  <si>
    <t>6224005581</t>
  </si>
  <si>
    <t xml:space="preserve">22-10-2008 00:00:00</t>
  </si>
  <si>
    <t>31578561</t>
  </si>
  <si>
    <t xml:space="preserve">ООО "Калининское"</t>
  </si>
  <si>
    <t>6219008322</t>
  </si>
  <si>
    <t xml:space="preserve">21-12-2021 00:00:00</t>
  </si>
  <si>
    <t>30476966</t>
  </si>
  <si>
    <t xml:space="preserve">ООО "Комфорт-Сервис"</t>
  </si>
  <si>
    <t>6225010351</t>
  </si>
  <si>
    <t>26374763</t>
  </si>
  <si>
    <t xml:space="preserve">ООО "Малинищи"</t>
  </si>
  <si>
    <t>6211004929</t>
  </si>
  <si>
    <t>28005020</t>
  </si>
  <si>
    <t xml:space="preserve">ООО "Милославский горнообогатительный комбинат"</t>
  </si>
  <si>
    <t>6207002968</t>
  </si>
  <si>
    <t>30377333</t>
  </si>
  <si>
    <t xml:space="preserve">ООО "Новое Семкино"</t>
  </si>
  <si>
    <t>6234068291</t>
  </si>
  <si>
    <t>28830201</t>
  </si>
  <si>
    <t xml:space="preserve">ООО "ОКА МОЛОКО"</t>
  </si>
  <si>
    <t>6223002073</t>
  </si>
  <si>
    <t>26814810</t>
  </si>
  <si>
    <t xml:space="preserve">ООО "Подлипкисервис"</t>
  </si>
  <si>
    <t>6204007630</t>
  </si>
  <si>
    <t>30917282</t>
  </si>
  <si>
    <t xml:space="preserve">ООО "Приокское"</t>
  </si>
  <si>
    <t>6204008182</t>
  </si>
  <si>
    <t>26653356</t>
  </si>
  <si>
    <t xml:space="preserve">ООО "Прогресс-Н"</t>
  </si>
  <si>
    <t>6204008087</t>
  </si>
  <si>
    <t>28461529</t>
  </si>
  <si>
    <t xml:space="preserve">ООО "Пронские коммунальные системы"</t>
  </si>
  <si>
    <t>6211008024</t>
  </si>
  <si>
    <t>26848708</t>
  </si>
  <si>
    <t xml:space="preserve">ООО "РАССВЕТ-1"</t>
  </si>
  <si>
    <t>6224004387</t>
  </si>
  <si>
    <t>27944904</t>
  </si>
  <si>
    <t xml:space="preserve">ООО "Ренессанс"</t>
  </si>
  <si>
    <t>6205004575</t>
  </si>
  <si>
    <t>26651935</t>
  </si>
  <si>
    <t xml:space="preserve">ООО "Рыбновский Водоканал"</t>
  </si>
  <si>
    <t>6213009513</t>
  </si>
  <si>
    <t>28466477</t>
  </si>
  <si>
    <t xml:space="preserve">ООО "Ряжский Водоканал"</t>
  </si>
  <si>
    <t>6214007276</t>
  </si>
  <si>
    <t>26650494</t>
  </si>
  <si>
    <t xml:space="preserve">ООО "Сменовское ЖКХ"</t>
  </si>
  <si>
    <t>6202005066</t>
  </si>
  <si>
    <t>31660421</t>
  </si>
  <si>
    <t xml:space="preserve">ООО "СтройАльянс"</t>
  </si>
  <si>
    <t>6234123143</t>
  </si>
  <si>
    <t xml:space="preserve">08-11-2013 00:00:00</t>
  </si>
  <si>
    <t>28006162</t>
  </si>
  <si>
    <t xml:space="preserve">ООО "СтройКом"</t>
  </si>
  <si>
    <t>6225009797</t>
  </si>
  <si>
    <t>27823227</t>
  </si>
  <si>
    <t xml:space="preserve">ООО "Стройдеталь"</t>
  </si>
  <si>
    <t>6220006753</t>
  </si>
  <si>
    <t>27584066</t>
  </si>
  <si>
    <t xml:space="preserve">ООО "Тырново-сервис"</t>
  </si>
  <si>
    <t>6211006965</t>
  </si>
  <si>
    <t>26815689</t>
  </si>
  <si>
    <t xml:space="preserve">ООО "УК "Рязанские областные коммунальные системы"</t>
  </si>
  <si>
    <t>6229039270</t>
  </si>
  <si>
    <t>26774556</t>
  </si>
  <si>
    <t xml:space="preserve">ООО "Управдом р.п. Александро-Невский"</t>
  </si>
  <si>
    <t>6209003460</t>
  </si>
  <si>
    <t>26851289</t>
  </si>
  <si>
    <t xml:space="preserve">ООО "Управдом" (р.п. Кадом)</t>
  </si>
  <si>
    <t>6203002886</t>
  </si>
  <si>
    <t xml:space="preserve">11-12-2008 00:00:00</t>
  </si>
  <si>
    <t>26374796</t>
  </si>
  <si>
    <t xml:space="preserve">ООО "Чистые воды"</t>
  </si>
  <si>
    <t>6231005695</t>
  </si>
  <si>
    <t>28876860</t>
  </si>
  <si>
    <t xml:space="preserve">ООО "Чучково"</t>
  </si>
  <si>
    <t>6223002330</t>
  </si>
  <si>
    <t>30403145</t>
  </si>
  <si>
    <t xml:space="preserve">ООО "Эллада"</t>
  </si>
  <si>
    <t>6229047842</t>
  </si>
  <si>
    <t>26381053</t>
  </si>
  <si>
    <t xml:space="preserve">ООО Санаторий "Солотча"</t>
  </si>
  <si>
    <t>6231037506</t>
  </si>
  <si>
    <t>30985287</t>
  </si>
  <si>
    <t xml:space="preserve">ООО им.Алексашина</t>
  </si>
  <si>
    <t>6202002971</t>
  </si>
  <si>
    <t>30958329</t>
  </si>
  <si>
    <t xml:space="preserve">Ордена Трудового Красного Знамени колхоз "Вперёд"</t>
  </si>
  <si>
    <t>6224000336</t>
  </si>
  <si>
    <t>26374792</t>
  </si>
  <si>
    <t xml:space="preserve">ПАО "Тяжпрессмаш"</t>
  </si>
  <si>
    <t>6229009163</t>
  </si>
  <si>
    <t>31296529</t>
  </si>
  <si>
    <t xml:space="preserve">ФГБНУ "ФНЦ пчеловодства"</t>
  </si>
  <si>
    <t>6213000373</t>
  </si>
  <si>
    <t>31833467</t>
  </si>
  <si>
    <t xml:space="preserve">ФГБОУ ВО РязГМУ Минздрава России</t>
  </si>
  <si>
    <t>6228013199</t>
  </si>
  <si>
    <t xml:space="preserve">27-07-1992 00:00:00</t>
  </si>
  <si>
    <t>26759771</t>
  </si>
  <si>
    <t xml:space="preserve">ФКУ ИК-6 УФСИН России по Рязанской области</t>
  </si>
  <si>
    <t>6215002168</t>
  </si>
  <si>
    <t xml:space="preserve">17-05-2011 00:00:00</t>
  </si>
  <si>
    <t>28458602</t>
  </si>
  <si>
    <t xml:space="preserve">колхоз "Шелковской"</t>
  </si>
  <si>
    <t>6221000151</t>
  </si>
  <si>
    <t>26773431</t>
  </si>
  <si>
    <t xml:space="preserve">колхоз (СПК им.Ленина)</t>
  </si>
  <si>
    <t>6221000465</t>
  </si>
  <si>
    <t>26848802</t>
  </si>
  <si>
    <t xml:space="preserve">АО "Елатомский приборный завод"</t>
  </si>
  <si>
    <t>6204001412</t>
  </si>
  <si>
    <t>31754087</t>
  </si>
  <si>
    <t xml:space="preserve">АО "Корпорация развития Рязанской области"</t>
  </si>
  <si>
    <t>6234106885</t>
  </si>
  <si>
    <t xml:space="preserve">31-08-2012 00:00:00</t>
  </si>
  <si>
    <t>31041382</t>
  </si>
  <si>
    <t xml:space="preserve">АО "Рязанский свинокомплекс"</t>
  </si>
  <si>
    <t>6215008716</t>
  </si>
  <si>
    <t>31748384</t>
  </si>
  <si>
    <t xml:space="preserve">МКП "Водоотведение"</t>
  </si>
  <si>
    <t>6200001683</t>
  </si>
  <si>
    <t xml:space="preserve">23-01-2024 00:00:00</t>
  </si>
  <si>
    <t>26552441</t>
  </si>
  <si>
    <t xml:space="preserve">ООО "Агромолкомбинат "Рязанский"</t>
  </si>
  <si>
    <t>6234006538</t>
  </si>
  <si>
    <t>27534562</t>
  </si>
  <si>
    <t xml:space="preserve">ООО "Водосток"</t>
  </si>
  <si>
    <t>5321067430</t>
  </si>
  <si>
    <t xml:space="preserve">29-12-2010 00:00:00</t>
  </si>
  <si>
    <t>30988148</t>
  </si>
  <si>
    <t xml:space="preserve">ООО "Металлургический Завод "КАРЦЕНТО"</t>
  </si>
  <si>
    <t>6234109519</t>
  </si>
  <si>
    <t xml:space="preserve">14-11-2012 00:00:00</t>
  </si>
  <si>
    <t>28006194</t>
  </si>
  <si>
    <t xml:space="preserve">ООО "Русвата"</t>
  </si>
  <si>
    <t>6229064929</t>
  </si>
  <si>
    <t>26650815</t>
  </si>
  <si>
    <t xml:space="preserve">ООО "Чистый берег"</t>
  </si>
  <si>
    <t>7728741688</t>
  </si>
  <si>
    <t>31756471</t>
  </si>
  <si>
    <t xml:space="preserve">АО "Рязанский ПЭК"</t>
  </si>
  <si>
    <t>6230075266</t>
  </si>
  <si>
    <t xml:space="preserve">13-10-2011 00:00:00</t>
  </si>
  <si>
    <t>31005989</t>
  </si>
  <si>
    <t xml:space="preserve">АО "Рязанский Скарабей"</t>
  </si>
  <si>
    <t>6231043242</t>
  </si>
  <si>
    <t>31323044</t>
  </si>
  <si>
    <t xml:space="preserve">ИП Булыгин Юрий Андреевич</t>
  </si>
  <si>
    <t>622701611385</t>
  </si>
  <si>
    <t>31707623</t>
  </si>
  <si>
    <t xml:space="preserve">ИП Кулешов Александр Сергеевич</t>
  </si>
  <si>
    <t>622999922092</t>
  </si>
  <si>
    <t xml:space="preserve">18-04-2017 00:00:00</t>
  </si>
  <si>
    <t>31707589</t>
  </si>
  <si>
    <t xml:space="preserve">ИП Кулешов Сергей Анатольевич</t>
  </si>
  <si>
    <t>622708348736</t>
  </si>
  <si>
    <t xml:space="preserve">17-09-2021 00:00:00</t>
  </si>
  <si>
    <t>31746715</t>
  </si>
  <si>
    <t xml:space="preserve">ИП Хубутия Лилия Рудиковна</t>
  </si>
  <si>
    <t>622709341557</t>
  </si>
  <si>
    <t xml:space="preserve">30-09-2020 00:00:00</t>
  </si>
  <si>
    <t>28142184</t>
  </si>
  <si>
    <t xml:space="preserve">ООО "Благоустройство"</t>
  </si>
  <si>
    <t>6208011203</t>
  </si>
  <si>
    <t>28461407</t>
  </si>
  <si>
    <t xml:space="preserve">ООО "ДСУ"Ново-Деревенское"</t>
  </si>
  <si>
    <t>6209003269</t>
  </si>
  <si>
    <t>26651820</t>
  </si>
  <si>
    <t xml:space="preserve">ООО "Жилсервис-Пителино"</t>
  </si>
  <si>
    <t>6210002622</t>
  </si>
  <si>
    <t>28142620</t>
  </si>
  <si>
    <t xml:space="preserve">ООО "Золотое тавро"</t>
  </si>
  <si>
    <t>6220008253</t>
  </si>
  <si>
    <t>31697247</t>
  </si>
  <si>
    <t xml:space="preserve">ООО "К-СК "Дягилево"</t>
  </si>
  <si>
    <t>6234139457</t>
  </si>
  <si>
    <t xml:space="preserve">29-12-2014 00:00:00</t>
  </si>
  <si>
    <t>28142192</t>
  </si>
  <si>
    <t xml:space="preserve">ООО "Метком"</t>
  </si>
  <si>
    <t>6232007494</t>
  </si>
  <si>
    <t xml:space="preserve">14-04-2009 00:00:00</t>
  </si>
  <si>
    <t>26781390</t>
  </si>
  <si>
    <t xml:space="preserve">ООО "Полигон"</t>
  </si>
  <si>
    <t>6221003480</t>
  </si>
  <si>
    <t xml:space="preserve">22-09-2010 00:00:00</t>
  </si>
  <si>
    <t>31773230</t>
  </si>
  <si>
    <t xml:space="preserve">ООО "Рязанский ЭКОТЕХНОПАРК"</t>
  </si>
  <si>
    <t>6234189786</t>
  </si>
  <si>
    <t xml:space="preserve">13-04-2020 00:00:00</t>
  </si>
  <si>
    <t>31697404</t>
  </si>
  <si>
    <t xml:space="preserve">ООО "Спецавтобаза по уборке города"</t>
  </si>
  <si>
    <t>6234041652</t>
  </si>
  <si>
    <t xml:space="preserve">25-06-2007 00:00:00</t>
  </si>
  <si>
    <t>31698475</t>
  </si>
  <si>
    <t xml:space="preserve">ООО "Спецмаш"</t>
  </si>
  <si>
    <t>7724492744</t>
  </si>
  <si>
    <t>772401001</t>
  </si>
  <si>
    <t>31697398</t>
  </si>
  <si>
    <t xml:space="preserve">ООО "Спецпромсервис"</t>
  </si>
  <si>
    <t>6231054798</t>
  </si>
  <si>
    <t xml:space="preserve">17-10-2002 00:00:00</t>
  </si>
  <si>
    <t>28421012</t>
  </si>
  <si>
    <t xml:space="preserve">ООО "Стимул"</t>
  </si>
  <si>
    <t>6216002121</t>
  </si>
  <si>
    <t xml:space="preserve">29-11-2012 00:00:00</t>
  </si>
  <si>
    <t>28485849</t>
  </si>
  <si>
    <t xml:space="preserve">ООО "Утилизация"</t>
  </si>
  <si>
    <t>6226011380</t>
  </si>
  <si>
    <t>27583895</t>
  </si>
  <si>
    <t xml:space="preserve">ООО "Эко-Пронск"</t>
  </si>
  <si>
    <t>6211007461</t>
  </si>
  <si>
    <t xml:space="preserve">16-11-2010 00:00:00</t>
  </si>
  <si>
    <t>30355472</t>
  </si>
  <si>
    <t xml:space="preserve">ООО "Экосервис"</t>
  </si>
  <si>
    <t>6214007445</t>
  </si>
  <si>
    <t xml:space="preserve">15-04-2015 00:00:00</t>
  </si>
  <si>
    <t>NSRF</t>
  </si>
  <si>
    <t>MR_NAME</t>
  </si>
  <si>
    <t>OKTMO_MR_NAME</t>
  </si>
  <si>
    <t>MO_NAME</t>
  </si>
  <si>
    <t>OKTMO_NAME</t>
  </si>
  <si>
    <t>TYPE</t>
  </si>
  <si>
    <t>MR_ID</t>
  </si>
  <si>
    <t xml:space="preserve">Александро-Невский муниципальный округ</t>
  </si>
  <si>
    <t>61520000</t>
  </si>
  <si>
    <t xml:space="preserve">муниципальный округ</t>
  </si>
  <si>
    <t xml:space="preserve">Александро-Невский муниципальный район</t>
  </si>
  <si>
    <t>61620000</t>
  </si>
  <si>
    <t xml:space="preserve">муниципальный район</t>
  </si>
  <si>
    <t>Александро-Невское</t>
  </si>
  <si>
    <t>61620151</t>
  </si>
  <si>
    <t xml:space="preserve">городское поселение, в состав которого входит поселок</t>
  </si>
  <si>
    <t>Благовское</t>
  </si>
  <si>
    <t>61620405</t>
  </si>
  <si>
    <t xml:space="preserve">сельское поселение</t>
  </si>
  <si>
    <t>Борисовское</t>
  </si>
  <si>
    <t>61620410</t>
  </si>
  <si>
    <t>Каширинское</t>
  </si>
  <si>
    <t>61620450</t>
  </si>
  <si>
    <t>Нижнеякимецкое</t>
  </si>
  <si>
    <t>61620445</t>
  </si>
  <si>
    <t>Просеченское</t>
  </si>
  <si>
    <t>61620460</t>
  </si>
  <si>
    <t xml:space="preserve">Город Касимов</t>
  </si>
  <si>
    <t>61705000</t>
  </si>
  <si>
    <t xml:space="preserve">городской округ</t>
  </si>
  <si>
    <t xml:space="preserve">Город Рязань</t>
  </si>
  <si>
    <t>61701000</t>
  </si>
  <si>
    <t xml:space="preserve">Город Сасово</t>
  </si>
  <si>
    <t>61710000</t>
  </si>
  <si>
    <t xml:space="preserve">Город Скопин</t>
  </si>
  <si>
    <t>61715000</t>
  </si>
  <si>
    <t xml:space="preserve">Ермишинский муниципальный округ</t>
  </si>
  <si>
    <t>61502000</t>
  </si>
  <si>
    <t xml:space="preserve">Ермишинский муниципальный район</t>
  </si>
  <si>
    <t>61602000</t>
  </si>
  <si>
    <t>Азеевское</t>
  </si>
  <si>
    <t>61602405</t>
  </si>
  <si>
    <t>Ермишинское</t>
  </si>
  <si>
    <t>61602151</t>
  </si>
  <si>
    <t>Мердушинское</t>
  </si>
  <si>
    <t>61602425</t>
  </si>
  <si>
    <t>Надежкинское</t>
  </si>
  <si>
    <t>61602430</t>
  </si>
  <si>
    <t>Нарминское</t>
  </si>
  <si>
    <t>61602435</t>
  </si>
  <si>
    <t>Савватемское</t>
  </si>
  <si>
    <t>61602440</t>
  </si>
  <si>
    <t xml:space="preserve">Захаровский муниципальный округ</t>
  </si>
  <si>
    <t>61504000</t>
  </si>
  <si>
    <t xml:space="preserve">Захаровский муниципальный район</t>
  </si>
  <si>
    <t>61604000</t>
  </si>
  <si>
    <t>Безлыченское</t>
  </si>
  <si>
    <t>61604412</t>
  </si>
  <si>
    <t>Большекоровинское</t>
  </si>
  <si>
    <t>61604415</t>
  </si>
  <si>
    <t>Добро-Пчельское</t>
  </si>
  <si>
    <t>61604430</t>
  </si>
  <si>
    <t>Елинское</t>
  </si>
  <si>
    <t>61604432</t>
  </si>
  <si>
    <t>Захаровское</t>
  </si>
  <si>
    <t>61604440</t>
  </si>
  <si>
    <t>Плахинское</t>
  </si>
  <si>
    <t>61604465</t>
  </si>
  <si>
    <t>Сменовское</t>
  </si>
  <si>
    <t>61604425</t>
  </si>
  <si>
    <t xml:space="preserve">Кадомский муниципальный округ</t>
  </si>
  <si>
    <t>61506000</t>
  </si>
  <si>
    <t xml:space="preserve">Кадомский муниципальный район</t>
  </si>
  <si>
    <t>61606000</t>
  </si>
  <si>
    <t>Восходское</t>
  </si>
  <si>
    <t>61606405</t>
  </si>
  <si>
    <t>Енкаевское</t>
  </si>
  <si>
    <t>61606410</t>
  </si>
  <si>
    <t>Кадомское</t>
  </si>
  <si>
    <t>61606151</t>
  </si>
  <si>
    <t>Котелинское</t>
  </si>
  <si>
    <t>61606420</t>
  </si>
  <si>
    <t>Кущапинское</t>
  </si>
  <si>
    <t>61606430</t>
  </si>
  <si>
    <t xml:space="preserve">Касимовский муниципальный округ</t>
  </si>
  <si>
    <t>61508000</t>
  </si>
  <si>
    <t xml:space="preserve">Касимовский муниципальный район</t>
  </si>
  <si>
    <t>61608000</t>
  </si>
  <si>
    <t>Ардабьевское</t>
  </si>
  <si>
    <t>61608403</t>
  </si>
  <si>
    <t>Ахматовское</t>
  </si>
  <si>
    <t>61608406</t>
  </si>
  <si>
    <t>Булгаковское</t>
  </si>
  <si>
    <t>61608439</t>
  </si>
  <si>
    <t>Гиблицкое</t>
  </si>
  <si>
    <t>61608418</t>
  </si>
  <si>
    <t>Гусевское</t>
  </si>
  <si>
    <t>61608154</t>
  </si>
  <si>
    <t>Дмитриевское</t>
  </si>
  <si>
    <t>61608421</t>
  </si>
  <si>
    <t>Елатомское</t>
  </si>
  <si>
    <t>61608156</t>
  </si>
  <si>
    <t>Ермоловское</t>
  </si>
  <si>
    <t>61608424</t>
  </si>
  <si>
    <t>Ибердусское</t>
  </si>
  <si>
    <t>61608430</t>
  </si>
  <si>
    <t>Китовское</t>
  </si>
  <si>
    <t>61608433</t>
  </si>
  <si>
    <t>Клетинское</t>
  </si>
  <si>
    <t>61608434</t>
  </si>
  <si>
    <t>Которовское</t>
  </si>
  <si>
    <t>61608442</t>
  </si>
  <si>
    <t>Крутоярское</t>
  </si>
  <si>
    <t>61608453</t>
  </si>
  <si>
    <t>Лашманское</t>
  </si>
  <si>
    <t>61608454</t>
  </si>
  <si>
    <t>Лощининское</t>
  </si>
  <si>
    <t>61608471</t>
  </si>
  <si>
    <t>Новодеревенское</t>
  </si>
  <si>
    <t>61608456</t>
  </si>
  <si>
    <t>Овчинниковское</t>
  </si>
  <si>
    <t>61608459</t>
  </si>
  <si>
    <t>Первинское</t>
  </si>
  <si>
    <t>61608462</t>
  </si>
  <si>
    <t>Погостинское</t>
  </si>
  <si>
    <t>61608465</t>
  </si>
  <si>
    <t>Савостьяновское</t>
  </si>
  <si>
    <t>61608468</t>
  </si>
  <si>
    <t>Сынтульское</t>
  </si>
  <si>
    <t>61608160</t>
  </si>
  <si>
    <t>Токаревское</t>
  </si>
  <si>
    <t>61608474</t>
  </si>
  <si>
    <t>60</t>
  </si>
  <si>
    <t>Торбаевское</t>
  </si>
  <si>
    <t>61608412</t>
  </si>
  <si>
    <t>61</t>
  </si>
  <si>
    <t>Шостьинское</t>
  </si>
  <si>
    <t>61608480</t>
  </si>
  <si>
    <t>62</t>
  </si>
  <si>
    <t xml:space="preserve">Клепиковский муниципальный округ</t>
  </si>
  <si>
    <t>61510000</t>
  </si>
  <si>
    <t>63</t>
  </si>
  <si>
    <t xml:space="preserve">Клепиковский муниципальный район</t>
  </si>
  <si>
    <t>61610000</t>
  </si>
  <si>
    <t>Алексеевское</t>
  </si>
  <si>
    <t>61610403</t>
  </si>
  <si>
    <t>64</t>
  </si>
  <si>
    <t>Болоньское</t>
  </si>
  <si>
    <t>61610415</t>
  </si>
  <si>
    <t>65</t>
  </si>
  <si>
    <t>Бусаевское</t>
  </si>
  <si>
    <t>61610418</t>
  </si>
  <si>
    <t>Екшурское</t>
  </si>
  <si>
    <t>61610451</t>
  </si>
  <si>
    <t>67</t>
  </si>
  <si>
    <t>Колесниковское</t>
  </si>
  <si>
    <t>61610448</t>
  </si>
  <si>
    <t>69</t>
  </si>
  <si>
    <t>Криушинское</t>
  </si>
  <si>
    <t>61610454</t>
  </si>
  <si>
    <t>70</t>
  </si>
  <si>
    <t>Молькинское</t>
  </si>
  <si>
    <t>61610475</t>
  </si>
  <si>
    <t>71</t>
  </si>
  <si>
    <t>Ненашкинское</t>
  </si>
  <si>
    <t>61610487</t>
  </si>
  <si>
    <t>72</t>
  </si>
  <si>
    <t>Оськинское</t>
  </si>
  <si>
    <t>61610472</t>
  </si>
  <si>
    <t>73</t>
  </si>
  <si>
    <t>Спас-Клепиковское</t>
  </si>
  <si>
    <t>61610101</t>
  </si>
  <si>
    <t xml:space="preserve">городское поселение, в состав которого входит город</t>
  </si>
  <si>
    <t>74</t>
  </si>
  <si>
    <t>Тумское</t>
  </si>
  <si>
    <t>61610154</t>
  </si>
  <si>
    <t>75</t>
  </si>
  <si>
    <t>Уткинское</t>
  </si>
  <si>
    <t>61610421</t>
  </si>
  <si>
    <t>76</t>
  </si>
  <si>
    <t xml:space="preserve">Кораблинский муниципальный округ</t>
  </si>
  <si>
    <t>61512000</t>
  </si>
  <si>
    <t>77</t>
  </si>
  <si>
    <t xml:space="preserve">Кораблинский муниципальный район</t>
  </si>
  <si>
    <t>61612000</t>
  </si>
  <si>
    <t>Бобровинское</t>
  </si>
  <si>
    <t>61612408</t>
  </si>
  <si>
    <t>78</t>
  </si>
  <si>
    <t>Кипчаковское</t>
  </si>
  <si>
    <t>61612424</t>
  </si>
  <si>
    <t>79</t>
  </si>
  <si>
    <t>Ключанское</t>
  </si>
  <si>
    <t>61612428</t>
  </si>
  <si>
    <t>80</t>
  </si>
  <si>
    <t>Ковалинское</t>
  </si>
  <si>
    <t>61612432</t>
  </si>
  <si>
    <t>81</t>
  </si>
  <si>
    <t>82</t>
  </si>
  <si>
    <t>Кораблинское</t>
  </si>
  <si>
    <t>61612101</t>
  </si>
  <si>
    <t>83</t>
  </si>
  <si>
    <t>Молвинослободское</t>
  </si>
  <si>
    <t>61612456</t>
  </si>
  <si>
    <t>84</t>
  </si>
  <si>
    <t>Незнановское</t>
  </si>
  <si>
    <t>61612448</t>
  </si>
  <si>
    <t>85</t>
  </si>
  <si>
    <t>Пехлецкое</t>
  </si>
  <si>
    <t>61612460</t>
  </si>
  <si>
    <t>86</t>
  </si>
  <si>
    <t>Пустотинское</t>
  </si>
  <si>
    <t>61612464</t>
  </si>
  <si>
    <t>87</t>
  </si>
  <si>
    <t>Яблоневское</t>
  </si>
  <si>
    <t>61612484</t>
  </si>
  <si>
    <t>88</t>
  </si>
  <si>
    <t xml:space="preserve">Милославский муниципальный округ</t>
  </si>
  <si>
    <t>61515000</t>
  </si>
  <si>
    <t>89</t>
  </si>
  <si>
    <t xml:space="preserve">Милославский муниципальный район</t>
  </si>
  <si>
    <t>61615000</t>
  </si>
  <si>
    <t>Богородицкое</t>
  </si>
  <si>
    <t>61615408</t>
  </si>
  <si>
    <t>90</t>
  </si>
  <si>
    <t>Большеподовечинское</t>
  </si>
  <si>
    <t>61615412</t>
  </si>
  <si>
    <t>91</t>
  </si>
  <si>
    <t>Горняцкое</t>
  </si>
  <si>
    <t>61615422</t>
  </si>
  <si>
    <t>92</t>
  </si>
  <si>
    <t>Кочуровское</t>
  </si>
  <si>
    <t>61615428</t>
  </si>
  <si>
    <t>93</t>
  </si>
  <si>
    <t>Липяговское</t>
  </si>
  <si>
    <t>61615432</t>
  </si>
  <si>
    <t>94</t>
  </si>
  <si>
    <t>95</t>
  </si>
  <si>
    <t>Павловское</t>
  </si>
  <si>
    <t>61615456</t>
  </si>
  <si>
    <t>96</t>
  </si>
  <si>
    <t>Центральное</t>
  </si>
  <si>
    <t>61615160</t>
  </si>
  <si>
    <t>97</t>
  </si>
  <si>
    <t>Чернавское</t>
  </si>
  <si>
    <t>61615472</t>
  </si>
  <si>
    <t>98</t>
  </si>
  <si>
    <t xml:space="preserve">городское поселение Милославское</t>
  </si>
  <si>
    <t>61615151</t>
  </si>
  <si>
    <t>99</t>
  </si>
  <si>
    <t xml:space="preserve">сельское поселение Милославское</t>
  </si>
  <si>
    <t>61615444</t>
  </si>
  <si>
    <t>100</t>
  </si>
  <si>
    <t xml:space="preserve">Михайловский муниципальный округ</t>
  </si>
  <si>
    <t>61517000</t>
  </si>
  <si>
    <t>101</t>
  </si>
  <si>
    <t xml:space="preserve">Михайловский муниципальный район</t>
  </si>
  <si>
    <t>61617000</t>
  </si>
  <si>
    <t>Виленское</t>
  </si>
  <si>
    <t>61617406</t>
  </si>
  <si>
    <t>102</t>
  </si>
  <si>
    <t>Голдинское</t>
  </si>
  <si>
    <t>61617412</t>
  </si>
  <si>
    <t>103</t>
  </si>
  <si>
    <t>Горностаевское</t>
  </si>
  <si>
    <t>61617415</t>
  </si>
  <si>
    <t>104</t>
  </si>
  <si>
    <t>Грязновское</t>
  </si>
  <si>
    <t>61617418</t>
  </si>
  <si>
    <t>105</t>
  </si>
  <si>
    <t>Жмуровское</t>
  </si>
  <si>
    <t>61617421</t>
  </si>
  <si>
    <t>106</t>
  </si>
  <si>
    <t>Каморинское</t>
  </si>
  <si>
    <t>61617433</t>
  </si>
  <si>
    <t>107</t>
  </si>
  <si>
    <t>Красновское</t>
  </si>
  <si>
    <t>61617439</t>
  </si>
  <si>
    <t>108</t>
  </si>
  <si>
    <t>109</t>
  </si>
  <si>
    <t>Михайловское</t>
  </si>
  <si>
    <t>61617101</t>
  </si>
  <si>
    <t>110</t>
  </si>
  <si>
    <t>Новопанское</t>
  </si>
  <si>
    <t>61617448</t>
  </si>
  <si>
    <t>111</t>
  </si>
  <si>
    <t>Октябрьское</t>
  </si>
  <si>
    <t>61617154</t>
  </si>
  <si>
    <t>112</t>
  </si>
  <si>
    <t>Поярковское</t>
  </si>
  <si>
    <t>61617457</t>
  </si>
  <si>
    <t>113</t>
  </si>
  <si>
    <t>Рачатниковское</t>
  </si>
  <si>
    <t>61617460</t>
  </si>
  <si>
    <t>114</t>
  </si>
  <si>
    <t>Слободское</t>
  </si>
  <si>
    <t>61617467</t>
  </si>
  <si>
    <t>115</t>
  </si>
  <si>
    <t>Стрелецко-Высельское</t>
  </si>
  <si>
    <t>61617470</t>
  </si>
  <si>
    <t>116</t>
  </si>
  <si>
    <t>Трепольское</t>
  </si>
  <si>
    <t>61617473</t>
  </si>
  <si>
    <t>117</t>
  </si>
  <si>
    <t>Чуриковское</t>
  </si>
  <si>
    <t>61617485</t>
  </si>
  <si>
    <t>118</t>
  </si>
  <si>
    <t>Щетининское</t>
  </si>
  <si>
    <t>61617491</t>
  </si>
  <si>
    <t>119</t>
  </si>
  <si>
    <t xml:space="preserve">Пителинский муниципальный округ</t>
  </si>
  <si>
    <t>61523000</t>
  </si>
  <si>
    <t>120</t>
  </si>
  <si>
    <t xml:space="preserve">Пителинский муниципальный район</t>
  </si>
  <si>
    <t>61623000</t>
  </si>
  <si>
    <t>Ермо-Николаевское</t>
  </si>
  <si>
    <t>61623420</t>
  </si>
  <si>
    <t>121</t>
  </si>
  <si>
    <t>Нестеровское</t>
  </si>
  <si>
    <t>61623425</t>
  </si>
  <si>
    <t>122</t>
  </si>
  <si>
    <t>Пеньковское</t>
  </si>
  <si>
    <t>61623435</t>
  </si>
  <si>
    <t>123</t>
  </si>
  <si>
    <t>124</t>
  </si>
  <si>
    <t>Пителинское</t>
  </si>
  <si>
    <t>61623151</t>
  </si>
  <si>
    <t>125</t>
  </si>
  <si>
    <t>Потапьевское</t>
  </si>
  <si>
    <t>61623450</t>
  </si>
  <si>
    <t>126</t>
  </si>
  <si>
    <t xml:space="preserve">Пронский муниципальный округ</t>
  </si>
  <si>
    <t>61525000</t>
  </si>
  <si>
    <t>127</t>
  </si>
  <si>
    <t>61625000</t>
  </si>
  <si>
    <t>Малинищинское</t>
  </si>
  <si>
    <t>61625435</t>
  </si>
  <si>
    <t>128</t>
  </si>
  <si>
    <t>Мамоновское</t>
  </si>
  <si>
    <t>61625440</t>
  </si>
  <si>
    <t>129</t>
  </si>
  <si>
    <t>61625445</t>
  </si>
  <si>
    <t>131</t>
  </si>
  <si>
    <t>Орловское</t>
  </si>
  <si>
    <t>61625450</t>
  </si>
  <si>
    <t>132</t>
  </si>
  <si>
    <t>Погореловское</t>
  </si>
  <si>
    <t>61625455</t>
  </si>
  <si>
    <t>133</t>
  </si>
  <si>
    <t>134</t>
  </si>
  <si>
    <t>Пронское</t>
  </si>
  <si>
    <t>61625151</t>
  </si>
  <si>
    <t>135</t>
  </si>
  <si>
    <t>Тырновское</t>
  </si>
  <si>
    <t>61625405</t>
  </si>
  <si>
    <t>136</t>
  </si>
  <si>
    <t xml:space="preserve">Путятинский муниципальный округ</t>
  </si>
  <si>
    <t>61526000</t>
  </si>
  <si>
    <t>137</t>
  </si>
  <si>
    <t xml:space="preserve">Путятинский муниципальный район</t>
  </si>
  <si>
    <t>61626000</t>
  </si>
  <si>
    <t>Береговское</t>
  </si>
  <si>
    <t>61626406</t>
  </si>
  <si>
    <t>138</t>
  </si>
  <si>
    <t>Большеекатериновское</t>
  </si>
  <si>
    <t>61626403</t>
  </si>
  <si>
    <t>139</t>
  </si>
  <si>
    <t>Карабухинское</t>
  </si>
  <si>
    <t>61626424</t>
  </si>
  <si>
    <t>140</t>
  </si>
  <si>
    <t>Песочинское</t>
  </si>
  <si>
    <t>61626432</t>
  </si>
  <si>
    <t>141</t>
  </si>
  <si>
    <t>142</t>
  </si>
  <si>
    <t>Путятинское</t>
  </si>
  <si>
    <t>61626436</t>
  </si>
  <si>
    <t>143</t>
  </si>
  <si>
    <t>Строевское</t>
  </si>
  <si>
    <t>61626412</t>
  </si>
  <si>
    <t>144</t>
  </si>
  <si>
    <t xml:space="preserve">Рыбновский муниципальный округ</t>
  </si>
  <si>
    <t>61527000</t>
  </si>
  <si>
    <t>145</t>
  </si>
  <si>
    <t xml:space="preserve">Рыбновский муниципальный район</t>
  </si>
  <si>
    <t>61627000</t>
  </si>
  <si>
    <t>Алешинское</t>
  </si>
  <si>
    <t>61627404</t>
  </si>
  <si>
    <t>146</t>
  </si>
  <si>
    <t>Баграмовское</t>
  </si>
  <si>
    <t>61627406</t>
  </si>
  <si>
    <t>147</t>
  </si>
  <si>
    <t>Батуринское</t>
  </si>
  <si>
    <t>61627408</t>
  </si>
  <si>
    <t>148</t>
  </si>
  <si>
    <t>Вакинское</t>
  </si>
  <si>
    <t>61627416</t>
  </si>
  <si>
    <t>149</t>
  </si>
  <si>
    <t>Глебковское</t>
  </si>
  <si>
    <t>61627418</t>
  </si>
  <si>
    <t>150</t>
  </si>
  <si>
    <t>Истобниковское</t>
  </si>
  <si>
    <t>61627424</t>
  </si>
  <si>
    <t>151</t>
  </si>
  <si>
    <t>Кузьминское</t>
  </si>
  <si>
    <t>61627436</t>
  </si>
  <si>
    <t>152</t>
  </si>
  <si>
    <t>Пионерское</t>
  </si>
  <si>
    <t>61627476</t>
  </si>
  <si>
    <t>153</t>
  </si>
  <si>
    <t>Пощуповское</t>
  </si>
  <si>
    <t>61627456</t>
  </si>
  <si>
    <t>154</t>
  </si>
  <si>
    <t>155</t>
  </si>
  <si>
    <t>Рыбновское</t>
  </si>
  <si>
    <t>61627101</t>
  </si>
  <si>
    <t>156</t>
  </si>
  <si>
    <t>Селецкое</t>
  </si>
  <si>
    <t>61627460</t>
  </si>
  <si>
    <t>157</t>
  </si>
  <si>
    <t>Ходынинское</t>
  </si>
  <si>
    <t>61627472</t>
  </si>
  <si>
    <t>158</t>
  </si>
  <si>
    <t>Чурилковское</t>
  </si>
  <si>
    <t>61627464</t>
  </si>
  <si>
    <t>159</t>
  </si>
  <si>
    <t xml:space="preserve">Ряжский муниципальный округ</t>
  </si>
  <si>
    <t>61530000</t>
  </si>
  <si>
    <t>160</t>
  </si>
  <si>
    <t xml:space="preserve">Ряжский муниципальный район</t>
  </si>
  <si>
    <t>61630000</t>
  </si>
  <si>
    <t>61630405</t>
  </si>
  <si>
    <t>161</t>
  </si>
  <si>
    <t>Дегтянское</t>
  </si>
  <si>
    <t>61630415</t>
  </si>
  <si>
    <t>162</t>
  </si>
  <si>
    <t>Журавинское</t>
  </si>
  <si>
    <t>61630420</t>
  </si>
  <si>
    <t>163</t>
  </si>
  <si>
    <t>Петровское</t>
  </si>
  <si>
    <t>61630450</t>
  </si>
  <si>
    <t>164</t>
  </si>
  <si>
    <t>Поплевинское</t>
  </si>
  <si>
    <t>61630460</t>
  </si>
  <si>
    <t>165</t>
  </si>
  <si>
    <t>166</t>
  </si>
  <si>
    <t>Ряжское</t>
  </si>
  <si>
    <t>61630101</t>
  </si>
  <si>
    <t>167</t>
  </si>
  <si>
    <t xml:space="preserve">Рязанский муниципальный округ</t>
  </si>
  <si>
    <t>61534000</t>
  </si>
  <si>
    <t>168</t>
  </si>
  <si>
    <t xml:space="preserve">Рязанский муниципальный район</t>
  </si>
  <si>
    <t>61634000</t>
  </si>
  <si>
    <t>Варсковское</t>
  </si>
  <si>
    <t>61634402</t>
  </si>
  <si>
    <t>169</t>
  </si>
  <si>
    <t>Высоковское</t>
  </si>
  <si>
    <t>61634409</t>
  </si>
  <si>
    <t>170</t>
  </si>
  <si>
    <t>Вышгородское</t>
  </si>
  <si>
    <t>61634412</t>
  </si>
  <si>
    <t>171</t>
  </si>
  <si>
    <t>Дубровическое</t>
  </si>
  <si>
    <t>61634427</t>
  </si>
  <si>
    <t>172</t>
  </si>
  <si>
    <t>Дядьковское</t>
  </si>
  <si>
    <t>61634430</t>
  </si>
  <si>
    <t>173</t>
  </si>
  <si>
    <t>Екимовское</t>
  </si>
  <si>
    <t>61634433</t>
  </si>
  <si>
    <t>174</t>
  </si>
  <si>
    <t>Заборьевское</t>
  </si>
  <si>
    <t>61634436</t>
  </si>
  <si>
    <t>175</t>
  </si>
  <si>
    <t>Заокское</t>
  </si>
  <si>
    <t>61634439</t>
  </si>
  <si>
    <t>176</t>
  </si>
  <si>
    <t>Искровское</t>
  </si>
  <si>
    <t>61634485</t>
  </si>
  <si>
    <t>177</t>
  </si>
  <si>
    <t>Листвянское</t>
  </si>
  <si>
    <t>61634457</t>
  </si>
  <si>
    <t>178</t>
  </si>
  <si>
    <t>Льговское</t>
  </si>
  <si>
    <t>61634460</t>
  </si>
  <si>
    <t>179</t>
  </si>
  <si>
    <t>Мурминское</t>
  </si>
  <si>
    <t>61634401</t>
  </si>
  <si>
    <t>180</t>
  </si>
  <si>
    <t>Окское</t>
  </si>
  <si>
    <t>61634475</t>
  </si>
  <si>
    <t>181</t>
  </si>
  <si>
    <t>Подвязьевское</t>
  </si>
  <si>
    <t>61634478</t>
  </si>
  <si>
    <t>182</t>
  </si>
  <si>
    <t>Полянское</t>
  </si>
  <si>
    <t>61634483</t>
  </si>
  <si>
    <t>183</t>
  </si>
  <si>
    <t>184</t>
  </si>
  <si>
    <t>Семеновское</t>
  </si>
  <si>
    <t>61634495</t>
  </si>
  <si>
    <t>185</t>
  </si>
  <si>
    <t>Турлатовское</t>
  </si>
  <si>
    <t>61634496</t>
  </si>
  <si>
    <t>186</t>
  </si>
  <si>
    <t>Тюшевское</t>
  </si>
  <si>
    <t>61634498</t>
  </si>
  <si>
    <t>187</t>
  </si>
  <si>
    <t xml:space="preserve">Сапожковский муниципальный округ</t>
  </si>
  <si>
    <t>61537000</t>
  </si>
  <si>
    <t>188</t>
  </si>
  <si>
    <t xml:space="preserve">Сапожковский муниципальный район</t>
  </si>
  <si>
    <t>61637000</t>
  </si>
  <si>
    <t>Березниковское</t>
  </si>
  <si>
    <t>61637435</t>
  </si>
  <si>
    <t>189</t>
  </si>
  <si>
    <t>Канинское</t>
  </si>
  <si>
    <t>61637410</t>
  </si>
  <si>
    <t>190</t>
  </si>
  <si>
    <t>Михеевское</t>
  </si>
  <si>
    <t>61637405</t>
  </si>
  <si>
    <t>191</t>
  </si>
  <si>
    <t>Морозово-Борковское</t>
  </si>
  <si>
    <t>61637430</t>
  </si>
  <si>
    <t>192</t>
  </si>
  <si>
    <t>193</t>
  </si>
  <si>
    <t>Сапожковское</t>
  </si>
  <si>
    <t>61637151</t>
  </si>
  <si>
    <t>194</t>
  </si>
  <si>
    <t xml:space="preserve">Сараевский муниципальный округ</t>
  </si>
  <si>
    <t>61540000</t>
  </si>
  <si>
    <t>195</t>
  </si>
  <si>
    <t xml:space="preserve">Сараевский муниципальный район</t>
  </si>
  <si>
    <t>61640000</t>
  </si>
  <si>
    <t>61640403</t>
  </si>
  <si>
    <t>196</t>
  </si>
  <si>
    <t>Борецкое</t>
  </si>
  <si>
    <t>61640412</t>
  </si>
  <si>
    <t>197</t>
  </si>
  <si>
    <t>Бычковское</t>
  </si>
  <si>
    <t>61640415</t>
  </si>
  <si>
    <t>198</t>
  </si>
  <si>
    <t>61640424</t>
  </si>
  <si>
    <t>199</t>
  </si>
  <si>
    <t>Желобовское</t>
  </si>
  <si>
    <t>61640430</t>
  </si>
  <si>
    <t>200</t>
  </si>
  <si>
    <t>Кривское</t>
  </si>
  <si>
    <t>61640436</t>
  </si>
  <si>
    <t>201</t>
  </si>
  <si>
    <t>Можарское</t>
  </si>
  <si>
    <t>61640442</t>
  </si>
  <si>
    <t>202</t>
  </si>
  <si>
    <t>Муравлянское</t>
  </si>
  <si>
    <t>61640448</t>
  </si>
  <si>
    <t>203</t>
  </si>
  <si>
    <t>Напольновское</t>
  </si>
  <si>
    <t>61640451</t>
  </si>
  <si>
    <t>204</t>
  </si>
  <si>
    <t>Новобокинское</t>
  </si>
  <si>
    <t>61640454</t>
  </si>
  <si>
    <t>205</t>
  </si>
  <si>
    <t>206</t>
  </si>
  <si>
    <t>Сараевское</t>
  </si>
  <si>
    <t>61640151</t>
  </si>
  <si>
    <t>207</t>
  </si>
  <si>
    <t>Сысоевское</t>
  </si>
  <si>
    <t>61640469</t>
  </si>
  <si>
    <t>208</t>
  </si>
  <si>
    <t>Телятниковское</t>
  </si>
  <si>
    <t>61640472</t>
  </si>
  <si>
    <t>209</t>
  </si>
  <si>
    <t>Ягодновское</t>
  </si>
  <si>
    <t>61640481</t>
  </si>
  <si>
    <t>210</t>
  </si>
  <si>
    <t xml:space="preserve">Сасовский муниципальный округ</t>
  </si>
  <si>
    <t>61542000</t>
  </si>
  <si>
    <t>211</t>
  </si>
  <si>
    <t xml:space="preserve">Сасовский муниципальный район</t>
  </si>
  <si>
    <t>61642000</t>
  </si>
  <si>
    <t>Агломазовское</t>
  </si>
  <si>
    <t>61642403</t>
  </si>
  <si>
    <t>212</t>
  </si>
  <si>
    <t>61642406</t>
  </si>
  <si>
    <t>213</t>
  </si>
  <si>
    <t>Батьковское</t>
  </si>
  <si>
    <t>61642415</t>
  </si>
  <si>
    <t>214</t>
  </si>
  <si>
    <t>Берестянское</t>
  </si>
  <si>
    <t>61642408</t>
  </si>
  <si>
    <t>215</t>
  </si>
  <si>
    <t>Гавриловское</t>
  </si>
  <si>
    <t>61642418</t>
  </si>
  <si>
    <t>216</t>
  </si>
  <si>
    <t>Глядковское</t>
  </si>
  <si>
    <t>61642420</t>
  </si>
  <si>
    <t>217</t>
  </si>
  <si>
    <t>Демушкинское</t>
  </si>
  <si>
    <t>61642466</t>
  </si>
  <si>
    <t>218</t>
  </si>
  <si>
    <t>Каргашинское</t>
  </si>
  <si>
    <t>61642424</t>
  </si>
  <si>
    <t>219</t>
  </si>
  <si>
    <t>Кустаревское</t>
  </si>
  <si>
    <t>61642433</t>
  </si>
  <si>
    <t>220</t>
  </si>
  <si>
    <t>Малостуденецкое</t>
  </si>
  <si>
    <t>61642439</t>
  </si>
  <si>
    <t>221</t>
  </si>
  <si>
    <t>Нижнемальцевское</t>
  </si>
  <si>
    <t>61642448</t>
  </si>
  <si>
    <t>222</t>
  </si>
  <si>
    <t>Новоберезовское</t>
  </si>
  <si>
    <t>61642454</t>
  </si>
  <si>
    <t>223</t>
  </si>
  <si>
    <t>Придорожное</t>
  </si>
  <si>
    <t>61642464</t>
  </si>
  <si>
    <t>224</t>
  </si>
  <si>
    <t>225</t>
  </si>
  <si>
    <t>Сотницынское</t>
  </si>
  <si>
    <t>61642470</t>
  </si>
  <si>
    <t>226</t>
  </si>
  <si>
    <t>Трудолюбовское</t>
  </si>
  <si>
    <t>61642463</t>
  </si>
  <si>
    <t>227</t>
  </si>
  <si>
    <t xml:space="preserve">Скопинский муниципальный округ</t>
  </si>
  <si>
    <t>61544000</t>
  </si>
  <si>
    <t>228</t>
  </si>
  <si>
    <t xml:space="preserve">Скопинский муниципальный район</t>
  </si>
  <si>
    <t>61644000</t>
  </si>
  <si>
    <t>Вослебовское</t>
  </si>
  <si>
    <t>61644412</t>
  </si>
  <si>
    <t>229</t>
  </si>
  <si>
    <t>Горловское</t>
  </si>
  <si>
    <t>61644415</t>
  </si>
  <si>
    <t>230</t>
  </si>
  <si>
    <t>Ильинское</t>
  </si>
  <si>
    <t>61644430</t>
  </si>
  <si>
    <t>231</t>
  </si>
  <si>
    <t>Корневское</t>
  </si>
  <si>
    <t>61644445</t>
  </si>
  <si>
    <t>232</t>
  </si>
  <si>
    <t>Павелецкое</t>
  </si>
  <si>
    <t>61644154</t>
  </si>
  <si>
    <t>233</t>
  </si>
  <si>
    <t>Побединское</t>
  </si>
  <si>
    <t>61644157</t>
  </si>
  <si>
    <t>234</t>
  </si>
  <si>
    <t>61644478</t>
  </si>
  <si>
    <t>235</t>
  </si>
  <si>
    <t>236</t>
  </si>
  <si>
    <t>Успенское</t>
  </si>
  <si>
    <t>61644488</t>
  </si>
  <si>
    <t>237</t>
  </si>
  <si>
    <t>Шелемишевское</t>
  </si>
  <si>
    <t>61644496</t>
  </si>
  <si>
    <t>238</t>
  </si>
  <si>
    <t xml:space="preserve">Спасский муниципальный округ</t>
  </si>
  <si>
    <t>61546000</t>
  </si>
  <si>
    <t>239</t>
  </si>
  <si>
    <t xml:space="preserve">Спасский муниципальный район</t>
  </si>
  <si>
    <t>61646000</t>
  </si>
  <si>
    <t>Выжелесское</t>
  </si>
  <si>
    <t>61646409</t>
  </si>
  <si>
    <t>240</t>
  </si>
  <si>
    <t>61646415</t>
  </si>
  <si>
    <t>241</t>
  </si>
  <si>
    <t>Заречинское</t>
  </si>
  <si>
    <t>61646434</t>
  </si>
  <si>
    <t>242</t>
  </si>
  <si>
    <t>Ижевское</t>
  </si>
  <si>
    <t>61646443</t>
  </si>
  <si>
    <t>243</t>
  </si>
  <si>
    <t>Исадское</t>
  </si>
  <si>
    <t>61646446</t>
  </si>
  <si>
    <t>244</t>
  </si>
  <si>
    <t>Кирицкое</t>
  </si>
  <si>
    <t>61646452</t>
  </si>
  <si>
    <t>245</t>
  </si>
  <si>
    <t>Киструсское</t>
  </si>
  <si>
    <t>61646488</t>
  </si>
  <si>
    <t>246</t>
  </si>
  <si>
    <t>Кутуковское</t>
  </si>
  <si>
    <t>61646455</t>
  </si>
  <si>
    <t>247</t>
  </si>
  <si>
    <t>Лакашинское</t>
  </si>
  <si>
    <t>61646458</t>
  </si>
  <si>
    <t>248</t>
  </si>
  <si>
    <t>Михальское</t>
  </si>
  <si>
    <t>61646461</t>
  </si>
  <si>
    <t>249</t>
  </si>
  <si>
    <t>Панинское</t>
  </si>
  <si>
    <t>61646473</t>
  </si>
  <si>
    <t>250</t>
  </si>
  <si>
    <t>Перкинское</t>
  </si>
  <si>
    <t>61646476</t>
  </si>
  <si>
    <t>251</t>
  </si>
  <si>
    <t>Собчаковское</t>
  </si>
  <si>
    <t>61646485</t>
  </si>
  <si>
    <t>252</t>
  </si>
  <si>
    <t>Спасск-Рязанское</t>
  </si>
  <si>
    <t>61646101</t>
  </si>
  <si>
    <t>253</t>
  </si>
  <si>
    <t>254</t>
  </si>
  <si>
    <t>Троицкое</t>
  </si>
  <si>
    <t>61646493</t>
  </si>
  <si>
    <t>255</t>
  </si>
  <si>
    <t>Федотьевское</t>
  </si>
  <si>
    <t>61646498</t>
  </si>
  <si>
    <t>256</t>
  </si>
  <si>
    <t xml:space="preserve">Старожиловский муниципальный округ</t>
  </si>
  <si>
    <t>61548000</t>
  </si>
  <si>
    <t>257</t>
  </si>
  <si>
    <t xml:space="preserve">Старожиловский муниципальный район</t>
  </si>
  <si>
    <t>61648000</t>
  </si>
  <si>
    <t>Гребневское</t>
  </si>
  <si>
    <t>61648420</t>
  </si>
  <si>
    <t>258</t>
  </si>
  <si>
    <t>Гулынское</t>
  </si>
  <si>
    <t>61648425</t>
  </si>
  <si>
    <t>259</t>
  </si>
  <si>
    <t>Истьинское</t>
  </si>
  <si>
    <t>61648435</t>
  </si>
  <si>
    <t>260</t>
  </si>
  <si>
    <t>Ленинское</t>
  </si>
  <si>
    <t>61648438</t>
  </si>
  <si>
    <t>261</t>
  </si>
  <si>
    <t>Мелекшинское</t>
  </si>
  <si>
    <t>61648440</t>
  </si>
  <si>
    <t>262</t>
  </si>
  <si>
    <t>263</t>
  </si>
  <si>
    <t>Старожиловское</t>
  </si>
  <si>
    <t>61648151</t>
  </si>
  <si>
    <t>264</t>
  </si>
  <si>
    <t>Столпянское</t>
  </si>
  <si>
    <t>61648460</t>
  </si>
  <si>
    <t>265</t>
  </si>
  <si>
    <t xml:space="preserve">Ухоловский муниципальный округ</t>
  </si>
  <si>
    <t>61550000</t>
  </si>
  <si>
    <t>266</t>
  </si>
  <si>
    <t xml:space="preserve">Ухоловский муниципальный район</t>
  </si>
  <si>
    <t>61650000</t>
  </si>
  <si>
    <t>Калининское</t>
  </si>
  <si>
    <t>61650430</t>
  </si>
  <si>
    <t>267</t>
  </si>
  <si>
    <t>Коноплинское</t>
  </si>
  <si>
    <t>61650440</t>
  </si>
  <si>
    <t>268</t>
  </si>
  <si>
    <t>Ольховское</t>
  </si>
  <si>
    <t>61650450</t>
  </si>
  <si>
    <t>269</t>
  </si>
  <si>
    <t>Смолеевское</t>
  </si>
  <si>
    <t>61650455</t>
  </si>
  <si>
    <t>270</t>
  </si>
  <si>
    <t>271</t>
  </si>
  <si>
    <t>Ухоловское</t>
  </si>
  <si>
    <t>61650151</t>
  </si>
  <si>
    <t>272</t>
  </si>
  <si>
    <t xml:space="preserve">Чучковский муниципальный округ</t>
  </si>
  <si>
    <t>61553000</t>
  </si>
  <si>
    <t>273</t>
  </si>
  <si>
    <t xml:space="preserve">Чучковский муниципальный район</t>
  </si>
  <si>
    <t>61653000</t>
  </si>
  <si>
    <t>Аладьинское</t>
  </si>
  <si>
    <t>61653405</t>
  </si>
  <si>
    <t>274</t>
  </si>
  <si>
    <t>Завидовское</t>
  </si>
  <si>
    <t>61653420</t>
  </si>
  <si>
    <t>275</t>
  </si>
  <si>
    <t>Остро-Пластиковское</t>
  </si>
  <si>
    <t>61653435</t>
  </si>
  <si>
    <t>276</t>
  </si>
  <si>
    <t>Пертовское</t>
  </si>
  <si>
    <t>61653440</t>
  </si>
  <si>
    <t>277</t>
  </si>
  <si>
    <t>Ункосовское</t>
  </si>
  <si>
    <t>61653450</t>
  </si>
  <si>
    <t>278</t>
  </si>
  <si>
    <t>279</t>
  </si>
  <si>
    <t>Чучковское</t>
  </si>
  <si>
    <t>61653151</t>
  </si>
  <si>
    <t>280</t>
  </si>
  <si>
    <t xml:space="preserve">Шацкий муниципальный округ</t>
  </si>
  <si>
    <t>61556000</t>
  </si>
  <si>
    <t>281</t>
  </si>
  <si>
    <t xml:space="preserve">Шацкий муниципальный район</t>
  </si>
  <si>
    <t>61656000</t>
  </si>
  <si>
    <t>Агишевское</t>
  </si>
  <si>
    <t>61656406</t>
  </si>
  <si>
    <t>282</t>
  </si>
  <si>
    <t>Борковское</t>
  </si>
  <si>
    <t>61656415</t>
  </si>
  <si>
    <t>283</t>
  </si>
  <si>
    <t>Желанновское</t>
  </si>
  <si>
    <t>61656418</t>
  </si>
  <si>
    <t>284</t>
  </si>
  <si>
    <t>Каверинское</t>
  </si>
  <si>
    <t>61656421</t>
  </si>
  <si>
    <t>285</t>
  </si>
  <si>
    <t>Казачинское</t>
  </si>
  <si>
    <t>61656427</t>
  </si>
  <si>
    <t>286</t>
  </si>
  <si>
    <t>Кермисинское</t>
  </si>
  <si>
    <t>61656433</t>
  </si>
  <si>
    <t>287</t>
  </si>
  <si>
    <t>Куплинское</t>
  </si>
  <si>
    <t>61656439</t>
  </si>
  <si>
    <t>288</t>
  </si>
  <si>
    <t>Кучасьевское</t>
  </si>
  <si>
    <t>61656442</t>
  </si>
  <si>
    <t>289</t>
  </si>
  <si>
    <t>Лесно-Конобеевское</t>
  </si>
  <si>
    <t>61656445</t>
  </si>
  <si>
    <t>290</t>
  </si>
  <si>
    <t>Лесно-Полянское</t>
  </si>
  <si>
    <t>61656448</t>
  </si>
  <si>
    <t>291</t>
  </si>
  <si>
    <t>Новочернеевское</t>
  </si>
  <si>
    <t>61656451</t>
  </si>
  <si>
    <t>292</t>
  </si>
  <si>
    <t>61656454</t>
  </si>
  <si>
    <t>293</t>
  </si>
  <si>
    <t>Печинское</t>
  </si>
  <si>
    <t>61656457</t>
  </si>
  <si>
    <t>294</t>
  </si>
  <si>
    <t>Польно-Ялтуновское</t>
  </si>
  <si>
    <t>61656463</t>
  </si>
  <si>
    <t>295</t>
  </si>
  <si>
    <t>Чернослободское</t>
  </si>
  <si>
    <t>61656484</t>
  </si>
  <si>
    <t>296</t>
  </si>
  <si>
    <t>297</t>
  </si>
  <si>
    <t>Шацкое</t>
  </si>
  <si>
    <t>61656101</t>
  </si>
  <si>
    <t>298</t>
  </si>
  <si>
    <t>Ямбирнское</t>
  </si>
  <si>
    <t>61656493</t>
  </si>
  <si>
    <t>299</t>
  </si>
  <si>
    <t xml:space="preserve">Шиловский муниципальный район</t>
  </si>
  <si>
    <t>61658000</t>
  </si>
  <si>
    <t>Аделинское</t>
  </si>
  <si>
    <t>61658403</t>
  </si>
  <si>
    <t>300</t>
  </si>
  <si>
    <t>61658475</t>
  </si>
  <si>
    <t>301</t>
  </si>
  <si>
    <t>Ерахтурское</t>
  </si>
  <si>
    <t>61658424</t>
  </si>
  <si>
    <t>302</t>
  </si>
  <si>
    <t>Желудевское</t>
  </si>
  <si>
    <t>61658427</t>
  </si>
  <si>
    <t>303</t>
  </si>
  <si>
    <t>Задубровское</t>
  </si>
  <si>
    <t>61658430</t>
  </si>
  <si>
    <t>304</t>
  </si>
  <si>
    <t>Занино-Починковское</t>
  </si>
  <si>
    <t>61658445</t>
  </si>
  <si>
    <t>305</t>
  </si>
  <si>
    <t>Ибредское</t>
  </si>
  <si>
    <t>61658473</t>
  </si>
  <si>
    <t>306</t>
  </si>
  <si>
    <t>Инякинское</t>
  </si>
  <si>
    <t>61658436</t>
  </si>
  <si>
    <t>307</t>
  </si>
  <si>
    <t>Лесновское</t>
  </si>
  <si>
    <t>61658157</t>
  </si>
  <si>
    <t>308</t>
  </si>
  <si>
    <t>Мосоловское</t>
  </si>
  <si>
    <t>61658448</t>
  </si>
  <si>
    <t>309</t>
  </si>
  <si>
    <t>Санское</t>
  </si>
  <si>
    <t>61658472</t>
  </si>
  <si>
    <t>310</t>
  </si>
  <si>
    <t>Тимошкинское</t>
  </si>
  <si>
    <t>61658481</t>
  </si>
  <si>
    <t>311</t>
  </si>
  <si>
    <t>61658484</t>
  </si>
  <si>
    <t>312</t>
  </si>
  <si>
    <t>313</t>
  </si>
  <si>
    <t>Шиловское</t>
  </si>
  <si>
    <t>61658151</t>
  </si>
  <si>
    <t>314</t>
  </si>
  <si>
    <t>NUMBER_POINT</t>
  </si>
  <si>
    <t>INVP_NAME</t>
  </si>
  <si>
    <t>INVP_ID</t>
  </si>
  <si>
    <t>L_START_DATE</t>
  </si>
  <si>
    <t>L_END_DATE</t>
  </si>
  <si>
    <t>L_DECISION_NAME</t>
  </si>
  <si>
    <t>L_DECISION_TYPE</t>
  </si>
  <si>
    <t>L_DECISION_NMBR</t>
  </si>
  <si>
    <t>L_DECISION_DATE</t>
  </si>
  <si>
    <t xml:space="preserve">Инвестиционная программа № 1-ип от 17.06.2025 в сфере теплоснабжения по строительству блочно-модульной газовой котельной на 2025 год</t>
  </si>
  <si>
    <t>17.06.2025</t>
  </si>
  <si>
    <t>31.12.2025</t>
  </si>
  <si>
    <t xml:space="preserve">Инвестиционная программа № 10-ип от 19.11.2020 Рязанский филиал ООО "Ново-Рязанская ТЭЦ" в сфере теплоснабжения по строительству системы инженерной инфраструктуры, на территории городского округа Рязань на 2021 год</t>
  </si>
  <si>
    <t>01.01.2021</t>
  </si>
  <si>
    <t>31.12.2021</t>
  </si>
  <si>
    <t xml:space="preserve">Инвестиционная программа № 10-ип от 30.10.2023 Рязанский филиал ООО "Ново-Рязанская ТЭЦ" в сфере теплоснабжения по строительству, реконструкции и модернизации объектов, на территории городского округа Рязань на 2024-2026 годы</t>
  </si>
  <si>
    <t>01.01.2024</t>
  </si>
  <si>
    <t>31.12.2026</t>
  </si>
  <si>
    <t xml:space="preserve">Инвестиционная программа № 11-ип от 30.10.2023 МУП "РМПТС" в сфере теплоснабжения в отношении единого комплекса объектов, на территории городского округа Рязань на 2024-2028 годы</t>
  </si>
  <si>
    <t>31.12.2028</t>
  </si>
  <si>
    <t xml:space="preserve">Инвестиционная программа № 12-ип от 08.10.2025 ФИЛИАЛ АО "РИР ЭНЕРГО" - "ТАМБОВСКАЯ ГЕНЕРАЦИЯ" в сфере теплоснабжения по модернизации, развитию и техническому перевооружению сетей ГВС, на территории п Искра, Искровское, Рязанский муниципальный район на 2026-2030 годы</t>
  </si>
  <si>
    <t>01.01.2026</t>
  </si>
  <si>
    <t>31.12.2030</t>
  </si>
  <si>
    <t xml:space="preserve">Инвестиционная программа № 13-ип от 08.10.2025 МКП "КАСИМОВСЕРВИС" в сфере теплоснабжения по модернизации, реконструкции и техническому перевооружению котельных, на территории городского округа Касимов на 2026-2028 годы</t>
  </si>
  <si>
    <t xml:space="preserve">Инвестиционная программа № 18-ип от 23.10.2025 МКП "ТЕПЛОТЕХНИКА № 2" в сфере теплоснабжения по модернизации, реконструкции и техническому перевооружению тепловых сетей и сетей ГВС, на территории муниципального округа Ряжский на 2026 год</t>
  </si>
  <si>
    <t xml:space="preserve">Инвестиционная программа № 32-ип от 29.10.2025 ШИЛОВСКОЕ МУПТЭС в сфере теплоснабжения по модернизации, реконструкции и техническому перевооружению котельной, на территории муниципального района Шиловский на 2026 год</t>
  </si>
  <si>
    <t xml:space="preserve">Инвестиционная программа № 34-ип от 29.10.2025 МУП "ЖКХ ЖИЛКОМСЕРВИС Г. САСОВО" в сфере теплоснабжения по модернизации, реконструкции и техническому перевооружению котельной, на территории муниципального округа Сасовский на 2026-2028 годы</t>
  </si>
  <si>
    <t xml:space="preserve">Инвестиционная программа № 35-ип от 29.10.2025 МКП "ОКТЯБРЬСКОЕ" в сфере теплоснабжения по модернизации, развитию и техническому перевооружению тепловой сети, на территории городского поселения Октябрьское, Михайловский муниципальный район на 2026 год</t>
  </si>
  <si>
    <t xml:space="preserve">Инвестиционная программа № 37-ип от 23.10.2025 МКП "ЖКХ ГОРОДСКОЕ" в сфере теплоснабжения по модернизации, реконструкции и техническому перевооружению тепловых сетей, на территории муниципального округа Шацкий на 2026 год</t>
  </si>
  <si>
    <t xml:space="preserve">Инвестиционная программа № 38-ип от 29.10.2025 МКП "ЖКХ ГОРОДСКОЕ" в сфере теплоснабжения по модернизации, развитию и техническому перевооружению тепловых сетей, на территории муниципального района Шацкий на 2026 год</t>
  </si>
  <si>
    <t xml:space="preserve">Инвестиционная программа № 41-ип от 29.10.2025 МКП "САПОЖКОВСКОЕ ЖКХ" в сфере теплоснабжения по модернизации, реконструкции и техническому перевооружению котельной, на территории муниципального района Сапожковский на 2026 год</t>
  </si>
  <si>
    <t xml:space="preserve">Инвестиционная программа № 41-ип от 29.10.2025 МКП "САПОЖКОВСКОЕ ЖКХ" в сфере теплоснабжения по модернизации, реконструкции и техническому перевооружению котельных, на территории муниципального округа Сапожковский на 2026 год</t>
  </si>
  <si>
    <t xml:space="preserve">Инвестиционная программа № 44 от 29.10.2025 МКП "УХОЛОВСКИЙ КОММУНАЛЬЩИК" УХОЛОВСКОГО МУНИЦИПАЛЬНОГО РАЙОНА в сфере теплоснабжения по модернизации, реконструкции и техническому перевооружению систем теплоснабжения, на территории муниципального района Ухоловский на 2026 год</t>
  </si>
  <si>
    <t xml:space="preserve">Инвестиционная программа № 46-ип от 29.10.2025 ФИЛИАЛ АО "РИР ЭНЕРГО" - "ТАМБОВСКАЯ ГЕНЕРАЦИЯ" в сфере теплоснабжения по модернизации, развитию и техническому перевооружению объектов, на территории городского округа Рязань на 2026-2028 годы</t>
  </si>
  <si>
    <t xml:space="preserve">Инвестиционная программа № 48-ип от 29.10.2025 ФИЛИАЛ АО "РИР ЭНЕРГО" - "ТАМБОВСКАЯ ГЕНЕРАЦИЯ" в сфере теплоснабжения по модернизации, развитию и техническому перевооружению систем инженерной инфраструктуры, на территории городского округа Рязань на 2026-2028 годы</t>
  </si>
  <si>
    <t xml:space="preserve">Инвестиционная программа № 5-ИП от 28.10.2024 МКП "САСОВСКИЕ ТЕПЛОВЫЕ СЕТИ" в сфере теплоснабжения по модернизации и реконструкции систем коммунальной инфраструктуры, на территории муниципального округа Сасовский на 2025-2027 годы</t>
  </si>
  <si>
    <t>01.01.2025</t>
  </si>
  <si>
    <t>31.12.2027</t>
  </si>
  <si>
    <t xml:space="preserve">Инвестиционная программа № 5-ип от 28.10.2024 МКП "САСОВСКИЕ ТЕПЛОВЫЕ СЕТИ" в сфере теплоснабжения в отношении ЦТП, на территории муниципального округа Сасовский на 2025-2026 годы</t>
  </si>
  <si>
    <t xml:space="preserve">Инвестиционная программа от 08.10.2025 МКП "ЖИЛСЕРВИС" в сфере теплоснабжения по реконструкции тепловых сетей, на территории городского поселения Побединское, Скопинский муниципальный район на 2026 год</t>
  </si>
  <si>
    <t xml:space="preserve">Инвестиционная программа от 17.06.2025 МКП "СТС" в сфере теплоснабжения по строительству, реконструкции и модернизации котельных, на территории муниципального округа Скопинский на 2026 год</t>
  </si>
  <si>
    <t xml:space="preserve">Инвестиционная программа от 30.10.2023 МКП "Сасовские тепловые сети" в сфере теплоснабжения по модернизации газовых котельных, на территории муниципального округа Сасовский на 2024 год</t>
  </si>
  <si>
    <t>31.12.2024</t>
  </si>
  <si>
    <t>TER_NAME</t>
  </si>
  <si>
    <t xml:space="preserve">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</si>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</sst>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color auto="1"/>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color auto="1"/>
      <name val="Helv"/>
    </font>
    <font>
      <sz val="8.000000"/>
      <color auto="1"/>
      <name val="Arial"/>
    </font>
    <font>
      <sz val="9.000000"/>
      <color auto="1"/>
      <name val="Tahoma"/>
    </font>
    <font>
      <sz val="8.000000"/>
      <color auto="1"/>
      <name val="Palatino"/>
    </font>
    <font>
      <u/>
      <sz val="10.000000"/>
      <color indexed="20"/>
      <name val="Arial Cyr"/>
    </font>
    <font>
      <u/>
      <sz val="10.000000"/>
      <color indexed="4"/>
      <name val="Arial Cyr"/>
    </font>
    <font>
      <sz val="8.000000"/>
      <color auto="1"/>
      <name val="Helv"/>
    </font>
    <font>
      <u/>
      <sz val="9.000000"/>
      <color theme="10"/>
      <name val="Tahoma"/>
    </font>
    <font>
      <sz val="10.000000"/>
      <color auto="1"/>
      <name val="Arial"/>
    </font>
    <font>
      <sz val="10.000000"/>
      <color auto="1"/>
      <name val="Arial Cyr"/>
    </font>
    <font>
      <u/>
      <sz val="9.000000"/>
      <color theme="11"/>
      <name val="Tahoma"/>
    </font>
    <font>
      <sz val="9.000000"/>
      <color indexed="65"/>
      <name val="Tahoma"/>
    </font>
    <font>
      <sz val="9.000000"/>
      <color rgb="FFCC0000"/>
      <name val="Tahoma"/>
    </font>
    <font>
      <sz val="16.000000"/>
      <color auto="1"/>
      <name val="Tahoma"/>
    </font>
    <font>
      <sz val="16.000000"/>
      <color indexed="65"/>
      <name val="Tahoma"/>
    </font>
    <font>
      <sz val="9.000000"/>
      <color rgb="FFBCBCBC"/>
      <name val="Tahoma"/>
    </font>
    <font>
      <sz val="11.000000"/>
      <color rgb="FFBCBCBC"/>
      <name val="Wingdings 2"/>
    </font>
    <font>
      <b/>
      <u/>
      <sz val="9.000000"/>
      <color auto="1"/>
      <name val="Tahoma"/>
    </font>
    <font>
      <sz val="11.000000"/>
      <color auto="1"/>
      <name val="Webdings2"/>
    </font>
    <font>
      <sz val="9.000000"/>
      <color indexed="18"/>
      <name val="Tahoma"/>
    </font>
    <font>
      <b/>
      <sz val="11.000000"/>
      <color indexed="64"/>
      <name val="Calibri"/>
    </font>
    <font>
      <sz val="11.000000"/>
      <color auto="1"/>
      <name val="Wingdings 2"/>
    </font>
    <font>
      <b/>
      <sz val="9.000000"/>
      <color indexed="65"/>
      <name val="Tahoma"/>
    </font>
    <font>
      <b/>
      <u/>
      <sz val="9.000000"/>
      <color indexed="18"/>
      <name val="Tahoma"/>
    </font>
    <font>
      <sz val="8.000000"/>
      <color auto="1"/>
      <name val="Tahoma"/>
    </font>
    <font>
      <sz val="10.000000"/>
      <color auto="1"/>
      <name val="Tahoma"/>
    </font>
    <font>
      <sz val="9.000000"/>
      <color theme="0"/>
      <name val="Tahoma"/>
    </font>
    <font>
      <sz val="1.000000"/>
      <color theme="0"/>
      <name val="Tahoma"/>
    </font>
    <font>
      <b/>
      <sz val="1.000000"/>
      <color theme="0"/>
      <name val="Calibri"/>
    </font>
    <font>
      <b/>
      <sz val="9.000000"/>
      <color auto="1"/>
      <name val="Tahoma"/>
    </font>
    <font>
      <sz val="8.000000"/>
      <color rgb="FFBCBCBC"/>
      <name val="Tahoma"/>
    </font>
    <font>
      <sz val="12.000000"/>
      <color indexed="64"/>
      <name val="Tahoma"/>
    </font>
    <font>
      <sz val="11.000000"/>
      <color indexed="64"/>
      <name val="Calibri"/>
    </font>
    <font>
      <u/>
      <sz val="9.000000"/>
      <color indexed="62"/>
      <name val="Tahoma"/>
    </font>
    <font>
      <sz val="9.000000"/>
      <color indexed="2"/>
      <name val="Tahoma"/>
    </font>
    <font>
      <sz val="5.000000"/>
      <color indexed="2"/>
      <name val="Tahoma"/>
    </font>
    <font>
      <sz val="11.000000"/>
      <color theme="0"/>
      <name val="Wingdings 2"/>
    </font>
    <font>
      <sz val="5.000000"/>
      <color theme="0"/>
      <name val="Tahoma"/>
    </font>
    <font>
      <sz val="3.000000"/>
      <color indexed="65"/>
      <name val="Tahoma"/>
    </font>
    <font>
      <sz val="3.000000"/>
      <color rgb="FFCC0000"/>
      <name val="Tahoma"/>
    </font>
    <font>
      <sz val="3.000000"/>
      <color auto="1"/>
      <name val="Tahoma"/>
    </font>
    <font>
      <sz val="3.000000"/>
      <color indexed="64"/>
      <name val="Tahoma"/>
    </font>
    <font>
      <sz val="3.000000"/>
      <color indexed="60"/>
      <name val="Tahoma"/>
    </font>
    <font>
      <sz val="1.000000"/>
      <color indexed="65"/>
      <name val="Tahoma"/>
    </font>
    <font>
      <sz val="18.000000"/>
      <color auto="1"/>
      <name val="Tahoma"/>
    </font>
    <font>
      <sz val="18.000000"/>
      <color indexed="64"/>
      <name val="Tahoma"/>
    </font>
    <font>
      <sz val="11.000000"/>
      <color indexed="64"/>
      <name val="Tahoma"/>
    </font>
    <font>
      <sz val="1.000000"/>
      <color indexed="64"/>
      <name val="Tahoma"/>
    </font>
    <font>
      <sz val="15.000000"/>
      <color indexed="64"/>
      <name val="Tahoma"/>
    </font>
    <font>
      <sz val="11.000000"/>
      <color theme="0"/>
      <name val="Webdings2"/>
    </font>
    <font>
      <u/>
      <sz val="1.000000"/>
      <color indexed="62"/>
      <name val="Tahoma"/>
    </font>
    <font>
      <sz val="15.000000"/>
      <color auto="1"/>
      <name val="Tahoma"/>
    </font>
    <font>
      <sz val="1.000000"/>
      <color auto="1"/>
      <name val="Tahoma"/>
    </font>
    <font>
      <b/>
      <sz val="9.000000"/>
      <color indexed="18"/>
      <name val="Tahoma"/>
    </font>
    <font>
      <sz val="12.000000"/>
      <color theme="0"/>
      <name val="Tahoma"/>
    </font>
    <font>
      <sz val="9.000000"/>
      <color theme="1"/>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2.000000"/>
      <color auto="1"/>
      <name val="Marlett"/>
    </font>
    <font>
      <sz val="9.000000"/>
      <color rgb="FFBCBCBC"/>
      <name val="Wingdings 2"/>
    </font>
    <font>
      <sz val="12.000000"/>
      <color auto="1"/>
      <name val="Tahoma"/>
    </font>
    <font>
      <sz val="15.000000"/>
      <color theme="0"/>
      <name val="Tahoma"/>
    </font>
    <font>
      <sz val="1.000000"/>
      <color indexed="2"/>
      <name val="Tahoma"/>
    </font>
    <font>
      <b/>
      <sz val="11.000000"/>
      <color theme="0"/>
      <name val="Calibri"/>
    </font>
    <font>
      <sz val="11.000000"/>
      <color theme="0"/>
      <name val="Tahoma"/>
    </font>
    <font>
      <sz val="3.000000"/>
      <color theme="0"/>
      <name val="Tahoma"/>
    </font>
    <font>
      <b/>
      <sz val="3.000000"/>
      <color auto="1"/>
      <name val="Tahoma"/>
    </font>
    <font>
      <b/>
      <sz val="9.000000"/>
      <color rgb="FF0070C0"/>
      <name val="Tahoma"/>
    </font>
    <font>
      <sz val="7.000000"/>
      <color auto="1"/>
      <name val="Tahoma"/>
    </font>
    <font>
      <sz val="7.000000"/>
      <color indexed="65"/>
      <name val="Tahoma"/>
    </font>
    <font>
      <sz val="7.000000"/>
      <color theme="0" tint="-0.5"/>
      <name val="Tahoma"/>
    </font>
    <font>
      <sz val="8.000000"/>
      <color theme="0"/>
      <name val="Tahoma"/>
    </font>
    <font>
      <sz val="7.000000"/>
      <color indexed="64"/>
      <name val="Tahoma"/>
    </font>
    <font>
      <b/>
      <sz val="9.000000"/>
      <color theme="0"/>
      <name val="Tahoma"/>
    </font>
    <font>
      <b/>
      <sz val="1.000000"/>
      <color theme="0"/>
      <name val="Tahoma"/>
    </font>
    <font>
      <sz val="19.000000"/>
      <color theme="0"/>
      <name val="Tahoma"/>
    </font>
    <font>
      <sz val="8.000000"/>
      <color indexed="65"/>
      <name val="Tahoma"/>
    </font>
    <font>
      <b/>
      <sz val="1.000000"/>
      <color auto="1"/>
      <name val="Tahoma"/>
    </font>
    <font>
      <b/>
      <sz val="1.000000"/>
      <color indexed="18"/>
      <name val="Tahoma"/>
    </font>
    <font>
      <b/>
      <sz val="10.000000"/>
      <color auto="1"/>
      <name val="Tahoma"/>
    </font>
    <font>
      <b/>
      <sz val="9.000000"/>
      <color indexed="64"/>
      <name val="Tahoma"/>
    </font>
    <font>
      <sz val="10.000000"/>
      <color indexed="64"/>
      <name val="Arial"/>
    </font>
    <font>
      <sz val="8.000000"/>
      <color indexed="18"/>
      <name val="Tahoma"/>
    </font>
    <font>
      <sz val="1.000000"/>
      <color auto="1"/>
      <name val="Webdings2"/>
    </font>
    <font>
      <sz val="1.000000"/>
      <color theme="0"/>
      <name val="Webdings2"/>
    </font>
    <font>
      <b/>
      <sz val="9.000000"/>
      <color auto="1"/>
      <name val="Calibri"/>
    </font>
    <font>
      <sz val="1.000000"/>
      <color indexed="18"/>
      <name val="Tahoma"/>
    </font>
    <font>
      <sz val="9.000000"/>
      <color theme="0"/>
      <name val="Webdings2"/>
    </font>
    <font>
      <sz val="1.000000"/>
      <color theme="0"/>
      <name val="Wingdings 2"/>
    </font>
    <font>
      <sz val="18.000000"/>
      <color theme="0"/>
      <name val="Tahoma"/>
    </font>
    <font>
      <sz val="9.000000"/>
      <color auto="1"/>
      <name val="Wingdings 2"/>
    </font>
    <font>
      <sz val="9.000000"/>
      <color indexed="65"/>
      <name val="Wingdings 2"/>
    </font>
    <font>
      <b/>
      <u/>
      <sz val="11.000000"/>
      <color indexed="4"/>
      <name val="Tahoma"/>
    </font>
    <font>
      <sz val="11.000000"/>
      <color indexed="65"/>
      <name val="Tahoma"/>
    </font>
    <font>
      <u/>
      <sz val="20.000000"/>
      <color indexed="56"/>
      <name val="Tahoma"/>
    </font>
    <font>
      <b/>
      <sz val="10.000000"/>
      <color indexed="64"/>
      <name val="Tahoma"/>
    </font>
    <font>
      <sz val="11.000000"/>
      <color indexed="64"/>
      <name val="Marlett"/>
    </font>
    <font>
      <sz val="10.000000"/>
      <color indexed="64"/>
      <name val="Tahoma"/>
    </font>
    <font>
      <sz val="14.000000"/>
      <color rgb="FFBCBCBC"/>
      <name val="Calibri"/>
    </font>
    <font>
      <sz val="9.000000"/>
      <color indexed="62"/>
      <name val="Tahoma"/>
    </font>
    <font>
      <b/>
      <sz val="8.000000"/>
      <color indexed="22"/>
      <name val="Wingdings 2"/>
    </font>
    <font>
      <u/>
      <sz val="9.000000"/>
      <color indexed="18"/>
      <name val="Tahoma"/>
    </font>
    <font>
      <b/>
      <sz val="8.000000"/>
      <color theme="0"/>
      <name val="Wingdings 2"/>
    </font>
    <font>
      <b/>
      <sz val="9.000000"/>
      <color rgb="FFCC0000"/>
      <name val="Tahoma"/>
    </font>
    <font>
      <u/>
      <sz val="9.000000"/>
      <color auto="1"/>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D7EAD3"/>
        <bgColor rgb="FFD7EAD3"/>
      </patternFill>
    </fill>
    <fill>
      <patternFill patternType="solid">
        <fgColor indexed="65"/>
        <bgColor indexed="65"/>
      </patternFill>
    </fill>
    <fill>
      <patternFill patternType="solid">
        <fgColor rgb="FFFFFFC0"/>
        <bgColor rgb="FFFFFFC0"/>
      </patternFill>
    </fill>
    <fill>
      <patternFill patternType="lightDown">
        <fgColor indexed="22"/>
        <bgColor indexed="22"/>
      </patternFill>
    </fill>
    <fill>
      <patternFill patternType="solid">
        <fgColor rgb="FFFFB7B7"/>
        <bgColor rgb="FFFFB7B7"/>
      </patternFill>
    </fill>
    <fill>
      <patternFill patternType="solid">
        <fgColor rgb="FFE3FAFD"/>
        <bgColor rgb="FFE3FAFD"/>
      </patternFill>
    </fill>
    <fill>
      <patternFill patternType="solid">
        <fgColor rgb="FFB7E4FF"/>
        <bgColor rgb="FFB7E4FF"/>
      </patternFill>
    </fill>
    <fill>
      <patternFill patternType="solid">
        <fgColor indexed="22"/>
        <bgColor indexed="22"/>
      </patternFill>
    </fill>
    <fill>
      <patternFill patternType="solid">
        <fgColor theme="0"/>
        <bgColor theme="0"/>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
      <patternFill patternType="solid">
        <fgColor theme="0" tint="-0.14999999999999999"/>
        <bgColor theme="0" tint="-0.14999999999999999"/>
      </patternFill>
    </fill>
    <fill>
      <patternFill patternType="solid">
        <fgColor indexed="30"/>
        <bgColor indexed="30"/>
      </patternFill>
    </fill>
    <fill>
      <patternFill patternType="solid">
        <fgColor indexed="5"/>
        <bgColor indexed="5"/>
      </patternFill>
    </fill>
    <fill>
      <patternFill patternType="solid">
        <fgColor indexed="52"/>
        <bgColor indexed="52"/>
      </patternFill>
    </fill>
    <fill>
      <patternFill patternType="solid">
        <fgColor indexed="19"/>
        <bgColor indexed="19"/>
      </patternFill>
    </fill>
    <fill>
      <patternFill patternType="solid">
        <fgColor indexed="46"/>
        <bgColor indexed="46"/>
      </patternFill>
    </fill>
    <fill>
      <patternFill patternType="lightDown">
        <fgColor rgb="FFB7E4FF"/>
        <bgColor indexed="65"/>
      </patternFill>
    </fill>
    <fill>
      <patternFill patternType="solid">
        <fgColor rgb="FFD3DBDB"/>
        <bgColor rgb="FFD3DBDB"/>
      </patternFill>
    </fill>
    <fill>
      <patternFill patternType="solid">
        <fgColor indexed="31"/>
        <bgColor indexed="31"/>
      </patternFill>
    </fill>
    <fill>
      <patternFill patternType="solid">
        <fgColor indexed="40"/>
        <bgColor indexed="40"/>
      </patternFill>
    </fill>
    <fill>
      <patternFill patternType="solid">
        <fgColor rgb="FFBCBCBC"/>
        <bgColor rgb="FFBCBCBC"/>
      </patternFill>
    </fill>
    <fill>
      <patternFill patternType="solid">
        <fgColor rgb="FFEAEBEE"/>
        <bgColor rgb="FFEAEBEE"/>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5"/>
      </bottom>
      <diagonal/>
    </border>
    <border>
      <left/>
      <right/>
      <top/>
      <bottom style="medium">
        <color theme="4" tint="0.4000000000000000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BCBCBC"/>
      </left>
      <right style="thin">
        <color rgb="FFBCBCBC"/>
      </right>
      <top style="thin">
        <color rgb="FFBCBCBC"/>
      </top>
      <bottom style="thin">
        <color rgb="FFBCBCBC"/>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style="thin">
        <color rgb="FFD3DBDB"/>
      </left>
      <right style="thin">
        <color rgb="FFD3DBDB"/>
      </right>
      <top style="thin">
        <color rgb="FFD3DBDB"/>
      </top>
      <bottom style="thin">
        <color rgb="FFD3DBDB"/>
      </bottom>
      <diagonal/>
    </border>
    <border>
      <left style="thin">
        <color indexed="22"/>
      </left>
      <right style="thin">
        <color indexed="22"/>
      </right>
      <top style="thin">
        <color indexed="22"/>
      </top>
      <bottom/>
      <diagonal/>
    </border>
    <border>
      <left/>
      <right/>
      <top style="dotted">
        <color indexed="64"/>
      </top>
      <bottom style="dotted">
        <color indexed="64"/>
      </bottom>
      <diagonal/>
    </border>
    <border>
      <left/>
      <right/>
      <top style="thin">
        <color indexed="22"/>
      </top>
      <bottom/>
      <diagonal/>
    </border>
    <border>
      <left/>
      <right style="thin">
        <color indexed="22"/>
      </right>
      <top style="thin">
        <color indexed="22"/>
      </top>
      <bottom/>
      <diagonal/>
    </border>
    <border>
      <left/>
      <right/>
      <top style="thin">
        <color rgb="FFD3DBDB"/>
      </top>
      <bottom/>
      <diagonal/>
    </border>
    <border>
      <left style="thin">
        <color indexed="22"/>
      </left>
      <right/>
      <top/>
      <bottom/>
      <diagonal/>
    </border>
    <border>
      <left style="thin">
        <color indexed="22"/>
      </left>
      <right style="thin">
        <color indexed="22"/>
      </right>
      <top/>
      <bottom style="thin">
        <color indexed="22"/>
      </bottom>
      <diagonal/>
    </border>
    <border>
      <left/>
      <right style="thin">
        <color indexed="22"/>
      </right>
      <top/>
      <bottom/>
      <diagonal/>
    </border>
    <border>
      <left style="thin">
        <color indexed="22"/>
      </left>
      <right style="thin">
        <color indexed="22"/>
      </right>
      <top style="thin">
        <color indexed="22"/>
      </top>
      <bottom style="thin">
        <color rgb="FFBCBCBC"/>
      </bottom>
      <diagonal/>
    </border>
    <border>
      <left style="hair">
        <color indexed="22"/>
      </left>
      <right/>
      <top style="hair">
        <color indexed="22"/>
      </top>
      <bottom style="hair">
        <color indexed="22"/>
      </bottom>
      <diagonal/>
    </border>
    <border>
      <left/>
      <right/>
      <top/>
      <bottom style="thin">
        <color indexed="22"/>
      </bottom>
      <diagonal/>
    </border>
    <border>
      <left style="thin">
        <color theme="0" tint="-0.25"/>
      </left>
      <right style="thin">
        <color indexed="22"/>
      </right>
      <top style="thin">
        <color indexed="22"/>
      </top>
      <bottom style="thin">
        <color indexed="22"/>
      </bottom>
      <diagonal/>
    </border>
    <border>
      <left/>
      <right style="thin">
        <color indexed="22"/>
      </right>
      <top/>
      <bottom style="thin">
        <color indexed="22"/>
      </bottom>
      <diagonal/>
    </border>
    <border>
      <left style="thin">
        <color indexed="22"/>
      </left>
      <right/>
      <top/>
      <bottom style="thin">
        <color indexed="22"/>
      </bottom>
      <diagonal/>
    </border>
    <border>
      <left style="thin">
        <color theme="0" tint="-0.25"/>
      </left>
      <right style="thin">
        <color theme="0" tint="-0.25"/>
      </right>
      <top style="thin">
        <color theme="0" tint="-0.25"/>
      </top>
      <bottom style="thin">
        <color theme="0" tint="-0.25"/>
      </bottom>
      <diagonal/>
    </border>
    <border>
      <left style="thin">
        <color theme="0" tint="-0.25"/>
      </left>
      <right style="thin">
        <color theme="0" tint="-0.25"/>
      </right>
      <top/>
      <bottom style="thin">
        <color theme="0" tint="-0.25"/>
      </bottom>
      <diagonal/>
    </border>
    <border>
      <left style="thin">
        <color theme="0" tint="-0.25"/>
      </left>
      <right/>
      <top style="thin">
        <color theme="0" tint="-0.25"/>
      </top>
      <bottom style="thin">
        <color theme="0" tint="-0.25"/>
      </bottom>
      <diagonal/>
    </border>
    <border>
      <left style="thin">
        <color theme="0" tint="-0.25"/>
      </left>
      <right/>
      <top/>
      <bottom style="thin">
        <color theme="0" tint="-0.25"/>
      </bottom>
      <diagonal/>
    </border>
    <border>
      <left style="thin">
        <color theme="0" tint="-0.25"/>
      </left>
      <right style="thin">
        <color theme="0" tint="-0.25"/>
      </right>
      <top style="thin">
        <color theme="0" tint="-0.25"/>
      </top>
      <bottom/>
      <diagonal/>
    </border>
    <border>
      <left style="thin">
        <color indexed="22"/>
      </left>
      <right style="thin">
        <color indexed="22"/>
      </right>
      <top/>
      <bottom/>
      <diagonal/>
    </border>
    <border>
      <left style="thin">
        <color indexed="22"/>
      </left>
      <right/>
      <top style="thin">
        <color indexed="22"/>
      </top>
      <bottom/>
      <diagonal/>
    </border>
    <border>
      <left style="thin">
        <color rgb="FFBCBCBC"/>
      </left>
      <right/>
      <top/>
      <bottom/>
      <diagonal/>
    </border>
    <border>
      <left/>
      <right/>
      <top/>
      <bottom style="thin">
        <color rgb="FFBCBCBC"/>
      </bottom>
      <diagonal/>
    </border>
    <border>
      <left style="thin">
        <color theme="0" tint="-0.25"/>
      </left>
      <right style="thin">
        <color theme="0" tint="-0.25"/>
      </right>
      <top/>
      <bottom/>
      <diagonal/>
    </border>
    <border>
      <left/>
      <right/>
      <top style="thin">
        <color rgb="FFBCBCBC"/>
      </top>
      <bottom style="thin">
        <color rgb="FFBCBCBC"/>
      </bottom>
      <diagonal/>
    </border>
    <border>
      <left style="thin">
        <color indexed="22"/>
      </left>
      <right/>
      <top style="thin">
        <color rgb="FFBCBCBC"/>
      </top>
      <bottom style="thin">
        <color indexed="22"/>
      </bottom>
      <diagonal/>
    </border>
    <border>
      <left/>
      <right/>
      <top style="thin">
        <color rgb="FFBCBCBC"/>
      </top>
      <bottom style="thin">
        <color indexed="22"/>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9999999999998"/>
      </left>
      <right style="thin">
        <color theme="0" tint="-0.34999999999999998"/>
      </right>
      <top style="thin">
        <color theme="0" tint="-0.34999999999999998"/>
      </top>
      <bottom style="thin">
        <color theme="0" tint="-0.34999999999999998"/>
      </bottom>
      <diagonal/>
    </border>
    <border>
      <left style="thin">
        <color rgb="FFBCBCBC"/>
      </left>
      <right/>
      <top style="medium">
        <color rgb="FFBCBCBC"/>
      </top>
      <bottom style="thin">
        <color indexed="22"/>
      </bottom>
      <diagonal/>
    </border>
    <border>
      <left style="thin">
        <color rgb="FFBCBCBC"/>
      </left>
      <right/>
      <top style="medium">
        <color rgb="FFBCBCBC"/>
      </top>
      <bottom/>
      <diagonal/>
    </border>
    <border>
      <left/>
      <right/>
      <top style="medium">
        <color rgb="FFBCBCBC"/>
      </top>
      <bottom/>
      <diagonal/>
    </border>
    <border>
      <left/>
      <right/>
      <top/>
      <bottom style="medium">
        <color indexed="22"/>
      </bottom>
      <diagonal/>
    </border>
    <border>
      <left/>
      <right/>
      <top style="thin">
        <color indexed="22"/>
      </top>
      <bottom style="medium">
        <color indexed="22"/>
      </bottom>
      <diagonal/>
    </border>
    <border>
      <left/>
      <right style="thin">
        <color theme="0" tint="-0.25"/>
      </right>
      <top style="thin">
        <color indexed="22"/>
      </top>
      <bottom style="thin">
        <color indexed="22"/>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indexed="22"/>
      </top>
      <bottom style="thin">
        <color indexed="22"/>
      </bottom>
      <diagonal/>
    </border>
    <border>
      <left style="thin">
        <color indexed="22"/>
      </left>
      <right/>
      <top style="thin">
        <color indexed="22"/>
      </top>
      <bottom style="medium">
        <color indexed="22"/>
      </bottom>
      <diagonal/>
    </border>
    <border>
      <left style="thin">
        <color theme="0" tint="-0.25"/>
      </left>
      <right style="thin">
        <color indexed="22"/>
      </right>
      <top style="thin">
        <color indexed="22"/>
      </top>
      <bottom/>
      <diagonal/>
    </border>
    <border>
      <left style="thin">
        <color theme="0" tint="-0.25"/>
      </left>
      <right/>
      <top style="thin">
        <color indexed="22"/>
      </top>
      <bottom style="thin">
        <color indexed="22"/>
      </bottom>
      <diagonal/>
    </border>
    <border>
      <left style="thin">
        <color theme="0" tint="-0.25"/>
      </left>
      <right/>
      <top style="thin">
        <color indexed="22"/>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indexed="22"/>
      </left>
      <right style="thin">
        <color indexed="22"/>
      </right>
      <top style="thin">
        <color rgb="FFBCBCBC"/>
      </top>
      <bottom style="thin">
        <color rgb="FFBCBCBC"/>
      </bottom>
      <diagonal/>
    </border>
    <border>
      <left style="thin">
        <color indexed="22"/>
      </left>
      <right/>
      <top style="thin">
        <color rgb="FFBCBCBC"/>
      </top>
      <bottom style="thin">
        <color rgb="FFBCBCBC"/>
      </bottom>
      <diagonal/>
    </border>
    <border>
      <left/>
      <right style="thin">
        <color indexed="22"/>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indexed="22"/>
      </bottom>
      <diagonal/>
    </border>
    <border>
      <left style="thin">
        <color indexed="22"/>
      </left>
      <right style="thin">
        <color indexed="22"/>
      </right>
      <top style="thin">
        <color indexed="22"/>
      </top>
      <bottom style="medium">
        <color indexed="22"/>
      </bottom>
      <diagonal/>
    </border>
  </borders>
  <cellStyleXfs count="64">
    <xf fontId="0" fillId="0" borderId="0" numFmtId="49" applyNumberFormat="1" applyFont="1" applyFill="0" applyBorder="0">
      <alignment vertical="top"/>
    </xf>
    <xf fontId="1" fillId="2" borderId="0" numFmtId="0" applyFont="1" applyFill="1" applyBorder="0">
      <alignment vertical="top"/>
    </xf>
    <xf fontId="1" fillId="3" borderId="0" numFmtId="0" applyFont="1" applyFill="1" applyBorder="0">
      <alignment vertical="top"/>
    </xf>
    <xf fontId="1" fillId="4" borderId="0" numFmtId="0" applyFont="1" applyFill="1" applyBorder="0">
      <alignment vertical="top"/>
    </xf>
    <xf fontId="1" fillId="5" borderId="0" numFmtId="0" applyFont="1" applyFill="1" applyBorder="0">
      <alignment vertical="top"/>
    </xf>
    <xf fontId="1" fillId="6" borderId="0" numFmtId="0" applyFont="1" applyFill="1" applyBorder="0">
      <alignment vertical="top"/>
    </xf>
    <xf fontId="1" fillId="7" borderId="0" numFmtId="0" applyFont="1" applyFill="1" applyBorder="0">
      <alignment vertical="top"/>
    </xf>
    <xf fontId="1" fillId="8" borderId="0" numFmtId="0" applyFont="1" applyFill="1" applyBorder="0">
      <alignment vertical="top"/>
    </xf>
    <xf fontId="1" fillId="9" borderId="0" numFmtId="0" applyFont="1" applyFill="1" applyBorder="0">
      <alignment vertical="top"/>
    </xf>
    <xf fontId="1" fillId="10" borderId="0" numFmtId="0" applyFont="1" applyFill="1" applyBorder="0">
      <alignment vertical="top"/>
    </xf>
    <xf fontId="1" fillId="11" borderId="0" numFmtId="0" applyFont="1" applyFill="1" applyBorder="0">
      <alignment vertical="top"/>
    </xf>
    <xf fontId="1" fillId="12" borderId="0" numFmtId="0" applyFont="1" applyFill="1" applyBorder="0">
      <alignment vertical="top"/>
    </xf>
    <xf fontId="1" fillId="13" borderId="0" numFmtId="0" applyFont="1" applyFill="1" applyBorder="0">
      <alignment vertical="top"/>
    </xf>
    <xf fontId="1" fillId="14" borderId="0" numFmtId="0" applyFont="1" applyFill="1" applyBorder="0">
      <alignment vertical="top"/>
    </xf>
    <xf fontId="1" fillId="15" borderId="0" numFmtId="0" applyFont="1" applyFill="1" applyBorder="0">
      <alignment vertical="top"/>
    </xf>
    <xf fontId="1" fillId="16" borderId="0" numFmtId="0" applyFont="1" applyFill="1" applyBorder="0">
      <alignment vertical="top"/>
    </xf>
    <xf fontId="1" fillId="17" borderId="0" numFmtId="0" applyFont="1" applyFill="1" applyBorder="0">
      <alignment vertical="top"/>
    </xf>
    <xf fontId="1" fillId="18" borderId="0" numFmtId="0" applyFont="1" applyFill="1" applyBorder="0">
      <alignment vertical="top"/>
    </xf>
    <xf fontId="1" fillId="19" borderId="0" numFmtId="0" applyFont="1" applyFill="1" applyBorder="0">
      <alignment vertical="top"/>
    </xf>
    <xf fontId="2" fillId="20" borderId="0" numFmtId="0" applyFont="1" applyFill="1" applyBorder="0">
      <alignment vertical="top"/>
    </xf>
    <xf fontId="2" fillId="21" borderId="0" numFmtId="0" applyFont="1" applyFill="1" applyBorder="0">
      <alignment vertical="top"/>
    </xf>
    <xf fontId="2" fillId="22" borderId="0" numFmtId="0" applyFont="1" applyFill="1" applyBorder="0">
      <alignment vertical="top"/>
    </xf>
    <xf fontId="2" fillId="23" borderId="0" numFmtId="0" applyFont="1" applyFill="1" applyBorder="0">
      <alignment vertical="top"/>
    </xf>
    <xf fontId="2" fillId="24" borderId="0" numFmtId="0" applyFont="1" applyFill="1" applyBorder="0">
      <alignment vertical="top"/>
    </xf>
    <xf fontId="2" fillId="25" borderId="0" numFmtId="0" applyFont="1" applyFill="1" applyBorder="0">
      <alignment vertical="top"/>
    </xf>
    <xf fontId="3" fillId="26" borderId="0" numFmtId="0" applyFont="1" applyFill="1" applyBorder="0">
      <alignment vertical="top"/>
    </xf>
    <xf fontId="4" fillId="27" borderId="1" numFmtId="0" applyFont="1" applyFill="1" applyBorder="1">
      <alignment vertical="top"/>
    </xf>
    <xf fontId="5" fillId="28" borderId="2" numFmtId="0" applyFont="1" applyFill="1" applyBorder="1">
      <alignment vertical="top"/>
    </xf>
    <xf fontId="6" fillId="0" borderId="0" numFmtId="171" applyNumberFormat="1" applyFont="0" applyFill="0" applyBorder="0">
      <alignment vertical="top"/>
    </xf>
    <xf fontId="6" fillId="0" borderId="0" numFmtId="172" applyNumberFormat="1" applyFont="0" applyFill="0" applyBorder="0">
      <alignment vertical="top"/>
    </xf>
    <xf fontId="6" fillId="0" borderId="0" numFmtId="173" applyNumberFormat="1" applyFont="0" applyFill="0" applyBorder="0">
      <alignment vertical="top"/>
    </xf>
    <xf fontId="6" fillId="0" borderId="0" numFmtId="174" applyNumberFormat="1" applyFont="0" applyFill="0" applyBorder="0">
      <alignment vertical="top"/>
    </xf>
    <xf fontId="7" fillId="0" borderId="0" numFmtId="0" applyFont="1" applyFill="0" applyBorder="0">
      <alignment vertical="top"/>
    </xf>
    <xf fontId="8" fillId="29" borderId="0" numFmtId="0" applyFont="1" applyFill="1" applyBorder="0">
      <alignment vertical="top"/>
    </xf>
    <xf fontId="9" fillId="0" borderId="3" numFmtId="0" applyFont="1" applyFill="0" applyBorder="1">
      <alignment vertical="top"/>
    </xf>
    <xf fontId="10" fillId="0" borderId="4" numFmtId="0" applyFont="1" applyFill="0" applyBorder="1">
      <alignment vertical="top"/>
    </xf>
    <xf fontId="11" fillId="0" borderId="5" numFmtId="0" applyFont="1" applyFill="0" applyBorder="1">
      <alignment vertical="top"/>
    </xf>
    <xf fontId="11" fillId="0" borderId="0" numFmtId="0" applyFont="1" applyFill="0" applyBorder="0">
      <alignment vertical="top"/>
    </xf>
    <xf fontId="12" fillId="30" borderId="1" numFmtId="0" applyFont="1" applyFill="1" applyBorder="1">
      <alignment vertical="top"/>
    </xf>
    <xf fontId="13" fillId="0" borderId="6" numFmtId="0" applyFont="1" applyFill="0" applyBorder="1">
      <alignment vertical="top"/>
    </xf>
    <xf fontId="14" fillId="31" borderId="0" numFmtId="0" applyFont="1" applyFill="1" applyBorder="0">
      <alignment vertical="top"/>
    </xf>
    <xf fontId="15" fillId="0" borderId="0" numFmtId="0" applyFont="1" applyFill="0" applyBorder="0">
      <alignment vertical="top"/>
    </xf>
    <xf fontId="6" fillId="32" borderId="7" numFmtId="0" applyFont="0" applyFill="1" applyBorder="1">
      <alignment vertical="top"/>
    </xf>
    <xf fontId="16" fillId="27" borderId="8" numFmtId="0" applyFont="1" applyFill="1" applyBorder="1">
      <alignment vertical="top"/>
    </xf>
    <xf fontId="6" fillId="0" borderId="0" numFmtId="9" applyNumberFormat="1" applyFont="0" applyFill="0" applyBorder="0">
      <alignment vertical="top"/>
    </xf>
    <xf fontId="17" fillId="0" borderId="0" numFmtId="0" applyFont="1" applyFill="0" applyBorder="0">
      <alignment vertical="top"/>
    </xf>
    <xf fontId="18" fillId="0" borderId="9" numFmtId="0" applyFont="1" applyFill="0" applyBorder="1">
      <alignment vertical="top"/>
    </xf>
    <xf fontId="19" fillId="0" borderId="0" numFmtId="0" applyFont="1" applyFill="0" applyBorder="0">
      <alignment vertical="top"/>
    </xf>
    <xf fontId="20" fillId="0" borderId="0" numFmtId="0" applyFont="1" applyFill="0" applyBorder="0"/>
    <xf fontId="20" fillId="0" borderId="0" numFmtId="175" applyNumberFormat="1" applyFont="1" applyFill="0" applyBorder="0"/>
    <xf fontId="21" fillId="0" borderId="0" numFmtId="38" applyNumberFormat="1" applyFont="1" applyFill="0" applyBorder="0">
      <alignment vertical="top"/>
    </xf>
    <xf fontId="22" fillId="33" borderId="0" numFmtId="176" applyNumberFormat="1" applyFont="1" applyFill="1" applyBorder="0">
      <protection locked="0"/>
    </xf>
    <xf fontId="23" fillId="0" borderId="0" numFmtId="0" applyFont="1" applyFill="0" applyBorder="0">
      <alignment vertical="center"/>
    </xf>
    <xf fontId="22" fillId="33" borderId="0" numFmtId="177" applyNumberFormat="1" applyFont="1" applyFill="1" applyBorder="0">
      <protection locked="0"/>
    </xf>
    <xf fontId="22" fillId="33" borderId="0" numFmtId="178" applyNumberFormat="1" applyFont="1" applyFill="1" applyBorder="0">
      <protection locked="0"/>
    </xf>
    <xf fontId="24" fillId="0" borderId="0" numFmtId="0" applyFont="1" applyFill="0" applyBorder="0">
      <alignment vertical="top"/>
    </xf>
    <xf fontId="25" fillId="0" borderId="0" numFmtId="0" applyFont="1" applyFill="0" applyBorder="0">
      <alignment vertical="top"/>
    </xf>
    <xf fontId="26" fillId="0" borderId="0" numFmtId="0" applyFont="1" applyFill="0" applyBorder="0"/>
    <xf fontId="27" fillId="0" borderId="0" numFmtId="0" applyFont="1" applyFill="0" applyBorder="0">
      <alignment vertical="top"/>
    </xf>
    <xf fontId="22" fillId="0" borderId="0" numFmtId="49" applyNumberFormat="1" applyFont="1" applyFill="0" applyBorder="0">
      <alignment vertical="top"/>
    </xf>
    <xf fontId="28" fillId="0" borderId="0" numFmtId="0" applyFont="1" applyFill="0" applyBorder="0"/>
    <xf fontId="0" fillId="0" borderId="0" numFmtId="49" applyNumberFormat="1" applyFont="1" applyFill="0" applyBorder="0">
      <alignment vertical="top"/>
    </xf>
    <xf fontId="29" fillId="0" borderId="0" numFmtId="0" applyFont="1" applyFill="0" applyBorder="0"/>
    <xf fontId="30" fillId="0" borderId="0" numFmtId="0" applyFont="1" applyFill="0" applyBorder="0">
      <alignment vertical="top"/>
    </xf>
  </cellStyleXfs>
  <cellXfs count="2642">
    <xf fontId="0" fillId="0" borderId="0" numFmtId="49" xfId="0" applyNumberFormat="1" applyFont="1">
      <alignment vertical="top"/>
    </xf>
    <xf fontId="1" fillId="2" borderId="0" numFmtId="0" xfId="1" applyFont="1" applyFill="1">
      <alignment vertical="top"/>
    </xf>
    <xf fontId="1" fillId="3" borderId="0" numFmtId="0" xfId="2" applyFont="1" applyFill="1">
      <alignment vertical="top"/>
    </xf>
    <xf fontId="1" fillId="4" borderId="0" numFmtId="0" xfId="3" applyFont="1" applyFill="1">
      <alignment vertical="top"/>
    </xf>
    <xf fontId="1" fillId="5" borderId="0" numFmtId="0" xfId="4" applyFont="1" applyFill="1">
      <alignment vertical="top"/>
    </xf>
    <xf fontId="1" fillId="6" borderId="0" numFmtId="0" xfId="5" applyFont="1" applyFill="1">
      <alignment vertical="top"/>
    </xf>
    <xf fontId="1" fillId="7" borderId="0" numFmtId="0" xfId="6" applyFont="1" applyFill="1">
      <alignment vertical="top"/>
    </xf>
    <xf fontId="1" fillId="8" borderId="0" numFmtId="0" xfId="7" applyFont="1" applyFill="1">
      <alignment vertical="top"/>
    </xf>
    <xf fontId="1" fillId="9" borderId="0" numFmtId="0" xfId="8" applyFont="1" applyFill="1">
      <alignment vertical="top"/>
    </xf>
    <xf fontId="1" fillId="10" borderId="0" numFmtId="0" xfId="9" applyFont="1" applyFill="1">
      <alignment vertical="top"/>
    </xf>
    <xf fontId="1" fillId="11" borderId="0" numFmtId="0" xfId="10" applyFont="1" applyFill="1">
      <alignment vertical="top"/>
    </xf>
    <xf fontId="1" fillId="12" borderId="0" numFmtId="0" xfId="11" applyFont="1" applyFill="1">
      <alignment vertical="top"/>
    </xf>
    <xf fontId="1" fillId="13" borderId="0" numFmtId="0" xfId="12" applyFont="1" applyFill="1">
      <alignment vertical="top"/>
    </xf>
    <xf fontId="1" fillId="14" borderId="0" numFmtId="0" xfId="13" applyFont="1" applyFill="1">
      <alignment vertical="top"/>
    </xf>
    <xf fontId="1" fillId="15" borderId="0" numFmtId="0" xfId="14" applyFont="1" applyFill="1">
      <alignment vertical="top"/>
    </xf>
    <xf fontId="1" fillId="16" borderId="0" numFmtId="0" xfId="15" applyFont="1" applyFill="1">
      <alignment vertical="top"/>
    </xf>
    <xf fontId="1" fillId="17" borderId="0" numFmtId="0" xfId="16" applyFont="1" applyFill="1">
      <alignment vertical="top"/>
    </xf>
    <xf fontId="1" fillId="18" borderId="0" numFmtId="0" xfId="17" applyFont="1" applyFill="1">
      <alignment vertical="top"/>
    </xf>
    <xf fontId="1" fillId="19" borderId="0" numFmtId="0" xfId="18" applyFont="1" applyFill="1">
      <alignment vertical="top"/>
    </xf>
    <xf fontId="2" fillId="20" borderId="0" numFmtId="0" xfId="19" applyFont="1" applyFill="1">
      <alignment vertical="top"/>
    </xf>
    <xf fontId="2" fillId="21" borderId="0" numFmtId="0" xfId="20" applyFont="1" applyFill="1">
      <alignment vertical="top"/>
    </xf>
    <xf fontId="2" fillId="22" borderId="0" numFmtId="0" xfId="21" applyFont="1" applyFill="1">
      <alignment vertical="top"/>
    </xf>
    <xf fontId="2" fillId="23" borderId="0" numFmtId="0" xfId="22" applyFont="1" applyFill="1">
      <alignment vertical="top"/>
    </xf>
    <xf fontId="2" fillId="24" borderId="0" numFmtId="0" xfId="23" applyFont="1" applyFill="1">
      <alignment vertical="top"/>
    </xf>
    <xf fontId="2" fillId="25" borderId="0" numFmtId="0" xfId="24" applyFont="1" applyFill="1">
      <alignment vertical="top"/>
    </xf>
    <xf fontId="3" fillId="26" borderId="0" numFmtId="0" xfId="25" applyFont="1" applyFill="1">
      <alignment vertical="top"/>
    </xf>
    <xf fontId="4" fillId="27" borderId="1" numFmtId="0" xfId="26" applyFont="1" applyFill="1" applyBorder="1">
      <alignment vertical="top"/>
    </xf>
    <xf fontId="5" fillId="28" borderId="2" numFmtId="0" xfId="27" applyFont="1" applyFill="1" applyBorder="1">
      <alignment vertical="top"/>
    </xf>
    <xf fontId="6" fillId="0" borderId="0" numFmtId="171" xfId="28" applyNumberFormat="1" applyFont="0">
      <alignment vertical="top"/>
    </xf>
    <xf fontId="6" fillId="0" borderId="0" numFmtId="172" xfId="29" applyNumberFormat="1" applyFont="0">
      <alignment vertical="top"/>
    </xf>
    <xf fontId="6" fillId="0" borderId="0" numFmtId="173" xfId="30" applyNumberFormat="1" applyFont="0">
      <alignment vertical="top"/>
    </xf>
    <xf fontId="6" fillId="0" borderId="0" numFmtId="174" xfId="31" applyNumberFormat="1" applyFont="0">
      <alignment vertical="top"/>
    </xf>
    <xf fontId="7" fillId="0" borderId="0" numFmtId="0" xfId="32" applyFont="1">
      <alignment vertical="top"/>
    </xf>
    <xf fontId="8" fillId="29" borderId="0" numFmtId="0" xfId="33" applyFont="1" applyFill="1">
      <alignment vertical="top"/>
    </xf>
    <xf fontId="9" fillId="0" borderId="3" numFmtId="0" xfId="34" applyFont="1" applyBorder="1">
      <alignment vertical="top"/>
    </xf>
    <xf fontId="10" fillId="0" borderId="4" numFmtId="0" xfId="35" applyFont="1" applyBorder="1">
      <alignment vertical="top"/>
    </xf>
    <xf fontId="11" fillId="0" borderId="5" numFmtId="0" xfId="36" applyFont="1" applyBorder="1">
      <alignment vertical="top"/>
    </xf>
    <xf fontId="11" fillId="0" borderId="0" numFmtId="0" xfId="37" applyFont="1">
      <alignment vertical="top"/>
    </xf>
    <xf fontId="12" fillId="30" borderId="1" numFmtId="0" xfId="38" applyFont="1" applyFill="1" applyBorder="1">
      <alignment vertical="top"/>
    </xf>
    <xf fontId="13" fillId="0" borderId="6" numFmtId="0" xfId="39" applyFont="1" applyBorder="1">
      <alignment vertical="top"/>
    </xf>
    <xf fontId="14" fillId="31" borderId="0" numFmtId="0" xfId="40" applyFont="1" applyFill="1">
      <alignment vertical="top"/>
    </xf>
    <xf fontId="15" fillId="0" borderId="0" numFmtId="0" xfId="41" applyFont="1">
      <alignment vertical="top"/>
    </xf>
    <xf fontId="6" fillId="32" borderId="7" numFmtId="0" xfId="42" applyFont="0" applyFill="1" applyBorder="1">
      <alignment vertical="top"/>
    </xf>
    <xf fontId="16" fillId="27" borderId="8" numFmtId="0" xfId="43" applyFont="1" applyFill="1" applyBorder="1">
      <alignment vertical="top"/>
    </xf>
    <xf fontId="6" fillId="0" borderId="0" numFmtId="9" xfId="44" applyNumberFormat="1" applyFont="0">
      <alignment vertical="top"/>
    </xf>
    <xf fontId="17" fillId="0" borderId="0" numFmtId="0" xfId="45" applyFont="1">
      <alignment vertical="top"/>
    </xf>
    <xf fontId="18" fillId="0" borderId="9" numFmtId="0" xfId="46" applyFont="1" applyBorder="1">
      <alignment vertical="top"/>
    </xf>
    <xf fontId="19" fillId="0" borderId="0" numFmtId="0" xfId="47" applyFont="1">
      <alignment vertical="top"/>
    </xf>
    <xf fontId="20" fillId="0" borderId="0" numFmtId="0" xfId="48" applyFont="1"/>
    <xf fontId="20" fillId="0" borderId="0" numFmtId="175" xfId="49" applyNumberFormat="1" applyFont="1"/>
    <xf fontId="21" fillId="0" borderId="0" numFmtId="38" xfId="50" applyNumberFormat="1" applyFont="1">
      <alignment vertical="top"/>
    </xf>
    <xf fontId="22" fillId="33" borderId="0" numFmtId="176" xfId="51" applyNumberFormat="1" applyFont="1" applyFill="1">
      <protection locked="0"/>
    </xf>
    <xf fontId="23" fillId="0" borderId="0" numFmtId="0" xfId="52" applyFont="1">
      <alignment vertical="center"/>
    </xf>
    <xf fontId="22" fillId="33" borderId="0" numFmtId="177" xfId="53" applyNumberFormat="1" applyFont="1" applyFill="1">
      <protection locked="0"/>
    </xf>
    <xf fontId="22" fillId="33" borderId="0" numFmtId="178" xfId="54" applyNumberFormat="1" applyFont="1" applyFill="1">
      <protection locked="0"/>
    </xf>
    <xf fontId="24" fillId="0" borderId="0" numFmtId="0" xfId="55" applyFont="1">
      <alignment vertical="top"/>
    </xf>
    <xf fontId="25" fillId="0" borderId="0" numFmtId="0" xfId="56" applyFont="1">
      <alignment vertical="top"/>
    </xf>
    <xf fontId="26" fillId="0" borderId="0" numFmtId="0" xfId="57" applyFont="1"/>
    <xf fontId="27" fillId="0" borderId="0" numFmtId="0" xfId="58" applyFont="1">
      <alignment vertical="top"/>
    </xf>
    <xf fontId="22" fillId="0" borderId="0" numFmtId="49" xfId="59" applyNumberFormat="1" applyFont="1">
      <alignment vertical="top"/>
    </xf>
    <xf fontId="28" fillId="0" borderId="0" numFmtId="0" xfId="60" applyFont="1"/>
    <xf fontId="0" fillId="0" borderId="0" numFmtId="49" xfId="61" applyNumberFormat="1" applyFont="1">
      <alignment vertical="top"/>
    </xf>
    <xf fontId="29" fillId="0" borderId="0" numFmtId="0" xfId="62" applyFont="1"/>
    <xf fontId="30" fillId="0" borderId="0" numFmtId="0" xfId="63" applyFont="1">
      <alignment vertical="top"/>
    </xf>
    <xf fontId="0" fillId="0" borderId="0" numFmtId="49" xfId="61" applyNumberFormat="1" applyFont="1">
      <alignment vertical="top"/>
    </xf>
    <xf fontId="0" fillId="0" borderId="0" numFmtId="49" xfId="61" applyNumberFormat="1" applyFont="1">
      <alignment vertical="top"/>
    </xf>
    <xf fontId="0" fillId="0" borderId="0" numFmtId="49" xfId="61" applyNumberFormat="1" applyFont="1">
      <alignment vertical="top"/>
    </xf>
    <xf fontId="22" fillId="0" borderId="0" numFmtId="0" xfId="0" applyFont="1">
      <alignment vertical="top" wrapText="1"/>
    </xf>
    <xf fontId="0" fillId="0" borderId="0" numFmtId="49" xfId="0" applyNumberFormat="1" applyFont="1">
      <alignment vertical="top"/>
    </xf>
    <xf fontId="22" fillId="34" borderId="10" numFmtId="49" xfId="0" applyNumberFormat="1" applyFont="1" applyFill="1" applyBorder="1">
      <alignment horizontal="center" vertical="top"/>
    </xf>
    <xf fontId="0" fillId="0" borderId="0" numFmtId="49" xfId="0" applyNumberFormat="1" applyFont="1">
      <alignment vertical="top"/>
    </xf>
    <xf fontId="22" fillId="0" borderId="0" numFmtId="0" xfId="0" applyFont="1"/>
    <xf fontId="22" fillId="35" borderId="0" numFmtId="0" xfId="0" applyFont="1" applyFill="1"/>
    <xf fontId="31" fillId="0" borderId="0" numFmtId="0" xfId="0" applyFont="1">
      <alignment vertical="center" wrapText="1"/>
    </xf>
    <xf fontId="32" fillId="0" borderId="0" numFmtId="0" xfId="0" applyFont="1">
      <alignment vertical="center" wrapText="1"/>
    </xf>
    <xf fontId="22" fillId="35" borderId="0" numFmtId="0" xfId="0" applyFont="1" applyFill="1">
      <alignment vertical="center" wrapText="1"/>
    </xf>
    <xf fontId="22" fillId="0" borderId="0" numFmtId="0" xfId="0" applyFont="1">
      <alignment vertical="center" wrapText="1"/>
    </xf>
    <xf fontId="33" fillId="35" borderId="0" numFmtId="0" xfId="0" applyFont="1" applyFill="1">
      <alignment vertical="center" wrapText="1"/>
    </xf>
    <xf fontId="22" fillId="35" borderId="0" numFmtId="0" xfId="0" applyFont="1" applyFill="1">
      <alignment horizontal="right" indent="1" vertical="center" wrapText="1"/>
    </xf>
    <xf fontId="22" fillId="35" borderId="0" numFmtId="0" xfId="0" applyFont="1" applyFill="1">
      <alignment horizontal="center" vertical="center" wrapText="1"/>
    </xf>
    <xf fontId="32" fillId="0" borderId="0" numFmtId="0" xfId="0" applyFont="1">
      <alignment horizontal="center" vertical="center" wrapText="1"/>
    </xf>
    <xf fontId="34" fillId="35" borderId="0" numFmtId="0" xfId="0" applyFont="1" applyFill="1">
      <alignment horizontal="center" vertical="center" wrapText="1"/>
    </xf>
    <xf fontId="22" fillId="0" borderId="0" numFmtId="0" xfId="0" applyFont="1">
      <alignment vertical="center"/>
    </xf>
    <xf fontId="22" fillId="35" borderId="0" numFmtId="49" xfId="0" applyNumberFormat="1" applyFont="1" applyFill="1">
      <alignment horizontal="right" indent="1" vertical="center" wrapText="1"/>
    </xf>
    <xf fontId="33" fillId="35" borderId="0" numFmtId="49" xfId="0" applyNumberFormat="1" applyFont="1" applyFill="1">
      <alignment horizontal="center" vertical="center" wrapText="1"/>
    </xf>
    <xf fontId="22" fillId="0" borderId="0" numFmtId="0" xfId="0" applyFont="1">
      <alignment vertical="center" wrapText="1"/>
    </xf>
    <xf fontId="22" fillId="35" borderId="0" numFmtId="0" xfId="0" applyFont="1" applyFill="1">
      <alignment vertical="center" wrapText="1"/>
    </xf>
    <xf fontId="22" fillId="35" borderId="0" numFmtId="0" xfId="0" applyFont="1" applyFill="1">
      <alignment horizontal="right" vertical="center" wrapText="1"/>
    </xf>
    <xf fontId="0" fillId="35" borderId="0" numFmtId="49" xfId="0" applyNumberFormat="1" applyFont="1" applyFill="1">
      <alignment horizontal="right" indent="1" vertical="center" wrapText="1"/>
    </xf>
    <xf fontId="35" fillId="35" borderId="0" numFmtId="49" xfId="0" applyNumberFormat="1" applyFont="1" applyFill="1">
      <alignment horizontal="center" vertical="center" wrapText="1"/>
    </xf>
    <xf fontId="0" fillId="0" borderId="0" numFmtId="49" xfId="0" applyNumberFormat="1" applyFont="1">
      <alignment vertical="top"/>
    </xf>
    <xf fontId="0" fillId="0" borderId="0" numFmtId="49" xfId="0" applyNumberFormat="1" applyFont="1">
      <alignment vertical="top"/>
    </xf>
    <xf fontId="36" fillId="35" borderId="0" numFmtId="0" xfId="0" applyFont="1" applyFill="1">
      <alignment horizontal="center" vertical="center" wrapText="1"/>
    </xf>
    <xf fontId="36" fillId="0" borderId="0" numFmtId="0" xfId="0" applyFont="1">
      <alignment horizontal="center" vertical="center"/>
    </xf>
    <xf fontId="36" fillId="35" borderId="0" numFmtId="0" xfId="0" applyFont="1" applyFill="1">
      <alignment horizontal="center" vertical="center"/>
    </xf>
    <xf fontId="37" fillId="0" borderId="11" numFmtId="49" xfId="0" applyNumberFormat="1" applyFont="1" applyBorder="1">
      <alignment vertical="top" wrapText="1"/>
    </xf>
    <xf fontId="0" fillId="0" borderId="11" numFmtId="0" xfId="0" applyFont="1" applyBorder="1">
      <alignment vertical="top" wrapText="1"/>
    </xf>
    <xf fontId="22" fillId="35" borderId="0" numFmtId="0" xfId="0" applyFont="1" applyFill="1">
      <alignment horizontal="center" vertical="center" wrapText="1"/>
    </xf>
    <xf fontId="38" fillId="35" borderId="0" numFmtId="0" xfId="0" applyFont="1" applyFill="1">
      <alignment vertical="center" wrapText="1"/>
    </xf>
    <xf fontId="38" fillId="0" borderId="0" numFmtId="0" xfId="0" applyFont="1">
      <alignment vertical="center" wrapText="1"/>
    </xf>
    <xf fontId="31" fillId="0" borderId="0" numFmtId="0" xfId="0" applyFont="1">
      <alignment horizontal="left" vertical="center" wrapText="1"/>
    </xf>
    <xf fontId="31" fillId="0" borderId="0" numFmtId="49" xfId="0" applyNumberFormat="1" applyFont="1">
      <alignment horizontal="left" vertical="center" wrapText="1"/>
    </xf>
    <xf fontId="0" fillId="0" borderId="0" numFmtId="0" xfId="0" applyFont="1">
      <alignment vertical="top"/>
    </xf>
    <xf fontId="22" fillId="0" borderId="0" numFmtId="49" xfId="0" applyNumberFormat="1" applyFont="1">
      <alignment vertical="center" wrapText="1"/>
    </xf>
    <xf fontId="22" fillId="0" borderId="0" numFmtId="49" xfId="0" applyNumberFormat="1" applyFont="1">
      <alignment vertical="top"/>
    </xf>
    <xf fontId="22" fillId="0" borderId="0" numFmtId="0" xfId="0" applyFont="1">
      <alignment vertical="center" wrapText="1"/>
    </xf>
    <xf fontId="0" fillId="0" borderId="0" numFmtId="0" xfId="0" applyFont="1">
      <alignment vertical="center"/>
    </xf>
    <xf fontId="22" fillId="35" borderId="12" numFmtId="0" xfId="0" applyFont="1" applyFill="1" applyBorder="1">
      <alignment horizontal="center" vertical="center" wrapText="1"/>
    </xf>
    <xf fontId="22" fillId="36" borderId="12" numFmtId="49" xfId="0" applyNumberFormat="1" applyFont="1" applyFill="1" applyBorder="1">
      <alignment horizontal="left" vertical="center" wrapText="1"/>
      <protection locked="0"/>
    </xf>
    <xf fontId="39" fillId="37" borderId="13" numFmtId="49" xfId="0" applyNumberFormat="1" applyFont="1" applyFill="1" applyBorder="1">
      <alignment horizontal="left" vertical="center"/>
    </xf>
    <xf fontId="0" fillId="0" borderId="12" numFmtId="0" xfId="0" applyFont="1" applyBorder="1">
      <alignment horizontal="center" vertical="center" wrapText="1"/>
    </xf>
    <xf fontId="22" fillId="37" borderId="14" numFmtId="0" xfId="0" applyFont="1" applyFill="1" applyBorder="1">
      <alignment vertical="center" wrapText="1"/>
    </xf>
    <xf fontId="22" fillId="0" borderId="12" numFmtId="0" xfId="0" applyFont="1" applyBorder="1">
      <alignment horizontal="center" vertical="center" wrapText="1"/>
    </xf>
    <xf fontId="40" fillId="0" borderId="0" numFmtId="0" xfId="0" applyFont="1">
      <alignment vertical="center"/>
    </xf>
    <xf fontId="22" fillId="0" borderId="12" numFmtId="49" xfId="0" applyNumberFormat="1" applyFont="1" applyBorder="1">
      <alignment horizontal="center" vertical="center" wrapText="1"/>
    </xf>
    <xf fontId="22" fillId="35" borderId="12" numFmtId="0" xfId="0" applyFont="1" applyFill="1" applyBorder="1">
      <alignment horizontal="center" vertical="center"/>
    </xf>
    <xf fontId="22" fillId="36" borderId="12" numFmtId="49" xfId="0" applyNumberFormat="1" applyFont="1" applyFill="1" applyBorder="1">
      <alignment horizontal="left" vertical="center" wrapText="1"/>
      <protection locked="0"/>
    </xf>
    <xf fontId="31" fillId="0" borderId="0" numFmtId="0" xfId="0" applyFont="1">
      <alignment vertical="center" wrapText="1"/>
    </xf>
    <xf fontId="41" fillId="0" borderId="0" numFmtId="0" xfId="0" applyFont="1">
      <alignment vertical="center" wrapText="1"/>
    </xf>
    <xf fontId="22" fillId="0" borderId="0" numFmtId="49" xfId="0" applyNumberFormat="1" applyFont="1">
      <alignment vertical="top"/>
    </xf>
    <xf fontId="31" fillId="0" borderId="0" numFmtId="49" xfId="0" applyNumberFormat="1" applyFont="1">
      <alignment vertical="top"/>
    </xf>
    <xf fontId="22" fillId="0" borderId="0" numFmtId="49" xfId="0" applyNumberFormat="1" applyFont="1">
      <alignment vertical="top"/>
    </xf>
    <xf fontId="36" fillId="0" borderId="0" numFmtId="49" xfId="0" applyNumberFormat="1" applyFont="1">
      <alignment horizontal="center" vertical="center"/>
    </xf>
    <xf fontId="22" fillId="0" borderId="0" numFmtId="49" xfId="0" applyNumberFormat="1" applyFont="1">
      <alignment vertical="top"/>
    </xf>
    <xf fontId="22" fillId="35" borderId="0" numFmtId="0" xfId="0" applyFont="1" applyFill="1"/>
    <xf fontId="42" fillId="35" borderId="0" numFmtId="0" xfId="0" applyFont="1" applyFill="1">
      <alignment horizontal="center" vertical="center" wrapText="1"/>
    </xf>
    <xf fontId="31" fillId="35" borderId="0" numFmtId="0" xfId="0" applyFont="1" applyFill="1"/>
    <xf fontId="22" fillId="0" borderId="0" numFmtId="49" xfId="0" applyNumberFormat="1" applyFont="1">
      <alignment vertical="top"/>
    </xf>
    <xf fontId="36" fillId="0" borderId="0" numFmtId="49" xfId="0" applyNumberFormat="1" applyFont="1">
      <alignment horizontal="center" vertical="center" wrapText="1"/>
    </xf>
    <xf fontId="22" fillId="35" borderId="12" numFmtId="0" xfId="0" applyFont="1" applyFill="1" applyBorder="1">
      <alignment horizontal="center" vertical="center" wrapText="1"/>
    </xf>
    <xf fontId="22" fillId="0" borderId="12" numFmtId="49" xfId="0" applyNumberFormat="1" applyFont="1" applyBorder="1">
      <alignment horizontal="center" vertical="center" wrapText="1"/>
    </xf>
    <xf fontId="43" fillId="37" borderId="15" numFmtId="49" xfId="0" applyNumberFormat="1" applyFont="1" applyFill="1" applyBorder="1">
      <alignment horizontal="center" vertical="top"/>
    </xf>
    <xf fontId="39" fillId="37" borderId="15" numFmtId="49" xfId="0" applyNumberFormat="1" applyFont="1" applyFill="1" applyBorder="1">
      <alignment horizontal="left" vertical="center"/>
    </xf>
    <xf fontId="22" fillId="0" borderId="0" numFmtId="49" xfId="0" applyNumberFormat="1" applyFont="1">
      <alignment horizontal="center" vertical="top"/>
    </xf>
    <xf fontId="40" fillId="0" borderId="0" numFmtId="0" xfId="0" applyFont="1">
      <alignment vertical="center"/>
    </xf>
    <xf fontId="0" fillId="0" borderId="0" numFmtId="0" xfId="0" applyFont="1">
      <alignment horizontal="center" vertical="center" wrapText="1"/>
    </xf>
    <xf fontId="22" fillId="0" borderId="0" numFmtId="49" xfId="0" applyNumberFormat="1" applyFont="1">
      <alignment horizontal="center" vertical="center" wrapText="1"/>
    </xf>
    <xf fontId="22" fillId="0" borderId="0" numFmtId="49" xfId="0" applyNumberFormat="1" applyFont="1">
      <alignment vertical="center" wrapText="1"/>
    </xf>
    <xf fontId="36" fillId="35" borderId="0" numFmtId="0" xfId="0" applyFont="1" applyFill="1">
      <alignment horizontal="center" vertical="center" wrapText="1"/>
    </xf>
    <xf fontId="44" fillId="0" borderId="0" numFmtId="49" xfId="0" applyNumberFormat="1" applyFont="1">
      <alignment horizontal="right" vertical="top"/>
    </xf>
    <xf fontId="44" fillId="0" borderId="0" numFmtId="49" xfId="0" applyNumberFormat="1" applyFont="1">
      <alignment vertical="top"/>
    </xf>
    <xf fontId="22" fillId="0" borderId="0" numFmtId="0" xfId="0" applyFont="1">
      <alignment horizontal="center" vertical="center" wrapText="1"/>
    </xf>
    <xf fontId="22" fillId="0" borderId="0" numFmtId="49" xfId="0" applyNumberFormat="1" applyFont="1">
      <alignment vertical="top"/>
    </xf>
    <xf fontId="0" fillId="0" borderId="0" numFmtId="0" xfId="0" applyFont="1">
      <alignment vertical="center"/>
    </xf>
    <xf fontId="45" fillId="0" borderId="0" numFmtId="0" xfId="0" applyFont="1">
      <alignment vertical="center" wrapText="1"/>
    </xf>
    <xf fontId="22" fillId="0" borderId="16" numFmtId="49" xfId="0" applyNumberFormat="1" applyFont="1" applyBorder="1">
      <alignment vertical="top"/>
    </xf>
    <xf fontId="29" fillId="0" borderId="0" numFmtId="0" xfId="0" applyFont="1"/>
    <xf fontId="46" fillId="0" borderId="0" numFmtId="49" xfId="0" applyNumberFormat="1" applyFont="1">
      <alignment vertical="top"/>
    </xf>
    <xf fontId="46" fillId="0" borderId="0" numFmtId="0" xfId="0" applyFont="1">
      <alignment vertical="center" wrapText="1"/>
    </xf>
    <xf fontId="0" fillId="35" borderId="12" numFmtId="49" xfId="0" applyNumberFormat="1" applyFont="1" applyFill="1" applyBorder="1">
      <alignment horizontal="center" vertical="center" wrapText="1"/>
    </xf>
    <xf fontId="31" fillId="0" borderId="0" numFmtId="0" xfId="0" applyFont="1">
      <alignment horizontal="left" vertical="center" wrapText="1"/>
    </xf>
    <xf fontId="22" fillId="0" borderId="12" numFmtId="49" xfId="0" applyNumberFormat="1" applyFont="1" applyBorder="1">
      <alignment horizontal="left" vertical="center" wrapText="1"/>
    </xf>
    <xf fontId="22" fillId="35" borderId="17" numFmtId="0" xfId="0" applyFont="1" applyFill="1" applyBorder="1">
      <alignment horizontal="center" vertical="center"/>
    </xf>
    <xf fontId="22" fillId="0" borderId="12" numFmtId="0" xfId="0" applyFont="1" applyBorder="1">
      <alignment vertical="center" wrapText="1"/>
    </xf>
    <xf fontId="47" fillId="0" borderId="0" numFmtId="0" xfId="0" applyFont="1">
      <alignment vertical="center" wrapText="1"/>
    </xf>
    <xf fontId="47" fillId="0" borderId="0" numFmtId="0" xfId="0" applyFont="1">
      <alignment vertical="center"/>
    </xf>
    <xf fontId="48" fillId="0" borderId="0" numFmtId="0" xfId="0" applyFont="1">
      <alignment vertical="center"/>
    </xf>
    <xf fontId="47" fillId="0" borderId="0" numFmtId="0" xfId="0" applyFont="1">
      <alignment vertical="center"/>
    </xf>
    <xf fontId="47" fillId="0" borderId="0" numFmtId="0" xfId="0" applyFont="1">
      <alignment vertical="center"/>
    </xf>
    <xf fontId="0" fillId="0" borderId="0" numFmtId="0" xfId="0" applyFont="1">
      <alignment vertical="top" wrapText="1"/>
    </xf>
    <xf fontId="22" fillId="0" borderId="12" numFmtId="49" xfId="0" applyNumberFormat="1" applyFont="1" applyBorder="1">
      <alignment horizontal="center" vertical="center" wrapText="1"/>
    </xf>
    <xf fontId="45" fillId="0" borderId="18" numFmtId="0" xfId="0" applyFont="1" applyBorder="1">
      <alignment vertical="top" wrapText="1"/>
    </xf>
    <xf fontId="0" fillId="0" borderId="12" numFmtId="49" xfId="0" applyNumberFormat="1" applyFont="1" applyBorder="1">
      <alignment vertical="top" wrapText="1"/>
    </xf>
    <xf fontId="0" fillId="0" borderId="12" numFmtId="0" xfId="0" applyFont="1" applyBorder="1">
      <alignment vertical="top" wrapText="1"/>
    </xf>
    <xf fontId="1" fillId="0" borderId="0" numFmtId="0" xfId="0" applyFont="1"/>
    <xf fontId="0" fillId="0" borderId="0" numFmtId="0" xfId="0" applyFont="1"/>
    <xf fontId="36" fillId="0" borderId="0" numFmtId="0" xfId="0" applyFont="1">
      <alignment horizontal="center" vertical="center" wrapText="1"/>
    </xf>
    <xf fontId="36" fillId="0" borderId="0" numFmtId="0" xfId="0" applyFont="1">
      <alignment horizontal="center" vertical="center" wrapText="1"/>
    </xf>
    <xf fontId="22" fillId="0" borderId="0" numFmtId="0" xfId="0" applyFont="1">
      <alignment horizontal="right" vertical="center" wrapText="1"/>
    </xf>
    <xf fontId="22" fillId="0" borderId="0" numFmtId="4" xfId="0" applyNumberFormat="1" applyFont="1">
      <alignment horizontal="right" vertical="center" wrapText="1"/>
    </xf>
    <xf fontId="22" fillId="0" borderId="0" numFmtId="0" xfId="0" applyFont="1">
      <alignment horizontal="left" indent="1" vertical="center" wrapText="1"/>
    </xf>
    <xf fontId="22" fillId="0" borderId="0" numFmtId="49" xfId="0" applyNumberFormat="1" applyFont="1">
      <alignment vertical="top"/>
    </xf>
    <xf fontId="22" fillId="0" borderId="0" numFmtId="4" xfId="0" applyNumberFormat="1" applyFont="1">
      <alignment horizontal="center" vertical="center" wrapText="1"/>
    </xf>
    <xf fontId="46" fillId="0" borderId="0" numFmtId="0" xfId="0" applyFont="1">
      <alignment vertical="center"/>
    </xf>
    <xf fontId="22" fillId="0" borderId="12" numFmtId="180" xfId="0" applyNumberFormat="1" applyFont="1" applyBorder="1">
      <alignment horizontal="center" vertical="center" wrapText="1"/>
    </xf>
    <xf fontId="46" fillId="37" borderId="19" numFmtId="49" xfId="0" applyNumberFormat="1" applyFont="1" applyFill="1" applyBorder="1">
      <alignment horizontal="left" vertical="center" wrapText="1"/>
    </xf>
    <xf fontId="0" fillId="37" borderId="15" numFmtId="49" xfId="0" applyNumberFormat="1" applyFont="1" applyFill="1" applyBorder="1">
      <alignment horizontal="left" vertical="center"/>
    </xf>
    <xf fontId="46" fillId="37" borderId="20" numFmtId="49" xfId="0" applyNumberFormat="1" applyFont="1" applyFill="1" applyBorder="1">
      <alignment horizontal="left" vertical="center" wrapText="1"/>
    </xf>
    <xf fontId="35" fillId="0" borderId="0" numFmtId="0" xfId="0" applyFont="1">
      <alignment horizontal="center" vertical="center" wrapText="1"/>
    </xf>
    <xf fontId="49" fillId="37" borderId="15" numFmtId="49" xfId="0" applyNumberFormat="1" applyFont="1" applyFill="1" applyBorder="1">
      <alignment horizontal="right" vertical="center" wrapText="1"/>
    </xf>
    <xf fontId="22" fillId="37" borderId="15" numFmtId="49" xfId="0" applyNumberFormat="1" applyFont="1" applyFill="1" applyBorder="1">
      <alignment horizontal="right" vertical="center" wrapText="1"/>
    </xf>
    <xf fontId="22" fillId="37" borderId="13" numFmtId="49" xfId="0" applyNumberFormat="1" applyFont="1" applyFill="1" applyBorder="1">
      <alignment horizontal="right" vertical="center" wrapText="1"/>
    </xf>
    <xf fontId="22" fillId="0" borderId="21" numFmtId="0" xfId="0" applyFont="1" applyBorder="1">
      <alignment vertical="center" wrapText="1"/>
    </xf>
    <xf fontId="44" fillId="0" borderId="0" numFmtId="0" xfId="0" applyFont="1">
      <alignment vertical="center" wrapText="1"/>
    </xf>
    <xf fontId="50" fillId="0" borderId="0" numFmtId="0" xfId="0" applyFont="1">
      <alignment horizontal="center" vertical="center" wrapText="1"/>
    </xf>
    <xf fontId="0" fillId="35" borderId="0" numFmtId="49" xfId="0" applyNumberFormat="1" applyFont="1" applyFill="1">
      <alignment vertical="top"/>
    </xf>
    <xf fontId="51" fillId="38" borderId="0" numFmtId="49" xfId="0" applyNumberFormat="1" applyFont="1" applyFill="1">
      <alignment vertical="top"/>
    </xf>
    <xf fontId="51" fillId="0" borderId="0" numFmtId="49" xfId="0" applyNumberFormat="1" applyFont="1">
      <alignment vertical="top"/>
    </xf>
    <xf fontId="46" fillId="0" borderId="0" numFmtId="0" xfId="0" applyFont="1">
      <alignment vertical="center"/>
    </xf>
    <xf fontId="0" fillId="37" borderId="15" numFmtId="49" xfId="0" applyNumberFormat="1" applyFont="1" applyFill="1" applyBorder="1">
      <alignment horizontal="right" vertical="center" wrapText="1"/>
    </xf>
    <xf fontId="0" fillId="0" borderId="0" numFmtId="49" xfId="0" applyNumberFormat="1" applyFont="1">
      <alignment vertical="top"/>
    </xf>
    <xf fontId="49" fillId="0" borderId="11" numFmtId="0" xfId="0" applyFont="1" applyBorder="1">
      <alignment vertical="center" wrapText="1"/>
    </xf>
    <xf fontId="45" fillId="0" borderId="0" numFmtId="0" xfId="0" applyFont="1">
      <alignment vertical="top" wrapText="1"/>
    </xf>
    <xf fontId="22" fillId="0" borderId="11" numFmtId="0" xfId="0" applyFont="1" applyBorder="1">
      <alignment vertical="center" wrapText="1"/>
    </xf>
    <xf fontId="22" fillId="0" borderId="0" numFmtId="49" xfId="0" applyNumberFormat="1" applyFont="1">
      <alignment vertical="top"/>
    </xf>
    <xf fontId="22" fillId="35" borderId="0" numFmtId="0" xfId="0" applyFont="1" applyFill="1">
      <alignment horizontal="right" vertical="center"/>
    </xf>
    <xf fontId="0" fillId="0" borderId="12" numFmtId="0" xfId="0" applyFont="1" applyBorder="1">
      <alignment horizontal="left" indent="1" vertical="center" wrapText="1"/>
    </xf>
    <xf fontId="0" fillId="39" borderId="12" numFmtId="0" xfId="0" applyFont="1" applyFill="1" applyBorder="1">
      <alignment horizontal="left" indent="2" vertical="center" wrapText="1"/>
      <protection locked="0"/>
    </xf>
    <xf fontId="47" fillId="0" borderId="0" numFmtId="49" xfId="0" applyNumberFormat="1" applyFont="1">
      <alignment vertical="top"/>
    </xf>
    <xf fontId="0" fillId="0" borderId="12" numFmtId="0" xfId="0" applyFont="1" applyBorder="1">
      <alignment vertical="center" wrapText="1"/>
    </xf>
    <xf fontId="0" fillId="0" borderId="12" numFmtId="0" xfId="0" applyFont="1" applyBorder="1">
      <alignment horizontal="center" vertical="center" wrapText="1"/>
    </xf>
    <xf fontId="0" fillId="39" borderId="12" numFmtId="0" xfId="0" applyFont="1" applyFill="1" applyBorder="1">
      <alignment horizontal="left" indent="1" vertical="center" wrapText="1"/>
      <protection locked="0"/>
    </xf>
    <xf fontId="39" fillId="37" borderId="15" numFmtId="49" xfId="0" applyNumberFormat="1" applyFont="1" applyFill="1" applyBorder="1">
      <alignment horizontal="left" indent="3" vertical="center"/>
    </xf>
    <xf fontId="43" fillId="37" borderId="13" numFmtId="49" xfId="0" applyNumberFormat="1" applyFont="1" applyFill="1" applyBorder="1">
      <alignment horizontal="center" vertical="top"/>
    </xf>
    <xf fontId="45" fillId="0" borderId="0" numFmtId="0" xfId="0" applyFont="1">
      <alignment horizontal="right" vertical="top" wrapText="1"/>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indent="2" vertical="center"/>
    </xf>
    <xf fontId="0" fillId="0" borderId="12" numFmtId="0" xfId="0" applyFont="1" applyBorder="1">
      <alignment horizontal="left" indent="1" vertical="center" wrapText="1"/>
    </xf>
    <xf fontId="0" fillId="0" borderId="12" numFmtId="0" xfId="0" applyFont="1" applyBorder="1">
      <alignment horizontal="left" indent="2" vertical="center" wrapText="1"/>
    </xf>
    <xf fontId="22" fillId="40" borderId="12" numFmtId="49" xfId="0" applyNumberFormat="1" applyFont="1" applyFill="1" applyBorder="1">
      <alignment horizontal="left" vertical="center" wrapText="1"/>
    </xf>
    <xf fontId="22" fillId="0" borderId="12" numFmtId="0" xfId="0" applyFont="1" applyBorder="1">
      <alignment vertical="top" wrapText="1"/>
    </xf>
    <xf fontId="36" fillId="0" borderId="0" numFmtId="0" xfId="0" applyFont="1">
      <alignment horizontal="center" vertical="center" wrapText="1"/>
    </xf>
    <xf fontId="0" fillId="0" borderId="17" numFmtId="49" xfId="0" applyNumberFormat="1" applyFont="1" applyBorder="1">
      <alignment vertical="top"/>
    </xf>
    <xf fontId="47" fillId="0" borderId="0" numFmtId="0" xfId="0" applyFont="1">
      <alignment vertical="center"/>
    </xf>
    <xf fontId="52" fillId="0" borderId="0" numFmtId="0" xfId="0" applyFont="1">
      <alignment vertical="center"/>
    </xf>
    <xf fontId="53" fillId="39" borderId="12" numFmtId="49" xfId="0" applyNumberFormat="1" applyFont="1" applyFill="1" applyBorder="1">
      <alignment horizontal="left" vertical="center" wrapText="1"/>
      <protection locked="0"/>
    </xf>
    <xf fontId="43" fillId="37" borderId="13" numFmtId="49" xfId="0" applyNumberFormat="1" applyFont="1" applyFill="1" applyBorder="1">
      <alignment horizontal="center" vertical="top"/>
    </xf>
    <xf fontId="0" fillId="34" borderId="12" numFmtId="0" xfId="0" applyFont="1" applyFill="1" applyBorder="1">
      <alignment horizontal="left" indent="1" vertical="center" wrapText="1"/>
    </xf>
    <xf fontId="22" fillId="39" borderId="12" numFmtId="49" xfId="0" applyNumberFormat="1" applyFont="1" applyFill="1" applyBorder="1">
      <alignment horizontal="left" indent="1" vertical="center" wrapText="1"/>
      <protection locked="0"/>
    </xf>
    <xf fontId="22" fillId="34" borderId="12" numFmtId="49" xfId="0" applyNumberFormat="1" applyFont="1" applyFill="1" applyBorder="1">
      <alignment horizontal="left" indent="1" vertical="center" wrapText="1"/>
    </xf>
    <xf fontId="22" fillId="0" borderId="12" numFmtId="49" xfId="0" applyNumberFormat="1" applyFont="1" applyBorder="1">
      <alignment horizontal="left" indent="1" vertical="center" wrapText="1"/>
    </xf>
    <xf fontId="22" fillId="0" borderId="12" numFmtId="0" xfId="0" applyFont="1" applyBorder="1">
      <alignment horizontal="center" vertical="center" wrapText="1"/>
    </xf>
    <xf fontId="45" fillId="0" borderId="0" numFmtId="0" xfId="0" applyFont="1">
      <alignment vertical="center" wrapText="1"/>
    </xf>
    <xf fontId="47" fillId="0" borderId="0" numFmtId="0" xfId="0" applyFont="1">
      <alignment horizontal="center" vertical="center" wrapText="1"/>
    </xf>
    <xf fontId="0" fillId="0" borderId="12" numFmtId="0" xfId="0" applyFont="1" applyBorder="1">
      <alignment horizontal="left" vertical="center" wrapText="1"/>
    </xf>
    <xf fontId="35" fillId="0" borderId="15" numFmtId="49" xfId="0" applyNumberFormat="1" applyFont="1" applyBorder="1">
      <alignment horizontal="center" vertical="center" wrapText="1"/>
    </xf>
    <xf fontId="54" fillId="0" borderId="0" numFmtId="0" xfId="0" applyFont="1">
      <alignment vertical="center"/>
    </xf>
    <xf fontId="55" fillId="0" borderId="0" numFmtId="0" xfId="0" applyFont="1">
      <alignment vertical="center"/>
    </xf>
    <xf fontId="47" fillId="0" borderId="0" numFmtId="0" xfId="0" applyFont="1">
      <alignment vertical="center"/>
    </xf>
    <xf fontId="47" fillId="0" borderId="0" numFmtId="0" xfId="0" applyFont="1">
      <alignment horizontal="left" indent="1" vertical="center" wrapText="1"/>
    </xf>
    <xf fontId="46" fillId="0" borderId="0" numFmtId="0" xfId="0" applyFont="1">
      <alignment horizontal="left" indent="1" vertical="center" wrapText="1"/>
    </xf>
    <xf fontId="56" fillId="0" borderId="0" numFmtId="0" xfId="0" applyFont="1">
      <alignment horizontal="left" indent="1" vertical="center" wrapText="1"/>
    </xf>
    <xf fontId="57" fillId="0" borderId="0" numFmtId="0" xfId="0" applyFont="1">
      <alignment horizontal="left" indent="1" vertical="center"/>
    </xf>
    <xf fontId="56" fillId="0" borderId="0" numFmtId="0" xfId="0" applyFont="1">
      <alignment vertical="center" wrapText="1"/>
    </xf>
    <xf fontId="58" fillId="0" borderId="0" numFmtId="0" xfId="0" applyFont="1">
      <alignment horizontal="left" vertical="center" wrapText="1"/>
    </xf>
    <xf fontId="59" fillId="0" borderId="0" numFmtId="0" xfId="0" applyFont="1">
      <alignment vertical="center" wrapText="1"/>
    </xf>
    <xf fontId="60" fillId="35" borderId="0" numFmtId="0" xfId="0" applyFont="1" applyFill="1">
      <alignment vertical="center" wrapText="1"/>
    </xf>
    <xf fontId="61" fillId="35" borderId="0" numFmtId="0" xfId="0" applyFont="1" applyFill="1">
      <alignment horizontal="right" indent="1" vertical="center" wrapText="1"/>
    </xf>
    <xf fontId="60" fillId="0" borderId="0" numFmtId="0" xfId="0" applyFont="1">
      <alignment vertical="center" wrapText="1"/>
    </xf>
    <xf fontId="60" fillId="35" borderId="0" numFmtId="0" xfId="0" applyFont="1" applyFill="1">
      <alignment horizontal="right" indent="1" vertical="center" wrapText="1"/>
    </xf>
    <xf fontId="62" fillId="35" borderId="0" numFmtId="0" xfId="0" applyFont="1" applyFill="1">
      <alignment horizontal="center" vertical="center" wrapText="1"/>
    </xf>
    <xf fontId="58" fillId="35" borderId="0" numFmtId="0" xfId="0" applyFont="1" applyFill="1">
      <alignment horizontal="center" vertical="center" wrapText="1"/>
    </xf>
    <xf fontId="60" fillId="35" borderId="0" numFmtId="0" xfId="0" applyFont="1" applyFill="1">
      <alignment horizontal="left" indent="1" vertical="center" wrapText="1"/>
    </xf>
    <xf fontId="63" fillId="0" borderId="0" numFmtId="0" xfId="0" applyFont="1">
      <alignment horizontal="left" vertical="center" wrapText="1"/>
    </xf>
    <xf fontId="63" fillId="0" borderId="0" numFmtId="0" xfId="0" applyFont="1">
      <alignment vertical="center" wrapText="1"/>
    </xf>
    <xf fontId="60" fillId="0" borderId="0" numFmtId="0" xfId="0" applyFont="1">
      <alignment vertical="center" wrapText="1"/>
    </xf>
    <xf fontId="60" fillId="0" borderId="0" numFmtId="0" xfId="0" applyFont="1">
      <alignment horizontal="right" vertical="center"/>
    </xf>
    <xf fontId="22" fillId="0" borderId="0" numFmtId="49" xfId="0" applyNumberFormat="1" applyFont="1">
      <alignment vertical="center" wrapText="1"/>
    </xf>
    <xf fontId="0" fillId="0" borderId="0" numFmtId="0" xfId="0" applyFont="1">
      <alignment horizontal="left" indent="1" vertical="center"/>
    </xf>
    <xf fontId="47" fillId="0" borderId="0" numFmtId="0" xfId="0" applyFont="1">
      <alignment horizontal="left" indent="1" vertical="center"/>
    </xf>
    <xf fontId="47" fillId="0" borderId="0" numFmtId="0" xfId="0" applyFont="1">
      <alignment horizontal="left" indent="1" vertical="center"/>
    </xf>
    <xf fontId="47" fillId="0" borderId="22" numFmtId="0" xfId="0" applyFont="1" applyBorder="1">
      <alignment vertical="center"/>
    </xf>
    <xf fontId="22" fillId="0" borderId="12" numFmtId="0" xfId="0" applyFont="1" applyBorder="1">
      <alignment horizontal="center" vertical="center" wrapText="1"/>
    </xf>
    <xf fontId="0" fillId="0" borderId="12" numFmtId="0" xfId="0" applyFont="1" applyBorder="1">
      <alignment horizontal="center" vertical="center"/>
    </xf>
    <xf fontId="0" fillId="0" borderId="12" numFmtId="49" xfId="0" applyNumberFormat="1" applyFont="1" applyBorder="1">
      <alignment horizontal="center" vertical="center"/>
    </xf>
    <xf fontId="0" fillId="0" borderId="12" numFmtId="49" xfId="0" applyNumberFormat="1" applyFont="1" applyBorder="1">
      <alignment horizontal="left" vertical="center"/>
    </xf>
    <xf fontId="22" fillId="0" borderId="0" numFmtId="49" xfId="0" applyNumberFormat="1" applyFont="1">
      <alignment vertical="top"/>
    </xf>
    <xf fontId="22" fillId="0" borderId="0" numFmtId="0" xfId="0" applyFont="1">
      <alignment horizontal="left" indent="2" vertical="center" wrapText="1"/>
    </xf>
    <xf fontId="22" fillId="0" borderId="12" numFmtId="0" xfId="0" applyFont="1" applyBorder="1">
      <alignment vertical="top" wrapText="1"/>
    </xf>
    <xf fontId="0" fillId="39" borderId="12" numFmtId="0" xfId="0" applyFont="1" applyFill="1" applyBorder="1">
      <alignment horizontal="left" vertical="center" wrapText="1"/>
      <protection locked="0"/>
    </xf>
    <xf fontId="22" fillId="0" borderId="12" numFmtId="0" xfId="0" applyFont="1" applyBorder="1">
      <alignment horizontal="left" vertical="top" wrapText="1"/>
    </xf>
    <xf fontId="22" fillId="0" borderId="12" numFmtId="0" xfId="0" applyFont="1" applyBorder="1">
      <alignment horizontal="left" vertical="center" wrapText="1"/>
    </xf>
    <xf fontId="22" fillId="0" borderId="12" numFmtId="0" xfId="0" applyFont="1" applyBorder="1">
      <alignment horizontal="center" vertical="center" wrapText="1"/>
    </xf>
    <xf fontId="22" fillId="0" borderId="17" numFmtId="49" xfId="0" applyNumberFormat="1" applyFont="1" applyBorder="1">
      <alignment horizontal="left" vertical="center" wrapText="1"/>
    </xf>
    <xf fontId="49" fillId="37" borderId="14" numFmtId="49" xfId="0" applyNumberFormat="1" applyFont="1" applyFill="1" applyBorder="1">
      <alignment horizontal="center" vertical="center"/>
    </xf>
    <xf fontId="39" fillId="37" borderId="13" numFmtId="49" xfId="0" applyNumberFormat="1" applyFont="1" applyFill="1" applyBorder="1">
      <alignment horizontal="left" vertical="center"/>
    </xf>
    <xf fontId="22" fillId="0" borderId="0" numFmtId="0" xfId="0" applyFont="1"/>
    <xf fontId="64" fillId="0" borderId="0" numFmtId="0" xfId="0" applyFont="1">
      <alignment vertical="center" wrapText="1"/>
    </xf>
    <xf fontId="64" fillId="0" borderId="0" numFmtId="0" xfId="0" applyFont="1">
      <alignment vertical="center" wrapText="1"/>
    </xf>
    <xf fontId="64" fillId="0" borderId="0" numFmtId="0" xfId="0" applyFont="1"/>
    <xf fontId="65" fillId="0" borderId="0" numFmtId="49" xfId="0" applyNumberFormat="1" applyFont="1">
      <alignment vertical="top"/>
    </xf>
    <xf fontId="66" fillId="0" borderId="0" numFmtId="49" xfId="0" applyNumberFormat="1" applyFont="1">
      <alignment vertical="top"/>
    </xf>
    <xf fontId="22" fillId="0" borderId="0" numFmtId="0" xfId="0" applyFont="1">
      <alignment horizontal="center" vertical="center" wrapText="1"/>
    </xf>
    <xf fontId="22" fillId="39" borderId="12" numFmtId="49" xfId="0" applyNumberFormat="1" applyFont="1" applyFill="1" applyBorder="1">
      <alignment horizontal="left" indent="1" vertical="center" wrapText="1"/>
      <protection locked="0"/>
    </xf>
    <xf fontId="47" fillId="0" borderId="0" numFmtId="0" xfId="0" applyFont="1">
      <alignment vertical="top"/>
    </xf>
    <xf fontId="47" fillId="0" borderId="0" numFmtId="49" xfId="0" applyNumberFormat="1" applyFont="1">
      <alignment vertical="top"/>
    </xf>
    <xf fontId="0" fillId="0" borderId="0" numFmtId="0" xfId="0" applyFont="1">
      <alignment vertical="top"/>
    </xf>
    <xf fontId="22" fillId="0" borderId="12" numFmtId="49" xfId="0" applyNumberFormat="1" applyFont="1" applyBorder="1">
      <alignment horizontal="right" vertical="center"/>
    </xf>
    <xf fontId="67" fillId="0" borderId="0" numFmtId="0" xfId="0" applyFont="1">
      <alignment vertical="center"/>
    </xf>
    <xf fontId="47" fillId="0" borderId="0" numFmtId="0" xfId="0" applyFont="1">
      <alignment vertical="center"/>
    </xf>
    <xf fontId="47" fillId="0" borderId="0" numFmtId="0" xfId="0" applyFont="1">
      <alignment vertical="center" wrapText="1"/>
    </xf>
    <xf fontId="22" fillId="0" borderId="12" numFmtId="0" xfId="0" applyFont="1" applyBorder="1">
      <alignment horizontal="left" vertical="center" wrapText="1"/>
    </xf>
    <xf fontId="68" fillId="0" borderId="0" numFmtId="0" xfId="0" applyFont="1">
      <alignment vertical="center"/>
    </xf>
    <xf fontId="35" fillId="35" borderId="0" numFmtId="49" xfId="0" applyNumberFormat="1" applyFont="1" applyFill="1">
      <alignment horizontal="center" vertical="center" wrapText="1"/>
    </xf>
    <xf fontId="0" fillId="0" borderId="0" numFmtId="0" xfId="0" applyFont="1">
      <alignment vertical="center"/>
    </xf>
    <xf fontId="22" fillId="0" borderId="12" numFmtId="0" xfId="0" applyFont="1" applyBorder="1">
      <alignment horizontal="center" vertical="center" wrapText="1"/>
    </xf>
    <xf fontId="22" fillId="0" borderId="12" numFmtId="49" xfId="0" applyNumberFormat="1" applyFont="1" applyBorder="1">
      <alignment horizontal="center" vertical="center" wrapText="1"/>
    </xf>
    <xf fontId="22" fillId="35" borderId="12" numFmtId="0" xfId="0" applyFont="1" applyFill="1" applyBorder="1">
      <alignment horizontal="left" indent="4" vertical="center" wrapText="1"/>
    </xf>
    <xf fontId="22" fillId="35" borderId="12" numFmtId="0" xfId="0" applyFont="1" applyFill="1" applyBorder="1">
      <alignment horizontal="left" indent="5" vertical="center" wrapText="1"/>
    </xf>
    <xf fontId="39" fillId="37" borderId="15" numFmtId="49" xfId="0" applyNumberFormat="1" applyFont="1" applyFill="1" applyBorder="1">
      <alignment horizontal="left" indent="5" vertical="center"/>
    </xf>
    <xf fontId="39" fillId="37" borderId="15" numFmtId="49" xfId="0" applyNumberFormat="1" applyFont="1" applyFill="1" applyBorder="1">
      <alignment horizontal="left" indent="6" vertical="center"/>
    </xf>
    <xf fontId="22" fillId="0" borderId="12" numFmtId="0" xfId="0" applyFont="1" applyBorder="1">
      <alignment vertical="center" wrapText="1"/>
    </xf>
    <xf fontId="45" fillId="0" borderId="0" numFmtId="0" xfId="0" applyFont="1">
      <alignment vertical="center" wrapText="1"/>
    </xf>
    <xf fontId="69" fillId="35" borderId="0" numFmtId="0" xfId="0" applyFont="1" applyFill="1">
      <alignment vertical="center" wrapText="1"/>
    </xf>
    <xf fontId="22" fillId="0" borderId="12" numFmtId="49" xfId="0" applyNumberFormat="1" applyFont="1" applyBorder="1">
      <alignment horizontal="center" vertical="center" wrapText="1"/>
    </xf>
    <xf fontId="0" fillId="0" borderId="0" numFmtId="49" xfId="0" applyNumberFormat="1" applyFont="1">
      <alignment vertical="top"/>
    </xf>
    <xf fontId="39" fillId="37" borderId="14" numFmtId="49" xfId="0" applyNumberFormat="1" applyFont="1" applyFill="1" applyBorder="1">
      <alignment horizontal="left" indent="1" vertical="center"/>
    </xf>
    <xf fontId="0" fillId="35" borderId="12" numFmtId="0" xfId="0" applyFont="1" applyFill="1" applyBorder="1">
      <alignment horizontal="right" indent="1" vertical="center" wrapText="1"/>
    </xf>
    <xf fontId="0" fillId="0" borderId="12" numFmtId="49" xfId="0" applyNumberFormat="1" applyFont="1" applyBorder="1">
      <alignment horizontal="left" vertical="center"/>
    </xf>
    <xf fontId="22" fillId="0" borderId="12" numFmtId="0" xfId="0" applyFont="1" applyBorder="1">
      <alignment vertical="top" wrapText="1"/>
    </xf>
    <xf fontId="22" fillId="0" borderId="12" numFmtId="0" xfId="0" applyFont="1" applyBorder="1">
      <alignment vertical="center" wrapText="1"/>
    </xf>
    <xf fontId="67" fillId="0" borderId="0" numFmtId="0" xfId="0" applyFont="1">
      <alignment vertical="center"/>
    </xf>
    <xf fontId="22" fillId="0" borderId="12" numFmtId="0" xfId="0" applyFont="1" applyBorder="1">
      <alignment horizontal="left" indent="6" vertical="center" wrapText="1"/>
    </xf>
    <xf fontId="22" fillId="0" borderId="17" numFmtId="0" xfId="0" applyFont="1" applyBorder="1">
      <alignment vertical="center" wrapText="1"/>
    </xf>
    <xf fontId="22" fillId="0" borderId="23" numFmtId="0" xfId="0" applyFont="1" applyBorder="1">
      <alignment vertical="center" wrapText="1"/>
    </xf>
    <xf fontId="0" fillId="37" borderId="13" numFmtId="49" xfId="0" applyNumberFormat="1" applyFont="1" applyFill="1" applyBorder="1">
      <alignment horizontal="center" vertical="center" wrapText="1"/>
    </xf>
    <xf fontId="0" fillId="0" borderId="14" numFmtId="0" xfId="0" applyFont="1" applyBorder="1">
      <alignment vertical="center"/>
    </xf>
    <xf fontId="0" fillId="35" borderId="14" numFmtId="0" xfId="0" applyFont="1" applyFill="1" applyBorder="1">
      <alignment horizontal="right" indent="1" vertical="center" wrapText="1"/>
    </xf>
    <xf fontId="31" fillId="0" borderId="0" numFmtId="49" xfId="0" applyNumberFormat="1" applyFont="1">
      <alignment vertical="top"/>
    </xf>
    <xf fontId="38" fillId="35" borderId="0" numFmtId="0" xfId="0" applyFont="1" applyFill="1">
      <alignment vertical="center" wrapText="1"/>
    </xf>
    <xf fontId="22" fillId="35" borderId="12" numFmtId="0" xfId="0" applyFont="1" applyFill="1" applyBorder="1">
      <alignment horizontal="left" indent="1" vertical="center" wrapText="1"/>
    </xf>
    <xf fontId="22" fillId="35" borderId="12" numFmtId="0" xfId="0" applyFont="1" applyFill="1" applyBorder="1">
      <alignment horizontal="left" indent="2" vertical="center" wrapText="1"/>
    </xf>
    <xf fontId="22" fillId="35" borderId="12" numFmtId="0" xfId="0" applyFont="1" applyFill="1" applyBorder="1">
      <alignment horizontal="left" indent="3" vertical="center" wrapText="1"/>
    </xf>
    <xf fontId="22" fillId="0" borderId="12" numFmtId="0" xfId="0" applyFont="1" applyBorder="1">
      <alignment horizontal="left" indent="4" vertical="center" wrapText="1"/>
    </xf>
    <xf fontId="39" fillId="37" borderId="14" numFmtId="49" xfId="0" applyNumberFormat="1" applyFont="1" applyFill="1" applyBorder="1">
      <alignment vertical="center" wrapText="1"/>
    </xf>
    <xf fontId="39" fillId="37" borderId="15" numFmtId="49" xfId="0" applyNumberFormat="1" applyFont="1" applyFill="1" applyBorder="1">
      <alignment vertical="center"/>
    </xf>
    <xf fontId="39" fillId="37" borderId="15" numFmtId="49" xfId="0" applyNumberFormat="1" applyFont="1" applyFill="1" applyBorder="1">
      <alignment vertical="center" wrapText="1"/>
    </xf>
    <xf fontId="22" fillId="0" borderId="0" numFmtId="0" xfId="0" applyFont="1">
      <alignment vertical="top" wrapText="1"/>
    </xf>
    <xf fontId="39" fillId="37" borderId="14" numFmtId="49" xfId="0" applyNumberFormat="1" applyFont="1" applyFill="1" applyBorder="1">
      <alignment horizontal="left" vertical="center"/>
    </xf>
    <xf fontId="39" fillId="37" borderId="14" numFmtId="0" xfId="0" applyFont="1" applyFill="1" applyBorder="1">
      <alignment horizontal="left" vertical="center"/>
    </xf>
    <xf fontId="39" fillId="37" borderId="15" numFmtId="0" xfId="0" applyFont="1" applyFill="1" applyBorder="1">
      <alignment horizontal="left" vertical="center"/>
    </xf>
    <xf fontId="39" fillId="37" borderId="13" numFmtId="0" xfId="0" applyFont="1" applyFill="1" applyBorder="1">
      <alignment horizontal="left" vertical="center"/>
    </xf>
    <xf fontId="0" fillId="0" borderId="0" numFmtId="0" xfId="0" applyFont="1">
      <alignment vertical="center"/>
    </xf>
    <xf fontId="0" fillId="0" borderId="0" numFmtId="49" xfId="0" applyNumberFormat="1" applyFont="1">
      <alignment vertical="center"/>
    </xf>
    <xf fontId="49" fillId="35" borderId="0" numFmtId="0" xfId="0" applyFont="1" applyFill="1">
      <alignment horizontal="center" vertical="center" wrapText="1"/>
    </xf>
    <xf fontId="22" fillId="0" borderId="0" numFmtId="0" xfId="0" applyFont="1">
      <alignment vertical="center" wrapText="1"/>
    </xf>
    <xf fontId="22" fillId="37" borderId="13" numFmtId="49" xfId="0" applyNumberFormat="1" applyFont="1" applyFill="1" applyBorder="1">
      <alignment horizontal="center" vertical="center" wrapText="1"/>
    </xf>
    <xf fontId="22" fillId="0" borderId="12" numFmtId="4" xfId="0" applyNumberFormat="1" applyFont="1" applyBorder="1">
      <alignment horizontal="right" vertical="center" wrapText="1"/>
    </xf>
    <xf fontId="22" fillId="0" borderId="0" numFmtId="0" xfId="0" applyFont="1">
      <alignment vertical="center" wrapText="1"/>
    </xf>
    <xf fontId="22" fillId="0" borderId="0" numFmtId="0" xfId="0" applyFont="1">
      <alignment vertical="center" wrapText="1"/>
    </xf>
    <xf fontId="47" fillId="0" borderId="12" numFmtId="4" xfId="0" applyNumberFormat="1" applyFont="1" applyBorder="1">
      <alignment horizontal="center" vertical="center" wrapText="1"/>
    </xf>
    <xf fontId="0" fillId="0" borderId="0" numFmtId="0" xfId="0" applyFont="1">
      <alignment vertical="center"/>
    </xf>
    <xf fontId="0" fillId="0" borderId="12" numFmtId="0" xfId="0" applyFont="1" applyBorder="1">
      <alignment horizontal="left" indent="1" vertical="center" wrapText="1"/>
    </xf>
    <xf fontId="70" fillId="0" borderId="14" numFmtId="49" xfId="0" applyNumberFormat="1" applyFont="1" applyBorder="1">
      <alignment horizontal="left" vertical="center" wrapText="1"/>
    </xf>
    <xf fontId="67" fillId="0" borderId="12" numFmtId="0" xfId="0" applyFont="1" applyBorder="1">
      <alignment horizontal="left" indent="2" vertical="center" wrapText="1"/>
    </xf>
    <xf fontId="67" fillId="0" borderId="12" numFmtId="49" xfId="0" applyNumberFormat="1" applyFont="1" applyBorder="1">
      <alignment horizontal="center" vertical="center" wrapText="1"/>
    </xf>
    <xf fontId="71" fillId="0" borderId="0" numFmtId="0" xfId="0" applyFont="1">
      <alignment vertical="center" wrapText="1"/>
    </xf>
    <xf fontId="22" fillId="0" borderId="0" numFmtId="0" xfId="0" applyFont="1">
      <alignment vertical="top"/>
    </xf>
    <xf fontId="22" fillId="0" borderId="0" numFmtId="0" xfId="0" applyFont="1">
      <alignment horizontal="right" vertical="top" wrapText="1"/>
    </xf>
    <xf fontId="22" fillId="0" borderId="17" numFmtId="0" xfId="0" applyFont="1" applyBorder="1">
      <alignment vertical="center" wrapText="1"/>
    </xf>
    <xf fontId="43" fillId="37" borderId="15" numFmtId="49" xfId="0" applyNumberFormat="1" applyFont="1" applyFill="1" applyBorder="1">
      <alignment horizontal="center" vertical="top"/>
    </xf>
    <xf fontId="22" fillId="0" borderId="23" numFmtId="0" xfId="0" applyFont="1" applyBorder="1">
      <alignment vertical="top" wrapText="1"/>
    </xf>
    <xf fontId="0" fillId="0" borderId="0" numFmtId="0" xfId="0" applyFont="1">
      <alignment horizontal="left" vertical="top" wrapText="1"/>
    </xf>
    <xf fontId="22" fillId="0" borderId="17" numFmtId="0" xfId="0" applyFont="1" applyBorder="1">
      <alignment vertical="top" wrapText="1"/>
    </xf>
    <xf fontId="22" fillId="0" borderId="0" numFmtId="0" xfId="0" applyFont="1">
      <alignment vertical="center" wrapText="1"/>
    </xf>
    <xf fontId="22" fillId="0" borderId="0" numFmtId="49" xfId="0" applyNumberFormat="1" applyFont="1">
      <alignment vertical="top"/>
    </xf>
    <xf fontId="38" fillId="0" borderId="0" numFmtId="0" xfId="0" applyFont="1">
      <alignment vertical="center" wrapText="1"/>
    </xf>
    <xf fontId="22" fillId="0" borderId="12" numFmtId="0" xfId="0" applyFont="1" applyBorder="1">
      <alignment vertical="center" wrapText="1"/>
    </xf>
    <xf fontId="22" fillId="0" borderId="0" numFmtId="49" xfId="0" applyNumberFormat="1" applyFont="1">
      <alignment horizontal="center" vertical="center" wrapText="1"/>
    </xf>
    <xf fontId="22" fillId="37" borderId="14" numFmtId="0" xfId="0" applyFont="1" applyFill="1" applyBorder="1">
      <alignment vertical="center" wrapText="1"/>
    </xf>
    <xf fontId="22" fillId="39" borderId="12" numFmtId="0" xfId="0" applyFont="1" applyFill="1" applyBorder="1">
      <alignment horizontal="left" indent="1" vertical="center" wrapText="1"/>
      <protection locked="0"/>
    </xf>
    <xf fontId="39" fillId="37" borderId="15" numFmtId="49" xfId="0" applyNumberFormat="1" applyFont="1" applyFill="1" applyBorder="1">
      <alignment horizontal="left" indent="2" vertical="center"/>
    </xf>
    <xf fontId="47" fillId="0" borderId="0" numFmtId="0" xfId="0" applyFont="1">
      <alignment vertical="center"/>
    </xf>
    <xf fontId="72" fillId="0" borderId="0" numFmtId="0" xfId="0" applyFont="1">
      <alignment vertical="center" wrapText="1"/>
    </xf>
    <xf fontId="41" fillId="35" borderId="0" numFmtId="0" xfId="0" applyFont="1" applyFill="1">
      <alignment horizontal="center" vertical="center" wrapText="1"/>
    </xf>
    <xf fontId="22" fillId="0" borderId="24" numFmtId="0" xfId="0" applyFont="1" applyBorder="1">
      <alignment vertical="center" wrapText="1"/>
    </xf>
    <xf fontId="36" fillId="0" borderId="0" numFmtId="0" xfId="0" applyFont="1">
      <alignment vertical="center" wrapText="1"/>
    </xf>
    <xf fontId="22" fillId="0" borderId="24" numFmtId="49" xfId="0" applyNumberFormat="1" applyFont="1" applyBorder="1">
      <alignment vertical="top"/>
    </xf>
    <xf fontId="47" fillId="0" borderId="24" numFmtId="0" xfId="0" applyFont="1" applyBorder="1">
      <alignment horizontal="center" vertical="center" wrapText="1"/>
    </xf>
    <xf fontId="47" fillId="0" borderId="24" numFmtId="0" xfId="0" applyFont="1" applyBorder="1">
      <alignment vertical="center" wrapText="1"/>
    </xf>
    <xf fontId="31" fillId="0" borderId="0" numFmtId="49" xfId="0" applyNumberFormat="1" applyFont="1">
      <alignment vertical="top"/>
    </xf>
    <xf fontId="0" fillId="0" borderId="24" numFmtId="49" xfId="0" applyNumberFormat="1" applyFont="1" applyBorder="1">
      <alignment vertical="top"/>
    </xf>
    <xf fontId="22" fillId="0" borderId="0" numFmtId="49" xfId="0" applyNumberFormat="1" applyFont="1">
      <alignment vertical="top"/>
    </xf>
    <xf fontId="22" fillId="0" borderId="0" numFmtId="49" xfId="0" applyNumberFormat="1" applyFont="1">
      <alignment vertical="center" wrapText="1"/>
    </xf>
    <xf fontId="31" fillId="0" borderId="0" numFmtId="0" xfId="0" applyFont="1">
      <alignment vertical="center" wrapText="1"/>
    </xf>
    <xf fontId="22" fillId="35" borderId="0" numFmtId="0" xfId="0" applyFont="1" applyFill="1">
      <alignment vertical="center" wrapText="1"/>
    </xf>
    <xf fontId="22" fillId="0" borderId="0" numFmtId="49" xfId="0" applyNumberFormat="1" applyFont="1">
      <alignment vertical="center" wrapText="1"/>
    </xf>
    <xf fontId="39" fillId="37" borderId="15" numFmtId="49" xfId="0" applyNumberFormat="1" applyFont="1" applyFill="1" applyBorder="1">
      <alignment horizontal="left" indent="4" vertical="center"/>
    </xf>
    <xf fontId="0" fillId="37" borderId="15" numFmtId="49" xfId="0" applyNumberFormat="1" applyFont="1" applyFill="1" applyBorder="1">
      <alignment horizontal="center" vertical="center" wrapText="1"/>
    </xf>
    <xf fontId="22" fillId="37" borderId="15" numFmtId="49" xfId="0" applyNumberFormat="1" applyFont="1" applyFill="1" applyBorder="1">
      <alignment horizontal="center" vertical="center" wrapText="1"/>
    </xf>
    <xf fontId="47" fillId="0" borderId="0" numFmtId="0" xfId="0" applyFont="1">
      <alignment vertical="center"/>
    </xf>
    <xf fontId="22" fillId="0" borderId="0" numFmtId="0" xfId="0" applyFont="1">
      <alignment vertical="top" wrapText="1"/>
    </xf>
    <xf fontId="22" fillId="0" borderId="12" numFmtId="49" xfId="0" applyNumberFormat="1" applyFont="1" applyBorder="1">
      <alignment horizontal="right" vertical="top"/>
    </xf>
    <xf fontId="22" fillId="0" borderId="17" numFmtId="49" xfId="0" applyNumberFormat="1" applyFont="1" applyBorder="1">
      <alignment horizontal="right" vertical="top"/>
    </xf>
    <xf fontId="39" fillId="37" borderId="15" numFmtId="49" xfId="0" applyNumberFormat="1" applyFont="1" applyFill="1" applyBorder="1">
      <alignment horizontal="left" indent="3" vertical="center"/>
    </xf>
    <xf fontId="0" fillId="0" borderId="0" numFmtId="49" xfId="0" applyNumberFormat="1" applyFont="1">
      <alignment vertical="top"/>
    </xf>
    <xf fontId="22" fillId="0" borderId="0" numFmtId="0" xfId="0" applyFont="1">
      <alignment vertical="center" wrapText="1"/>
    </xf>
    <xf fontId="38" fillId="0" borderId="0" numFmtId="49" xfId="0" applyNumberFormat="1" applyFont="1">
      <alignment vertical="top"/>
    </xf>
    <xf fontId="38" fillId="35" borderId="0" numFmtId="0" xfId="0" applyFont="1" applyFill="1">
      <alignment vertical="center" wrapText="1"/>
    </xf>
    <xf fontId="22" fillId="39" borderId="12" numFmtId="49" xfId="0" applyNumberFormat="1" applyFont="1" applyFill="1" applyBorder="1">
      <alignment horizontal="left" vertical="center" wrapText="1"/>
      <protection locked="0"/>
    </xf>
    <xf fontId="22" fillId="36" borderId="12" numFmtId="49" xfId="0" applyNumberFormat="1" applyFont="1" applyFill="1" applyBorder="1">
      <alignment horizontal="left" vertical="center" wrapText="1"/>
      <protection locked="0"/>
    </xf>
    <xf fontId="47" fillId="0" borderId="0" numFmtId="49" xfId="0" applyNumberFormat="1" applyFont="1">
      <alignment vertical="top"/>
    </xf>
    <xf fontId="47" fillId="0" borderId="0" numFmtId="49" xfId="0" applyNumberFormat="1" applyFont="1">
      <alignment vertical="top"/>
    </xf>
    <xf fontId="22" fillId="39" borderId="12" numFmtId="49" xfId="0" applyNumberFormat="1" applyFont="1" applyFill="1" applyBorder="1">
      <alignment horizontal="left" vertical="center" wrapText="1"/>
      <protection locked="0"/>
    </xf>
    <xf fontId="53" fillId="39" borderId="12" numFmtId="49" xfId="0" applyNumberFormat="1" applyFont="1" applyFill="1" applyBorder="1">
      <alignment horizontal="left" vertical="center" wrapText="1"/>
      <protection locked="0"/>
    </xf>
    <xf fontId="0" fillId="0" borderId="25" numFmtId="49" xfId="0" applyNumberFormat="1" applyFont="1" applyBorder="1">
      <alignment horizontal="center" vertical="center"/>
    </xf>
    <xf fontId="22" fillId="0" borderId="12" numFmtId="177" xfId="0" applyNumberFormat="1" applyFont="1" applyBorder="1">
      <alignment horizontal="right" vertical="center" wrapText="1"/>
    </xf>
    <xf fontId="53" fillId="39" borderId="14" numFmtId="49" xfId="0" applyNumberFormat="1" applyFont="1" applyFill="1" applyBorder="1">
      <alignment horizontal="left" vertical="center" wrapText="1"/>
      <protection locked="0"/>
    </xf>
    <xf fontId="22" fillId="35" borderId="12" numFmtId="0" xfId="0" applyFont="1" applyFill="1" applyBorder="1">
      <alignment horizontal="center" vertical="center" wrapText="1"/>
    </xf>
    <xf fontId="36" fillId="35" borderId="0" numFmtId="0" xfId="0" applyFont="1" applyFill="1">
      <alignment horizontal="center" vertical="center" wrapText="1"/>
    </xf>
    <xf fontId="0" fillId="0" borderId="12" numFmtId="0" xfId="0" applyFont="1" applyBorder="1">
      <alignment horizontal="left" vertical="center" wrapText="1"/>
    </xf>
    <xf fontId="22" fillId="35" borderId="0" numFmtId="0" xfId="0" applyFont="1" applyFill="1">
      <alignment horizontal="center" vertical="center" wrapText="1"/>
    </xf>
    <xf fontId="49" fillId="0" borderId="0" numFmtId="0" xfId="0" applyFont="1">
      <alignment vertical="top" wrapText="1"/>
    </xf>
    <xf fontId="22" fillId="35" borderId="26" numFmtId="0" xfId="0" applyFont="1" applyFill="1" applyBorder="1">
      <alignment horizontal="right" indent="1" vertical="center" wrapText="1"/>
    </xf>
    <xf fontId="0" fillId="35" borderId="26" numFmtId="0" xfId="0" applyFont="1" applyFill="1" applyBorder="1">
      <alignment horizontal="right" indent="1" vertical="center" wrapText="1"/>
    </xf>
    <xf fontId="22" fillId="0" borderId="0" numFmtId="0" xfId="0" applyFont="1">
      <alignment horizontal="left" indent="4" vertical="center" wrapText="1"/>
    </xf>
    <xf fontId="22" fillId="35" borderId="0" numFmtId="0" xfId="0" applyFont="1" applyFill="1">
      <alignment horizontal="center" vertical="center" wrapText="1"/>
    </xf>
    <xf fontId="39" fillId="37" borderId="15" numFmtId="49" xfId="0" applyNumberFormat="1" applyFont="1" applyFill="1" applyBorder="1">
      <alignment horizontal="left" vertical="center"/>
    </xf>
    <xf fontId="22" fillId="0" borderId="19" numFmtId="0" xfId="0" applyFont="1" applyBorder="1">
      <alignment vertical="center" wrapText="1"/>
    </xf>
    <xf fontId="22" fillId="0" borderId="0" numFmtId="0" xfId="0" applyFont="1">
      <alignment horizontal="left" indent="1" vertical="center" wrapText="1"/>
    </xf>
    <xf fontId="71" fillId="0" borderId="0" numFmtId="0" xfId="0" applyFont="1">
      <alignment vertical="center" wrapText="1"/>
    </xf>
    <xf fontId="0" fillId="35" borderId="14" numFmtId="49" xfId="0" applyNumberFormat="1" applyFont="1" applyFill="1" applyBorder="1">
      <alignment horizontal="center" vertical="center" wrapText="1"/>
    </xf>
    <xf fontId="39" fillId="37" borderId="27" numFmtId="49" xfId="0" applyNumberFormat="1" applyFont="1" applyFill="1" applyBorder="1">
      <alignment horizontal="left" indent="2" vertical="center"/>
    </xf>
    <xf fontId="53" fillId="36" borderId="12" numFmtId="49" xfId="0" applyNumberFormat="1" applyFont="1" applyFill="1" applyBorder="1">
      <alignment horizontal="left" vertical="center" wrapText="1"/>
      <protection locked="0"/>
    </xf>
    <xf fontId="22" fillId="0" borderId="19" numFmtId="49" xfId="0" applyNumberFormat="1" applyFont="1" applyBorder="1">
      <alignment vertical="top"/>
    </xf>
    <xf fontId="73" fillId="37" borderId="13" numFmtId="49" xfId="0" applyNumberFormat="1" applyFont="1" applyFill="1" applyBorder="1">
      <alignment horizontal="left" indent="1" vertical="center"/>
    </xf>
    <xf fontId="73" fillId="37" borderId="15" numFmtId="49" xfId="0" applyNumberFormat="1" applyFont="1" applyFill="1" applyBorder="1">
      <alignment horizontal="left" indent="1" vertical="center"/>
    </xf>
    <xf fontId="49" fillId="37" borderId="14" numFmtId="49" xfId="0" applyNumberFormat="1" applyFont="1" applyFill="1" applyBorder="1">
      <alignment horizontal="center" vertical="center"/>
    </xf>
    <xf fontId="73" fillId="37" borderId="15" numFmtId="49" xfId="0" applyNumberFormat="1" applyFont="1" applyFill="1" applyBorder="1">
      <alignment vertical="center"/>
    </xf>
    <xf fontId="0" fillId="41" borderId="12" numFmtId="0" xfId="0" applyFont="1" applyFill="1" applyBorder="1">
      <alignment horizontal="right" vertical="center"/>
    </xf>
    <xf fontId="32" fillId="0" borderId="0" numFmtId="0" xfId="0" applyFont="1">
      <alignment vertical="center" wrapText="1"/>
    </xf>
    <xf fontId="22" fillId="0" borderId="0" numFmtId="0" xfId="0" applyFont="1">
      <alignment vertical="center" wrapText="1"/>
    </xf>
    <xf fontId="33" fillId="35" borderId="0" numFmtId="0" xfId="0" applyFont="1" applyFill="1">
      <alignment vertical="center" wrapText="1"/>
    </xf>
    <xf fontId="31" fillId="0" borderId="0" numFmtId="0" xfId="0" applyFont="1">
      <alignment horizontal="center" vertical="center" wrapText="1"/>
    </xf>
    <xf fontId="0" fillId="0" borderId="0" numFmtId="0" xfId="0" applyFont="1">
      <alignment vertical="center" wrapText="1"/>
    </xf>
    <xf fontId="31" fillId="0" borderId="0" numFmtId="0" xfId="0" applyFont="1">
      <alignment horizontal="left" vertical="center" wrapText="1"/>
    </xf>
    <xf fontId="0" fillId="0" borderId="12" numFmtId="0" xfId="0" applyFont="1" applyBorder="1">
      <alignment horizontal="center" vertical="center" wrapText="1"/>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vertical="center"/>
    </xf>
    <xf fontId="46" fillId="0" borderId="0" numFmtId="0" xfId="0" applyFont="1">
      <alignment vertical="center" wrapText="1"/>
    </xf>
    <xf fontId="0" fillId="0" borderId="0" numFmtId="0" xfId="0" applyFont="1">
      <alignment vertical="center"/>
    </xf>
    <xf fontId="47" fillId="0" borderId="0" numFmtId="49" xfId="0" applyNumberFormat="1" applyFont="1">
      <alignment vertical="top"/>
    </xf>
    <xf fontId="74" fillId="0" borderId="0" numFmtId="0" xfId="0" applyFont="1">
      <alignment vertical="center" wrapText="1"/>
    </xf>
    <xf fontId="49" fillId="37" borderId="14" numFmtId="49" xfId="0" applyNumberFormat="1" applyFont="1" applyFill="1" applyBorder="1">
      <alignment horizontal="right" vertical="center" wrapText="1"/>
    </xf>
    <xf fontId="46" fillId="0" borderId="0" numFmtId="49" xfId="0" applyNumberFormat="1" applyFont="1">
      <alignment vertical="top"/>
    </xf>
    <xf fontId="0" fillId="0" borderId="0" numFmtId="49" xfId="0" applyNumberFormat="1" applyFont="1">
      <alignment vertical="top"/>
    </xf>
    <xf fontId="0" fillId="37" borderId="13" numFmtId="49" xfId="0" applyNumberFormat="1" applyFont="1" applyFill="1" applyBorder="1">
      <alignment horizontal="right" vertical="center" wrapText="1"/>
    </xf>
    <xf fontId="0" fillId="0" borderId="12" numFmtId="0" xfId="0" applyFont="1" applyBorder="1">
      <alignment horizontal="center" vertical="center" wrapText="1"/>
    </xf>
    <xf fontId="58" fillId="0" borderId="0" numFmtId="0" xfId="0" applyFont="1">
      <alignment horizontal="left" vertical="center" wrapText="1"/>
    </xf>
    <xf fontId="59" fillId="0" borderId="0" numFmtId="0" xfId="0" applyFont="1">
      <alignment vertical="center" wrapText="1"/>
    </xf>
    <xf fontId="60" fillId="35" borderId="0" numFmtId="0" xfId="0" applyFont="1" applyFill="1">
      <alignment vertical="center" wrapText="1"/>
    </xf>
    <xf fontId="61" fillId="35" borderId="0" numFmtId="0" xfId="0" applyFont="1" applyFill="1">
      <alignment horizontal="right" indent="1" vertical="center" wrapText="1"/>
    </xf>
    <xf fontId="60" fillId="0" borderId="0" numFmtId="0" xfId="0" applyFont="1">
      <alignment vertical="center" wrapText="1"/>
    </xf>
    <xf fontId="0" fillId="0" borderId="14" numFmtId="0" xfId="0" applyFont="1" applyBorder="1">
      <alignment horizontal="center" vertical="center" wrapText="1"/>
    </xf>
    <xf fontId="0" fillId="36" borderId="12" numFmtId="0" xfId="0" applyFont="1" applyFill="1" applyBorder="1">
      <alignment horizontal="right" vertical="center" wrapText="1"/>
      <protection locked="0"/>
    </xf>
    <xf fontId="0" fillId="39" borderId="12" numFmtId="3" xfId="0" applyNumberFormat="1" applyFont="1" applyFill="1" applyBorder="1">
      <alignment horizontal="right" vertical="center" wrapText="1"/>
      <protection locked="0"/>
    </xf>
    <xf fontId="0" fillId="0" borderId="12" numFmtId="49" xfId="0" applyNumberFormat="1" applyFont="1" applyBorder="1">
      <alignment horizontal="center" vertical="center" wrapText="1"/>
    </xf>
    <xf fontId="0" fillId="0" borderId="12" numFmtId="49" xfId="0" applyNumberFormat="1" applyFont="1" applyBorder="1">
      <alignment vertical="top" wrapText="1"/>
    </xf>
    <xf fontId="0" fillId="35" borderId="14" numFmtId="0" xfId="0" applyFont="1" applyFill="1" applyBorder="1">
      <alignment horizontal="left" indent="1" vertical="center" wrapText="1"/>
    </xf>
    <xf fontId="0" fillId="35" borderId="17" numFmtId="0" xfId="0" applyFont="1" applyFill="1" applyBorder="1">
      <alignment horizontal="left" vertical="center" wrapText="1"/>
    </xf>
    <xf fontId="0" fillId="35" borderId="12" numFmtId="0" xfId="0" applyFont="1" applyFill="1" applyBorder="1">
      <alignment horizontal="left" vertical="center" wrapText="1"/>
    </xf>
    <xf fontId="0" fillId="35" borderId="12" numFmtId="0" xfId="0" applyFont="1" applyFill="1" applyBorder="1">
      <alignment horizontal="left" indent="2" vertical="center" wrapText="1"/>
    </xf>
    <xf fontId="0" fillId="35" borderId="12" numFmtId="0" xfId="0" applyFont="1" applyFill="1" applyBorder="1">
      <alignment horizontal="center" vertical="center"/>
    </xf>
    <xf fontId="0" fillId="39" borderId="12" numFmtId="49" xfId="0" applyNumberFormat="1" applyFont="1" applyFill="1" applyBorder="1">
      <alignment horizontal="left" vertical="center" wrapText="1"/>
      <protection locked="0"/>
    </xf>
    <xf fontId="0" fillId="35" borderId="12" numFmtId="0" xfId="0" applyFont="1" applyFill="1" applyBorder="1">
      <alignment horizontal="left" indent="1" vertical="center" wrapText="1"/>
    </xf>
    <xf fontId="0" fillId="0" borderId="12" numFmtId="0" xfId="0" applyFont="1" applyBorder="1">
      <alignment horizontal="center" vertical="center" wrapText="1"/>
    </xf>
    <xf fontId="0" fillId="35" borderId="12" numFmtId="0" xfId="0" applyFont="1" applyFill="1" applyBorder="1">
      <alignment vertical="center" wrapText="1"/>
    </xf>
    <xf fontId="0" fillId="35" borderId="12" numFmtId="49" xfId="0" applyNumberFormat="1" applyFont="1" applyFill="1" applyBorder="1">
      <alignment horizontal="center" vertical="center"/>
    </xf>
    <xf fontId="0" fillId="35" borderId="12" numFmtId="0" xfId="0" applyFont="1" applyFill="1" applyBorder="1">
      <alignment horizontal="center" vertical="center" wrapText="1"/>
    </xf>
    <xf fontId="22" fillId="0" borderId="0" numFmtId="0" xfId="0" applyFont="1">
      <alignment vertical="center" wrapText="1"/>
    </xf>
    <xf fontId="35" fillId="35" borderId="0" numFmtId="49" xfId="0" applyNumberFormat="1" applyFont="1" applyFill="1">
      <alignment horizontal="center" vertical="center" wrapText="1"/>
    </xf>
    <xf fontId="31" fillId="0" borderId="0" numFmtId="0" xfId="0" applyFont="1">
      <alignment vertical="center" wrapText="1"/>
    </xf>
    <xf fontId="36" fillId="35" borderId="0" numFmtId="0" xfId="0" applyFont="1" applyFill="1">
      <alignment horizontal="center" vertical="center" wrapText="1"/>
    </xf>
    <xf fontId="36" fillId="0" borderId="0" numFmtId="0" xfId="0" applyFont="1">
      <alignment horizontal="center" vertical="center" wrapText="1"/>
    </xf>
    <xf fontId="41" fillId="0" borderId="0" numFmtId="0" xfId="0" applyFont="1">
      <alignment vertical="center" wrapText="1"/>
    </xf>
    <xf fontId="45" fillId="0" borderId="0" numFmtId="0" xfId="0" applyFont="1">
      <alignment horizontal="center" vertical="center" wrapText="1"/>
    </xf>
    <xf fontId="44" fillId="0" borderId="0" numFmtId="0" xfId="0" applyFont="1">
      <alignment vertical="center" wrapText="1"/>
    </xf>
    <xf fontId="0" fillId="35" borderId="0" numFmtId="0" xfId="0" applyFont="1" applyFill="1"/>
    <xf fontId="0" fillId="35" borderId="0" numFmtId="0" xfId="0" applyFont="1" applyFill="1">
      <alignment horizontal="center"/>
    </xf>
    <xf fontId="22" fillId="35" borderId="0" numFmtId="0" xfId="0" applyFont="1" applyFill="1">
      <alignment vertical="center" wrapText="1"/>
    </xf>
    <xf fontId="75" fillId="35" borderId="0" numFmtId="0" xfId="0" applyFont="1" applyFill="1">
      <alignment horizontal="center"/>
    </xf>
    <xf fontId="75" fillId="35" borderId="0" numFmtId="0" xfId="0" applyFont="1" applyFill="1"/>
    <xf fontId="76" fillId="35" borderId="0" numFmtId="0" xfId="0" applyFont="1" applyFill="1"/>
    <xf fontId="77" fillId="35" borderId="0" numFmtId="0" xfId="0" applyFont="1" applyFill="1">
      <alignment horizontal="right" vertical="center"/>
    </xf>
    <xf fontId="77" fillId="35" borderId="0" numFmtId="0" xfId="0" applyFont="1" applyFill="1">
      <alignment horizontal="right" vertical="top"/>
    </xf>
    <xf fontId="22" fillId="35" borderId="0" numFmtId="0" xfId="0" applyFont="1" applyFill="1">
      <alignment horizontal="center" vertical="center" wrapText="1"/>
    </xf>
    <xf fontId="35" fillId="35" borderId="0" numFmtId="0" xfId="0" applyFont="1" applyFill="1">
      <alignment horizontal="center" vertical="center"/>
    </xf>
    <xf fontId="22" fillId="0" borderId="12" numFmtId="0" xfId="0" applyFont="1" applyBorder="1">
      <alignment horizontal="center" vertical="center" wrapText="1"/>
    </xf>
    <xf fontId="44" fillId="0" borderId="0" numFmtId="0" xfId="0" applyFont="1">
      <alignment vertical="top" wrapText="1"/>
    </xf>
    <xf fontId="22" fillId="37" borderId="14" numFmtId="0" xfId="0" applyFont="1" applyFill="1" applyBorder="1">
      <alignment horizontal="center"/>
    </xf>
    <xf fontId="73" fillId="37" borderId="15" numFmtId="0" xfId="0" applyFont="1" applyFill="1" applyBorder="1">
      <alignment horizontal="left" vertical="center"/>
    </xf>
    <xf fontId="73" fillId="37" borderId="13" numFmtId="0" xfId="0" applyFont="1" applyFill="1" applyBorder="1">
      <alignment horizontal="left" vertical="center"/>
    </xf>
    <xf fontId="78" fillId="35" borderId="0" numFmtId="0" xfId="0" applyFont="1" applyFill="1">
      <alignment vertical="center"/>
    </xf>
    <xf fontId="78" fillId="35" borderId="0" numFmtId="0" xfId="0" applyFont="1" applyFill="1">
      <alignment vertical="center" wrapText="1"/>
    </xf>
    <xf fontId="22" fillId="35" borderId="12" numFmtId="49" xfId="0" applyNumberFormat="1" applyFont="1" applyFill="1" applyBorder="1">
      <alignment horizontal="center" vertical="center" wrapText="1"/>
    </xf>
    <xf fontId="22" fillId="35" borderId="12" numFmtId="0" xfId="0" applyFont="1" applyFill="1" applyBorder="1">
      <alignment horizontal="center" vertical="center" wrapText="1"/>
    </xf>
    <xf fontId="22" fillId="35" borderId="12" numFmtId="0" xfId="0" applyFont="1" applyFill="1" applyBorder="1">
      <alignment vertical="center" wrapText="1"/>
    </xf>
    <xf fontId="65" fillId="35" borderId="0" numFmtId="0" xfId="0" applyFont="1" applyFill="1"/>
    <xf fontId="51" fillId="35" borderId="0" numFmtId="0" xfId="0" applyFont="1" applyFill="1"/>
    <xf fontId="61" fillId="35" borderId="0" numFmtId="0" xfId="0" applyFont="1" applyFill="1"/>
    <xf fontId="61" fillId="35" borderId="0" numFmtId="0" xfId="0" applyFont="1" applyFill="1">
      <alignment horizontal="center"/>
    </xf>
    <xf fontId="58" fillId="0" borderId="0" numFmtId="0" xfId="0" applyFont="1">
      <alignment vertical="center" wrapText="1"/>
    </xf>
    <xf fontId="60" fillId="0" borderId="0" numFmtId="0" xfId="0" applyFont="1">
      <alignment vertical="center" wrapText="1"/>
    </xf>
    <xf fontId="60" fillId="35" borderId="0" numFmtId="0" xfId="0" applyFont="1" applyFill="1">
      <alignment vertical="center" wrapText="1"/>
    </xf>
    <xf fontId="60" fillId="35" borderId="0" numFmtId="0" xfId="0" applyFont="1" applyFill="1">
      <alignment horizontal="right" vertical="center"/>
    </xf>
    <xf fontId="60" fillId="35" borderId="0" numFmtId="0" xfId="0" applyFont="1" applyFill="1">
      <alignment horizontal="right" vertical="center" wrapText="1"/>
    </xf>
    <xf fontId="60" fillId="0" borderId="0" numFmtId="4" xfId="0" applyNumberFormat="1" applyFont="1">
      <alignment horizontal="right" vertical="center" wrapText="1"/>
    </xf>
    <xf fontId="60" fillId="0" borderId="0" numFmtId="0" xfId="0" applyFont="1">
      <alignment horizontal="left" indent="1" vertical="center" wrapText="1"/>
    </xf>
    <xf fontId="79" fillId="35" borderId="0" numFmtId="0" xfId="0" applyFont="1" applyFill="1">
      <alignment horizontal="center" vertical="center" wrapText="1"/>
    </xf>
    <xf fontId="35" fillId="35" borderId="0" numFmtId="0" xfId="0" applyFont="1" applyFill="1">
      <alignment horizontal="center" vertical="center" wrapText="1"/>
    </xf>
    <xf fontId="64" fillId="0" borderId="0" numFmtId="0" xfId="0" applyFont="1">
      <alignment vertical="center" wrapText="1"/>
    </xf>
    <xf fontId="47" fillId="0" borderId="0" numFmtId="0" xfId="0" applyFont="1">
      <alignment vertical="center" wrapText="1"/>
    </xf>
    <xf fontId="22" fillId="40" borderId="12" numFmtId="49" xfId="0" applyNumberFormat="1" applyFont="1" applyFill="1" applyBorder="1">
      <alignment horizontal="left" vertical="center" wrapText="1"/>
    </xf>
    <xf fontId="64" fillId="0" borderId="0" numFmtId="0" xfId="0" applyFont="1">
      <alignment horizontal="center" vertical="center" wrapText="1"/>
    </xf>
    <xf fontId="22" fillId="35" borderId="24" numFmtId="0" xfId="0" applyFont="1" applyFill="1" applyBorder="1">
      <alignment vertical="center" wrapText="1"/>
    </xf>
    <xf fontId="35" fillId="35" borderId="15" numFmtId="49" xfId="0" applyNumberFormat="1" applyFont="1" applyFill="1" applyBorder="1">
      <alignment horizontal="center" vertical="center" wrapText="1"/>
    </xf>
    <xf fontId="47" fillId="0" borderId="0" numFmtId="0" xfId="0" applyFont="1">
      <alignment horizontal="center" vertical="center" wrapText="1"/>
    </xf>
    <xf fontId="79" fillId="0" borderId="0" numFmtId="0" xfId="0" applyFont="1">
      <alignment horizontal="center" vertical="center" wrapText="1"/>
    </xf>
    <xf fontId="72" fillId="0" borderId="0" numFmtId="0" xfId="0" applyFont="1">
      <alignment vertical="center" wrapText="1"/>
    </xf>
    <xf fontId="72" fillId="0" borderId="12" numFmtId="49" xfId="0" applyNumberFormat="1" applyFont="1" applyBorder="1">
      <alignment horizontal="left" vertical="center" wrapText="1"/>
    </xf>
    <xf fontId="80" fillId="35" borderId="0" numFmtId="0" xfId="0" applyFont="1" applyFill="1">
      <alignment horizontal="center" vertical="center" wrapText="1"/>
    </xf>
    <xf fontId="72" fillId="0" borderId="17" numFmtId="49" xfId="0" applyNumberFormat="1" applyFont="1" applyBorder="1">
      <alignment horizontal="left" vertical="center" wrapText="1"/>
    </xf>
    <xf fontId="47" fillId="0" borderId="0" numFmtId="0" xfId="0" applyFont="1">
      <alignment vertical="center"/>
    </xf>
    <xf fontId="47" fillId="35" borderId="0" numFmtId="0" xfId="0" applyFont="1" applyFill="1"/>
    <xf fontId="47" fillId="35" borderId="0" numFmtId="0" xfId="0" applyFont="1" applyFill="1">
      <alignment vertical="center" wrapText="1"/>
    </xf>
    <xf fontId="47" fillId="0" borderId="0" numFmtId="0" xfId="0" applyFont="1">
      <alignment vertical="center" wrapText="1"/>
    </xf>
    <xf fontId="22" fillId="0" borderId="0" numFmtId="49" xfId="0" applyNumberFormat="1" applyFont="1">
      <alignment vertical="top"/>
    </xf>
    <xf fontId="22" fillId="0" borderId="0" numFmtId="0" xfId="0" applyFont="1">
      <alignment vertical="center" wrapText="1"/>
    </xf>
    <xf fontId="36" fillId="35" borderId="0" numFmtId="0" xfId="0" applyFont="1" applyFill="1">
      <alignment horizontal="center" vertical="center" wrapText="1"/>
    </xf>
    <xf fontId="41" fillId="0" borderId="0" numFmtId="0" xfId="0" applyFont="1">
      <alignment vertical="center" wrapText="1"/>
    </xf>
    <xf fontId="22" fillId="0" borderId="12" numFmtId="49" xfId="0" applyNumberFormat="1" applyFont="1" applyBorder="1">
      <alignment horizontal="left" vertical="center" wrapText="1"/>
    </xf>
    <xf fontId="22" fillId="0" borderId="0" numFmtId="0" xfId="0" applyFont="1">
      <alignment vertical="center" wrapText="1"/>
    </xf>
    <xf fontId="47" fillId="0" borderId="0" numFmtId="49" xfId="0" applyNumberFormat="1" applyFont="1">
      <alignment vertical="center" wrapText="1"/>
    </xf>
    <xf fontId="47" fillId="0" borderId="0" numFmtId="0" xfId="0" applyFont="1">
      <alignment vertical="center" wrapText="1"/>
    </xf>
    <xf fontId="22" fillId="0" borderId="12" numFmtId="0" xfId="0" applyFont="1" applyBorder="1">
      <alignment horizontal="center" vertical="center" wrapText="1"/>
    </xf>
    <xf fontId="22" fillId="37" borderId="15" numFmtId="14" xfId="0" applyNumberFormat="1" applyFont="1" applyFill="1" applyBorder="1">
      <alignment horizontal="center" vertical="center" wrapText="1"/>
    </xf>
    <xf fontId="22" fillId="37" borderId="15" numFmtId="49" xfId="0" applyNumberFormat="1" applyFont="1" applyFill="1" applyBorder="1">
      <alignment horizontal="center" vertical="center" wrapText="1"/>
    </xf>
    <xf fontId="81" fillId="37" borderId="15" numFmtId="14" xfId="0" applyNumberFormat="1" applyFont="1" applyFill="1" applyBorder="1">
      <alignment horizontal="center" vertical="center" wrapText="1"/>
    </xf>
    <xf fontId="47" fillId="0" borderId="0" numFmtId="0" xfId="0" applyFont="1">
      <alignment horizontal="left" vertical="center" wrapText="1"/>
    </xf>
    <xf fontId="47" fillId="0" borderId="0" numFmtId="49" xfId="0" applyNumberFormat="1" applyFont="1">
      <alignment horizontal="left" vertical="center" wrapText="1"/>
    </xf>
    <xf fontId="47" fillId="0" borderId="0" numFmtId="0" xfId="0" applyFont="1">
      <alignment vertical="center" wrapText="1"/>
    </xf>
    <xf fontId="53" fillId="0" borderId="12" numFmtId="49" xfId="0" applyNumberFormat="1" applyFont="1" applyBorder="1">
      <alignment horizontal="left" vertical="center" wrapText="1"/>
    </xf>
    <xf fontId="22" fillId="40" borderId="12" numFmtId="14" xfId="0" applyNumberFormat="1" applyFont="1" applyFill="1" applyBorder="1">
      <alignment horizontal="center" vertical="center" wrapText="1"/>
    </xf>
    <xf fontId="22" fillId="0" borderId="12" numFmtId="0" xfId="0" applyFont="1" applyBorder="1">
      <alignment horizontal="center" vertical="center" wrapText="1"/>
    </xf>
    <xf fontId="22" fillId="0" borderId="0" numFmtId="0" xfId="0" applyFont="1">
      <alignment horizontal="center" vertical="center" wrapText="1"/>
    </xf>
    <xf fontId="22" fillId="0" borderId="12" numFmtId="0" xfId="0" applyFont="1" applyBorder="1">
      <alignment horizontal="center" vertical="center" wrapText="1"/>
    </xf>
    <xf fontId="22" fillId="40" borderId="12" numFmtId="49" xfId="0" applyNumberFormat="1" applyFont="1" applyFill="1" applyBorder="1">
      <alignment horizontal="center" vertical="center" wrapText="1"/>
    </xf>
    <xf fontId="82" fillId="0" borderId="0" numFmtId="0" xfId="0" applyFont="1">
      <alignment horizontal="center" vertical="center" wrapText="1"/>
    </xf>
    <xf fontId="36" fillId="0" borderId="0" numFmtId="0" xfId="0" applyFont="1">
      <alignment horizontal="center" vertical="center" wrapText="1"/>
    </xf>
    <xf fontId="22" fillId="0" borderId="12" numFmtId="49" xfId="0" applyNumberFormat="1" applyFont="1" applyBorder="1">
      <alignment horizontal="center" vertical="center" wrapText="1"/>
    </xf>
    <xf fontId="0" fillId="35" borderId="14" numFmtId="0" xfId="0" applyFont="1" applyFill="1" applyBorder="1">
      <alignment horizontal="left" vertical="center" wrapText="1"/>
    </xf>
    <xf fontId="49" fillId="37" borderId="15" numFmtId="49" xfId="0" applyNumberFormat="1" applyFont="1" applyFill="1" applyBorder="1">
      <alignment horizontal="center" vertical="center"/>
    </xf>
    <xf fontId="32" fillId="0" borderId="0" numFmtId="0" xfId="0" applyFont="1">
      <alignment vertical="center" wrapText="1"/>
    </xf>
    <xf fontId="31" fillId="0" borderId="0" numFmtId="0" xfId="0" applyFont="1">
      <alignment horizontal="center" vertical="center" wrapText="1"/>
    </xf>
    <xf fontId="22" fillId="0" borderId="0" numFmtId="0" xfId="0" applyFont="1">
      <alignment horizontal="center" vertical="center" wrapText="1"/>
    </xf>
    <xf fontId="22" fillId="0" borderId="0" numFmtId="0" xfId="0" applyFont="1">
      <alignment vertical="center" wrapText="1"/>
    </xf>
    <xf fontId="46" fillId="0" borderId="0" numFmtId="0" xfId="0" applyFont="1">
      <alignment horizontal="center" vertical="center" wrapText="1"/>
    </xf>
    <xf fontId="83" fillId="0" borderId="0" numFmtId="0" xfId="0" applyFont="1">
      <alignment vertical="center" wrapText="1"/>
    </xf>
    <xf fontId="46" fillId="0" borderId="0" numFmtId="49" xfId="0" applyNumberFormat="1" applyFont="1">
      <alignment horizontal="center" vertical="center" wrapText="1"/>
    </xf>
    <xf fontId="46" fillId="0" borderId="0" numFmtId="0" xfId="0" applyFont="1">
      <alignment vertical="center" wrapText="1"/>
    </xf>
    <xf fontId="22" fillId="0" borderId="0" numFmtId="49" xfId="0" applyNumberFormat="1" applyFont="1">
      <alignment horizontal="center" vertical="top" wrapText="1"/>
    </xf>
    <xf fontId="22" fillId="0" borderId="12" numFmtId="49" xfId="0" applyNumberFormat="1" applyFont="1" applyBorder="1">
      <alignment horizontal="center" vertical="center" wrapText="1"/>
    </xf>
    <xf fontId="22" fillId="39" borderId="12" numFmtId="49" xfId="0" applyNumberFormat="1" applyFont="1" applyFill="1" applyBorder="1">
      <alignment vertical="center" wrapText="1"/>
      <protection locked="0"/>
    </xf>
    <xf fontId="22" fillId="36" borderId="12" numFmtId="4" xfId="0" applyNumberFormat="1" applyFont="1" applyFill="1" applyBorder="1">
      <alignment horizontal="right" vertical="center" wrapText="1"/>
      <protection locked="0"/>
    </xf>
    <xf fontId="22" fillId="0" borderId="13" numFmtId="0" xfId="0" applyFont="1" applyBorder="1">
      <alignment vertical="top" wrapText="1"/>
    </xf>
    <xf fontId="84" fillId="0" borderId="0" numFmtId="0" xfId="0" applyFont="1">
      <alignment vertical="center" wrapText="1"/>
    </xf>
    <xf fontId="54" fillId="0" borderId="0" numFmtId="0" xfId="0" applyFont="1">
      <alignment vertical="center" wrapText="1"/>
    </xf>
    <xf fontId="22" fillId="36" borderId="12" numFmtId="178" xfId="0" applyNumberFormat="1" applyFont="1" applyFill="1" applyBorder="1">
      <alignment horizontal="right" vertical="center" wrapText="1"/>
      <protection locked="0"/>
    </xf>
    <xf fontId="22" fillId="0" borderId="28" numFmtId="0" xfId="0" applyFont="1" applyBorder="1">
      <alignment horizontal="center" vertical="center" wrapText="1"/>
    </xf>
    <xf fontId="22" fillId="39" borderId="12" numFmtId="0" xfId="0" applyFont="1" applyFill="1" applyBorder="1">
      <alignment horizontal="left" indent="2" vertical="center" wrapText="1"/>
      <protection locked="0"/>
    </xf>
    <xf fontId="47" fillId="0" borderId="0" numFmtId="49" xfId="0" applyNumberFormat="1" applyFont="1">
      <alignment horizontal="center" vertical="center" wrapText="1"/>
    </xf>
    <xf fontId="47" fillId="0" borderId="28" numFmtId="0" xfId="0" applyFont="1" applyBorder="1">
      <alignment horizontal="center" vertical="center" wrapText="1"/>
    </xf>
    <xf fontId="47" fillId="0" borderId="12" numFmtId="0" xfId="0" applyFont="1" applyBorder="1">
      <alignment horizontal="left" indent="2" vertical="center" wrapText="1"/>
    </xf>
    <xf fontId="47" fillId="0" borderId="12" numFmtId="0" xfId="0" applyFont="1" applyBorder="1">
      <alignment horizontal="center" vertical="center" wrapText="1"/>
    </xf>
    <xf fontId="47" fillId="0" borderId="12" numFmtId="0" xfId="0" applyFont="1" applyBorder="1">
      <alignment vertical="center" wrapText="1"/>
    </xf>
    <xf fontId="22" fillId="0" borderId="12" numFmtId="0" xfId="0" applyFont="1" applyBorder="1">
      <alignment horizontal="left" indent="3" vertical="center" wrapText="1"/>
    </xf>
    <xf fontId="22" fillId="39" borderId="12" numFmtId="49" xfId="0" applyNumberFormat="1" applyFont="1" applyFill="1" applyBorder="1">
      <alignment horizontal="center" vertical="center" wrapText="1"/>
      <protection locked="0"/>
    </xf>
    <xf fontId="22" fillId="36" borderId="12" numFmtId="0" xfId="0" applyFont="1" applyFill="1" applyBorder="1">
      <alignment horizontal="left" vertical="center" wrapText="1"/>
      <protection locked="0"/>
    </xf>
    <xf fontId="45" fillId="0" borderId="0" numFmtId="0" xfId="0" applyFont="1">
      <alignment vertical="center" wrapText="1"/>
    </xf>
    <xf fontId="22" fillId="39" borderId="12" numFmtId="4" xfId="0" applyNumberFormat="1" applyFont="1" applyFill="1" applyBorder="1">
      <alignment horizontal="right" vertical="center" wrapText="1"/>
      <protection locked="0"/>
    </xf>
    <xf fontId="22" fillId="34" borderId="12" numFmtId="4" xfId="0" applyNumberFormat="1" applyFont="1" applyFill="1" applyBorder="1">
      <alignment horizontal="right" vertical="center" wrapText="1"/>
    </xf>
    <xf fontId="22" fillId="0" borderId="12" numFmtId="0" xfId="0" applyFont="1" applyBorder="1">
      <alignment horizontal="left" indent="1" vertical="center" wrapText="1"/>
    </xf>
    <xf fontId="72" fillId="0" borderId="0" numFmtId="49" xfId="0" applyNumberFormat="1" applyFont="1">
      <alignment horizontal="center" vertical="center" wrapText="1"/>
    </xf>
    <xf fontId="72" fillId="0" borderId="28" numFmtId="49" xfId="0" applyNumberFormat="1" applyFont="1" applyBorder="1">
      <alignment horizontal="center" vertical="center" wrapText="1"/>
    </xf>
    <xf fontId="72" fillId="0" borderId="12" numFmtId="0" xfId="0" applyFont="1" applyBorder="1">
      <alignment horizontal="left" indent="2" vertical="center" wrapText="1"/>
    </xf>
    <xf fontId="72" fillId="0" borderId="12" numFmtId="0" xfId="0" applyFont="1" applyBorder="1">
      <alignment horizontal="center" vertical="center" wrapText="1"/>
    </xf>
    <xf fontId="72" fillId="0" borderId="12" numFmtId="0" xfId="0" applyFont="1" applyBorder="1">
      <alignment vertical="center" wrapText="1"/>
    </xf>
    <xf fontId="85" fillId="0" borderId="0" numFmtId="0" xfId="0" applyFont="1">
      <alignment vertical="center" wrapText="1"/>
    </xf>
    <xf fontId="63" fillId="0" borderId="0" numFmtId="0" xfId="0" applyFont="1">
      <alignment vertical="center" wrapText="1"/>
    </xf>
    <xf fontId="72" fillId="0" borderId="28" numFmtId="0" xfId="0" applyFont="1" applyBorder="1">
      <alignment horizontal="center" vertical="center" wrapText="1"/>
    </xf>
    <xf fontId="72" fillId="0" borderId="12" numFmtId="0" xfId="0" applyFont="1" applyBorder="1">
      <alignment horizontal="left" indent="3" vertical="center" wrapText="1"/>
    </xf>
    <xf fontId="72" fillId="0" borderId="12" numFmtId="4" xfId="0" applyNumberFormat="1" applyFont="1" applyBorder="1">
      <alignment horizontal="right" vertical="center" wrapText="1"/>
    </xf>
    <xf fontId="22" fillId="37" borderId="14" numFmtId="49" xfId="0" applyNumberFormat="1" applyFont="1" applyFill="1" applyBorder="1">
      <alignment vertical="center" wrapText="1"/>
    </xf>
    <xf fontId="39" fillId="37" borderId="15" numFmtId="49" xfId="0" applyNumberFormat="1" applyFont="1" applyFill="1" applyBorder="1">
      <alignment horizontal="left" indent="2" vertical="center"/>
    </xf>
    <xf fontId="22" fillId="37" borderId="15" numFmtId="0" xfId="0" applyFont="1" applyFill="1" applyBorder="1">
      <alignment vertical="center" wrapText="1"/>
    </xf>
    <xf fontId="46" fillId="37" borderId="13" numFmtId="0" xfId="0" applyFont="1" applyFill="1" applyBorder="1">
      <alignment vertical="center" wrapText="1"/>
    </xf>
    <xf fontId="22" fillId="0" borderId="0" numFmtId="14" xfId="0" applyNumberFormat="1" applyFont="1">
      <alignment horizontal="center" vertical="center" wrapText="1"/>
    </xf>
    <xf fontId="49" fillId="0" borderId="0" numFmtId="49" xfId="0" applyNumberFormat="1" applyFont="1">
      <alignment horizontal="center" vertical="center"/>
    </xf>
    <xf fontId="22" fillId="0" borderId="12" numFmtId="0" xfId="0" applyFont="1" applyBorder="1">
      <alignment horizontal="left" indent="2" vertical="center" wrapText="1"/>
    </xf>
    <xf fontId="22" fillId="39" borderId="12" numFmtId="178" xfId="0" applyNumberFormat="1" applyFont="1" applyFill="1" applyBorder="1">
      <alignment horizontal="right" vertical="center" wrapText="1"/>
      <protection locked="0"/>
    </xf>
    <xf fontId="22" fillId="0" borderId="17" numFmtId="0" xfId="0" applyFont="1" applyBorder="1">
      <alignment horizontal="center" vertical="center" wrapText="1"/>
    </xf>
    <xf fontId="22" fillId="34" borderId="17" numFmtId="4" xfId="0" applyNumberFormat="1" applyFont="1" applyFill="1" applyBorder="1">
      <alignment horizontal="right" vertical="center" wrapText="1"/>
    </xf>
    <xf fontId="39" fillId="37" borderId="15" numFmtId="49" xfId="0" applyNumberFormat="1" applyFont="1" applyFill="1" applyBorder="1">
      <alignment horizontal="left" indent="1" vertical="center"/>
    </xf>
    <xf fontId="22" fillId="0" borderId="0" numFmtId="0" xfId="0" applyFont="1">
      <alignment horizontal="left" vertical="center" wrapText="1"/>
    </xf>
    <xf fontId="22" fillId="0" borderId="0" numFmtId="0" xfId="0" applyFont="1">
      <alignment vertical="center"/>
    </xf>
    <xf fontId="0" fillId="0" borderId="0" numFmtId="0" xfId="0" applyFont="1">
      <alignment vertical="center"/>
    </xf>
    <xf fontId="46" fillId="0" borderId="0" numFmtId="0" xfId="0" applyFont="1">
      <alignment vertical="center"/>
    </xf>
    <xf fontId="22" fillId="0" borderId="0" numFmtId="0" xfId="0" applyFont="1">
      <alignment vertical="center"/>
    </xf>
    <xf fontId="86" fillId="0" borderId="0" numFmtId="0" xfId="0" applyFont="1">
      <alignment vertical="center"/>
    </xf>
    <xf fontId="40" fillId="0" borderId="0" numFmtId="0" xfId="0" applyFont="1">
      <alignment vertical="center"/>
    </xf>
    <xf fontId="22" fillId="0" borderId="0" numFmtId="0" xfId="0" applyFont="1">
      <alignment vertical="center" wrapText="1"/>
    </xf>
    <xf fontId="40" fillId="0" borderId="0" numFmtId="0" xfId="0" applyFont="1">
      <alignment vertical="center"/>
    </xf>
    <xf fontId="86" fillId="0" borderId="0" numFmtId="0" xfId="0" applyFont="1">
      <alignment vertical="center"/>
    </xf>
    <xf fontId="52" fillId="0" borderId="0" numFmtId="0" xfId="0" applyFont="1">
      <alignment vertical="center"/>
    </xf>
    <xf fontId="22" fillId="0" borderId="0" numFmtId="0" xfId="0" applyFont="1">
      <alignment horizontal="center" vertical="center" wrapText="1"/>
    </xf>
    <xf fontId="35" fillId="0" borderId="0" numFmtId="49" xfId="0" applyNumberFormat="1" applyFont="1">
      <alignment horizontal="center" vertical="center" wrapText="1"/>
    </xf>
    <xf fontId="35" fillId="0" borderId="12" numFmtId="49" xfId="0" applyNumberFormat="1" applyFont="1" applyBorder="1">
      <alignment horizontal="center" vertical="center" wrapText="1"/>
    </xf>
    <xf fontId="46" fillId="0" borderId="0" numFmtId="0" xfId="0" applyFont="1">
      <alignment vertical="center"/>
    </xf>
    <xf fontId="0" fillId="0" borderId="0" numFmtId="0" xfId="0" applyFont="1">
      <alignment vertical="center"/>
    </xf>
    <xf fontId="47" fillId="0" borderId="0" numFmtId="0" xfId="0" applyFont="1">
      <alignment horizontal="center" vertical="center"/>
    </xf>
    <xf fontId="22" fillId="0" borderId="0" numFmtId="0" xfId="0" applyFont="1">
      <alignment horizontal="center" vertical="center" wrapText="1"/>
    </xf>
    <xf fontId="22" fillId="37" borderId="14" numFmtId="0" xfId="0" applyFont="1" applyFill="1" applyBorder="1">
      <alignment horizontal="center" vertical="center" wrapText="1"/>
    </xf>
    <xf fontId="22" fillId="37" borderId="15" numFmtId="49" xfId="0" applyNumberFormat="1" applyFont="1" applyFill="1" applyBorder="1">
      <alignment horizontal="center" vertical="center" wrapText="1"/>
    </xf>
    <xf fontId="0" fillId="37" borderId="13" numFmtId="0" xfId="0" applyFont="1" applyFill="1" applyBorder="1">
      <alignment vertical="center"/>
    </xf>
    <xf fontId="22" fillId="0" borderId="17" numFmtId="49" xfId="0" applyNumberFormat="1" applyFont="1" applyBorder="1">
      <alignment horizontal="center" vertical="center" wrapText="1"/>
    </xf>
    <xf fontId="75" fillId="0" borderId="12" numFmtId="49" xfId="0" applyNumberFormat="1" applyFont="1" applyBorder="1">
      <alignment horizontal="left" indent="1" vertical="center" wrapText="1"/>
    </xf>
    <xf fontId="46" fillId="0" borderId="0" numFmtId="0" xfId="0" applyFont="1">
      <alignment vertical="center"/>
    </xf>
    <xf fontId="74" fillId="0" borderId="0" numFmtId="0" xfId="0" applyFont="1">
      <alignment vertical="center"/>
    </xf>
    <xf fontId="0" fillId="0" borderId="0" numFmtId="0" xfId="0" applyFont="1">
      <alignment vertical="center"/>
    </xf>
    <xf fontId="39" fillId="37" borderId="13" numFmtId="49" xfId="0" applyNumberFormat="1" applyFont="1" applyFill="1" applyBorder="1">
      <alignment horizontal="left" indent="1" vertical="center"/>
    </xf>
    <xf fontId="49" fillId="37" borderId="13" numFmtId="49" xfId="0" applyNumberFormat="1" applyFont="1" applyFill="1" applyBorder="1">
      <alignment horizontal="right" vertical="center" wrapText="1"/>
    </xf>
    <xf fontId="75" fillId="42" borderId="0" numFmtId="0" xfId="0" applyFont="1" applyFill="1">
      <alignment vertical="top"/>
    </xf>
    <xf fontId="31" fillId="0" borderId="0" numFmtId="49" xfId="0" applyNumberFormat="1" applyFont="1">
      <alignment horizontal="center" vertical="center" wrapText="1"/>
    </xf>
    <xf fontId="47" fillId="0" borderId="0" numFmtId="0" xfId="0" applyFont="1">
      <alignment vertical="center" wrapText="1"/>
    </xf>
    <xf fontId="31" fillId="0" borderId="0" numFmtId="0" xfId="0" applyFont="1">
      <alignment vertical="center" wrapText="1"/>
    </xf>
    <xf fontId="22" fillId="0" borderId="0" numFmtId="0" xfId="0" applyFont="1">
      <alignment horizontal="center" vertical="center" wrapText="1"/>
    </xf>
    <xf fontId="49" fillId="0" borderId="0" numFmtId="0" xfId="0" applyFont="1">
      <alignment horizontal="center" vertical="center" wrapText="1"/>
    </xf>
    <xf fontId="31" fillId="0" borderId="0" numFmtId="49" xfId="0" applyNumberFormat="1" applyFont="1">
      <alignment horizontal="center" vertical="center" wrapText="1"/>
    </xf>
    <xf fontId="22" fillId="0" borderId="0" numFmtId="4" xfId="0" applyNumberFormat="1" applyFont="1">
      <alignment horizontal="right" vertical="center" wrapText="1"/>
    </xf>
    <xf fontId="49" fillId="0" borderId="0" numFmtId="9" xfId="0" applyNumberFormat="1" applyFont="1">
      <alignment horizontal="center" vertical="center" wrapText="1"/>
    </xf>
    <xf fontId="71" fillId="0" borderId="0" numFmtId="0" xfId="0" applyFont="1">
      <alignment vertical="center" wrapText="1"/>
    </xf>
    <xf fontId="47" fillId="0" borderId="0" numFmtId="0" xfId="0" applyFont="1">
      <alignment vertical="center" wrapText="1"/>
    </xf>
    <xf fontId="31" fillId="0" borderId="0" numFmtId="0" xfId="0" applyFont="1">
      <alignment vertical="center" wrapText="1"/>
    </xf>
    <xf fontId="63" fillId="0" borderId="0" numFmtId="49" xfId="0" applyNumberFormat="1" applyFont="1">
      <alignment horizontal="center" vertical="center" wrapText="1"/>
    </xf>
    <xf fontId="63" fillId="0" borderId="0" numFmtId="0" xfId="0" applyFont="1">
      <alignment vertical="center" wrapText="1"/>
    </xf>
    <xf fontId="0" fillId="0" borderId="0" numFmtId="0" xfId="0" applyFont="1">
      <alignment vertical="top"/>
    </xf>
    <xf fontId="0" fillId="0" borderId="0" numFmtId="49" xfId="0" applyNumberFormat="1" applyFont="1">
      <alignment vertical="top"/>
    </xf>
    <xf fontId="47" fillId="0" borderId="0" numFmtId="49" xfId="0" applyNumberFormat="1" applyFont="1">
      <alignment vertical="top"/>
    </xf>
    <xf fontId="46" fillId="0" borderId="0" numFmtId="49" xfId="0" applyNumberFormat="1" applyFont="1">
      <alignment vertical="top"/>
    </xf>
    <xf fontId="47" fillId="0" borderId="0" numFmtId="49" xfId="0" applyNumberFormat="1" applyFont="1">
      <alignment vertical="top"/>
    </xf>
    <xf fontId="46" fillId="0" borderId="0" numFmtId="49" xfId="0" applyNumberFormat="1" applyFont="1">
      <alignment vertical="top"/>
    </xf>
    <xf fontId="46" fillId="0" borderId="0" numFmtId="49" xfId="0" applyNumberFormat="1" applyFont="1">
      <alignment vertical="top"/>
    </xf>
    <xf fontId="46" fillId="0" borderId="0" numFmtId="0" xfId="0" applyFont="1">
      <alignment vertical="top"/>
    </xf>
    <xf fontId="74" fillId="0" borderId="0" numFmtId="0" xfId="0" applyFont="1">
      <alignment vertical="top"/>
    </xf>
    <xf fontId="87" fillId="0" borderId="0" numFmtId="0" xfId="0" applyFont="1">
      <alignment vertical="top"/>
    </xf>
    <xf fontId="46" fillId="0" borderId="0" numFmtId="0" xfId="0" applyFont="1">
      <alignment horizontal="center" vertical="center" wrapText="1"/>
    </xf>
    <xf fontId="47" fillId="0" borderId="0" numFmtId="0" xfId="0" applyFont="1">
      <alignment horizontal="center" vertical="center" wrapText="1"/>
    </xf>
    <xf fontId="47" fillId="0" borderId="12" numFmtId="0" xfId="0" applyFont="1" applyBorder="1">
      <alignment horizontal="left" vertical="center" wrapText="1"/>
    </xf>
    <xf fontId="47" fillId="0" borderId="12" numFmtId="0" xfId="0" applyFont="1" applyBorder="1">
      <alignment vertical="center" wrapText="1"/>
    </xf>
    <xf fontId="0" fillId="0" borderId="13" numFmtId="49" xfId="0" applyNumberFormat="1" applyFont="1" applyBorder="1">
      <alignment horizontal="center" vertical="center" wrapText="1"/>
    </xf>
    <xf fontId="0" fillId="0" borderId="12" numFmtId="49" xfId="0" applyNumberFormat="1" applyFont="1" applyBorder="1">
      <alignment horizontal="center" vertical="center"/>
    </xf>
    <xf fontId="0" fillId="34" borderId="12" numFmtId="4" xfId="0" applyNumberFormat="1" applyFont="1" applyFill="1" applyBorder="1">
      <alignment horizontal="right" vertical="center" wrapText="1"/>
    </xf>
    <xf fontId="0" fillId="0" borderId="12" numFmtId="0" xfId="0" applyFont="1" applyBorder="1">
      <alignment vertical="center" wrapText="1"/>
    </xf>
    <xf fontId="0" fillId="0" borderId="29" numFmtId="49" xfId="0" applyNumberFormat="1" applyFont="1" applyBorder="1">
      <alignment horizontal="center" vertical="center" wrapText="1"/>
    </xf>
    <xf fontId="0" fillId="39" borderId="12" numFmtId="4" xfId="0" applyNumberFormat="1" applyFont="1" applyFill="1" applyBorder="1">
      <alignment horizontal="right" vertical="center" wrapText="1"/>
      <protection locked="0"/>
    </xf>
    <xf fontId="0" fillId="39" borderId="12" numFmtId="49" xfId="0" applyNumberFormat="1" applyFont="1" applyFill="1" applyBorder="1">
      <alignment horizontal="center" vertical="center" wrapText="1"/>
      <protection locked="0"/>
    </xf>
    <xf fontId="46" fillId="0" borderId="12" numFmtId="4" xfId="0" applyNumberFormat="1" applyFont="1" applyBorder="1">
      <alignment horizontal="right" vertical="center" wrapText="1"/>
    </xf>
    <xf fontId="0" fillId="37" borderId="30" numFmtId="49" xfId="0" applyNumberFormat="1" applyFont="1" applyFill="1" applyBorder="1">
      <alignment horizontal="center" vertical="center"/>
    </xf>
    <xf fontId="0" fillId="37" borderId="15" numFmtId="49" xfId="0" applyNumberFormat="1" applyFont="1" applyFill="1" applyBorder="1">
      <alignment horizontal="center" vertical="center"/>
    </xf>
    <xf fontId="39" fillId="37" borderId="15" numFmtId="49" xfId="0" applyNumberFormat="1" applyFont="1" applyFill="1" applyBorder="1">
      <alignment horizontal="left" vertical="center"/>
    </xf>
    <xf fontId="39" fillId="37" borderId="13" numFmtId="49" xfId="0" applyNumberFormat="1" applyFont="1" applyFill="1" applyBorder="1">
      <alignment horizontal="left" indent="1" vertical="center"/>
    </xf>
    <xf fontId="39" fillId="37" borderId="14" numFmtId="49" xfId="0" applyNumberFormat="1" applyFont="1" applyFill="1" applyBorder="1">
      <alignment horizontal="left" vertical="center"/>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vertical="center"/>
    </xf>
    <xf fontId="39" fillId="37" borderId="13" numFmtId="49" xfId="0" applyNumberFormat="1" applyFont="1" applyFill="1" applyBorder="1">
      <alignment horizontal="left" indent="1" vertical="center"/>
    </xf>
    <xf fontId="39" fillId="0" borderId="12" numFmtId="0" xfId="0" applyFont="1" applyBorder="1">
      <alignment horizontal="left" indent="1" vertical="center"/>
    </xf>
    <xf fontId="22" fillId="0" borderId="0" numFmtId="0" xfId="0" applyFont="1">
      <alignment horizontal="right" vertical="center" wrapText="1"/>
    </xf>
    <xf fontId="0" fillId="0" borderId="0" numFmtId="0" xfId="0" applyFont="1">
      <alignment vertical="center"/>
    </xf>
    <xf fontId="44" fillId="0" borderId="0" numFmtId="0" xfId="0" applyFont="1">
      <alignment horizontal="right" vertical="top" wrapText="1"/>
    </xf>
    <xf fontId="22" fillId="0" borderId="0" numFmtId="0" xfId="0" applyFont="1">
      <alignment vertical="top" wrapText="1"/>
    </xf>
    <xf fontId="22" fillId="0" borderId="0" numFmtId="0" xfId="0" applyFont="1">
      <alignment horizontal="left" vertical="top" wrapText="1"/>
    </xf>
    <xf fontId="35" fillId="0" borderId="0" numFmtId="0" xfId="0" applyFont="1">
      <alignment horizontal="center" vertical="center" wrapText="1"/>
    </xf>
    <xf fontId="22" fillId="0" borderId="12" numFmtId="4" xfId="0" applyNumberFormat="1" applyFont="1" applyBorder="1">
      <alignment horizontal="center" vertical="center" wrapText="1"/>
    </xf>
    <xf fontId="53" fillId="36" borderId="14" numFmtId="49" xfId="0" applyNumberFormat="1" applyFont="1" applyFill="1" applyBorder="1">
      <alignment horizontal="left" vertical="center" wrapText="1"/>
      <protection locked="0"/>
    </xf>
    <xf fontId="53" fillId="36" borderId="14" numFmtId="49" xfId="0" applyNumberFormat="1" applyFont="1" applyFill="1" applyBorder="1">
      <alignment horizontal="left" vertical="center" wrapText="1"/>
      <protection locked="0"/>
    </xf>
    <xf fontId="22" fillId="39" borderId="12" numFmtId="49" xfId="0" applyNumberFormat="1" applyFont="1" applyFill="1" applyBorder="1">
      <alignment horizontal="left" vertical="center" wrapText="1"/>
      <protection locked="0"/>
    </xf>
    <xf fontId="44" fillId="0" borderId="0" numFmtId="0" xfId="0" applyFont="1">
      <alignment vertical="top"/>
    </xf>
    <xf fontId="22" fillId="0" borderId="31" numFmtId="49" xfId="0" applyNumberFormat="1" applyFont="1" applyBorder="1">
      <alignment horizontal="center" vertical="center" wrapText="1"/>
    </xf>
    <xf fontId="22" fillId="0" borderId="31" numFmtId="0" xfId="0" applyFont="1" applyBorder="1">
      <alignment horizontal="left" vertical="center" wrapText="1"/>
    </xf>
    <xf fontId="22" fillId="0" borderId="31" numFmtId="0" xfId="0" applyFont="1" applyBorder="1">
      <alignment horizontal="left" indent="1" vertical="center" wrapText="1"/>
    </xf>
    <xf fontId="22" fillId="39" borderId="31" numFmtId="4" xfId="0" applyNumberFormat="1" applyFont="1" applyFill="1" applyBorder="1">
      <alignment horizontal="right" vertical="center" wrapText="1"/>
      <protection locked="0"/>
    </xf>
    <xf fontId="22" fillId="0" borderId="32" numFmtId="49" xfId="0" applyNumberFormat="1" applyFont="1" applyBorder="1">
      <alignment horizontal="center" vertical="center" wrapText="1"/>
    </xf>
    <xf fontId="22" fillId="39" borderId="12" numFmtId="49" xfId="0" applyNumberFormat="1" applyFont="1" applyFill="1" applyBorder="1">
      <alignment horizontal="left" indent="1" vertical="center" wrapText="1"/>
      <protection locked="0"/>
    </xf>
    <xf fontId="22" fillId="0" borderId="31" numFmtId="0" xfId="0" applyFont="1" applyBorder="1">
      <alignment horizontal="left" indent="2" vertical="center" wrapText="1"/>
    </xf>
    <xf fontId="46" fillId="0" borderId="0" numFmtId="0" xfId="0" applyFont="1">
      <alignment horizontal="center" vertical="center" wrapText="1"/>
    </xf>
    <xf fontId="22" fillId="0" borderId="0" numFmtId="49" xfId="0" applyNumberFormat="1" applyFont="1">
      <alignment horizontal="left" vertical="center" wrapText="1"/>
    </xf>
    <xf fontId="83" fillId="0" borderId="0" numFmtId="0" xfId="0" applyFont="1">
      <alignment vertical="center" wrapText="1"/>
    </xf>
    <xf fontId="83" fillId="0" borderId="0" numFmtId="0" xfId="0" applyFont="1">
      <alignment vertical="center" wrapText="1"/>
    </xf>
    <xf fontId="22" fillId="0" borderId="0" numFmtId="0" xfId="0" applyFont="1">
      <alignment horizontal="left" vertical="center" wrapText="1"/>
    </xf>
    <xf fontId="22" fillId="0" borderId="12" numFmtId="0" xfId="0" applyFont="1" applyBorder="1">
      <alignment horizontal="left" vertical="center" wrapText="1"/>
    </xf>
    <xf fontId="22" fillId="0" borderId="14" numFmtId="3" xfId="0" applyNumberFormat="1" applyFont="1" applyBorder="1">
      <alignment vertical="center" wrapText="1"/>
    </xf>
    <xf fontId="22" fillId="0" borderId="13" numFmtId="0" xfId="0" applyFont="1" applyBorder="1">
      <alignment vertical="center" wrapText="1"/>
    </xf>
    <xf fontId="22" fillId="36" borderId="14" numFmtId="4" xfId="0" applyNumberFormat="1" applyFont="1" applyFill="1" applyBorder="1">
      <alignment horizontal="right" vertical="center" wrapText="1"/>
      <protection locked="0"/>
    </xf>
    <xf fontId="22" fillId="0" borderId="14" numFmtId="4" xfId="0" applyNumberFormat="1" applyFont="1" applyBorder="1">
      <alignment horizontal="right" vertical="center" wrapText="1"/>
    </xf>
    <xf fontId="22" fillId="0" borderId="30" numFmtId="4" xfId="0" applyNumberFormat="1" applyFont="1" applyBorder="1">
      <alignment horizontal="right" vertical="center" wrapText="1"/>
    </xf>
    <xf fontId="35" fillId="0" borderId="0" numFmtId="0" xfId="0" applyFont="1">
      <alignment horizontal="center" vertical="center" wrapText="1"/>
    </xf>
    <xf fontId="22" fillId="0" borderId="14" numFmtId="0" xfId="0" applyFont="1" applyBorder="1">
      <alignment horizontal="center" vertical="center" wrapText="1"/>
    </xf>
    <xf fontId="22" fillId="39" borderId="14" numFmtId="3" xfId="0" applyNumberFormat="1" applyFont="1" applyFill="1" applyBorder="1">
      <alignment vertical="center" wrapText="1"/>
      <protection locked="0"/>
    </xf>
    <xf fontId="22" fillId="36" borderId="14" numFmtId="49" xfId="0" applyNumberFormat="1" applyFont="1" applyFill="1" applyBorder="1">
      <alignment horizontal="left" vertical="center" wrapText="1"/>
      <protection locked="0"/>
    </xf>
    <xf fontId="22" fillId="34" borderId="14" numFmtId="4" xfId="0" applyNumberFormat="1" applyFont="1" applyFill="1" applyBorder="1">
      <alignment horizontal="right" vertical="center" wrapText="1"/>
    </xf>
    <xf fontId="22" fillId="0" borderId="0" numFmtId="0" xfId="0" applyFont="1">
      <alignment horizontal="left" vertical="center" wrapText="1"/>
    </xf>
    <xf fontId="0" fillId="0" borderId="14" numFmtId="0" xfId="0" applyFont="1" applyBorder="1">
      <alignment horizontal="center" vertical="center"/>
    </xf>
    <xf fontId="0" fillId="0" borderId="12" numFmtId="49" xfId="0" applyNumberFormat="1" applyFont="1" applyBorder="1">
      <alignment horizontal="left" indent="1" vertical="center" wrapText="1"/>
    </xf>
    <xf fontId="22" fillId="0" borderId="13" numFmtId="0" xfId="0" applyFont="1" applyBorder="1">
      <alignment horizontal="center" vertical="center" wrapText="1"/>
    </xf>
    <xf fontId="0" fillId="0" borderId="14" numFmtId="49" xfId="0" applyNumberFormat="1" applyFont="1" applyBorder="1">
      <alignment horizontal="center" vertical="center"/>
    </xf>
    <xf fontId="0" fillId="0" borderId="12" numFmtId="49" xfId="0" applyNumberFormat="1" applyFont="1" applyBorder="1">
      <alignment vertical="center" wrapText="1"/>
    </xf>
    <xf fontId="22" fillId="37" borderId="19" numFmtId="0" xfId="0" applyFont="1" applyFill="1" applyBorder="1">
      <alignment vertical="center" wrapText="1"/>
    </xf>
    <xf fontId="22" fillId="0" borderId="15" numFmtId="0" xfId="0" applyFont="1" applyBorder="1">
      <alignment horizontal="center" vertical="center" wrapText="1"/>
    </xf>
    <xf fontId="22" fillId="37" borderId="27" numFmtId="0" xfId="0" applyFont="1" applyFill="1" applyBorder="1">
      <alignment vertical="center" wrapText="1"/>
    </xf>
    <xf fontId="22" fillId="39" borderId="14" numFmtId="49" xfId="0" applyNumberFormat="1" applyFont="1" applyFill="1" applyBorder="1">
      <alignment horizontal="left" vertical="center" wrapText="1"/>
      <protection locked="0"/>
    </xf>
    <xf fontId="0" fillId="36" borderId="12" numFmtId="49" xfId="0" applyNumberFormat="1" applyFont="1" applyFill="1" applyBorder="1">
      <alignment horizontal="left" vertical="center" wrapText="1"/>
      <protection locked="0"/>
    </xf>
    <xf fontId="45" fillId="0" borderId="0" numFmtId="0" xfId="0" applyFont="1">
      <alignment horizontal="left" indent="1" vertical="center" wrapText="1"/>
    </xf>
    <xf fontId="88" fillId="0" borderId="0" numFmtId="0" xfId="0" applyFont="1">
      <alignment vertical="center" wrapText="1"/>
    </xf>
    <xf fontId="88" fillId="35" borderId="0" numFmtId="0" xfId="0" applyFont="1" applyFill="1">
      <alignment horizontal="center" vertical="center" wrapText="1"/>
    </xf>
    <xf fontId="88" fillId="35" borderId="0" numFmtId="0" xfId="0" applyFont="1" applyFill="1">
      <alignment horizontal="right" vertical="center" wrapText="1"/>
    </xf>
    <xf fontId="22" fillId="0" borderId="12" numFmtId="0" xfId="0" applyFont="1" applyBorder="1">
      <alignment horizontal="center" vertical="center" wrapText="1"/>
    </xf>
    <xf fontId="46" fillId="0" borderId="0" numFmtId="49" xfId="0" applyNumberFormat="1" applyFont="1">
      <alignment horizontal="center" vertical="center" wrapText="1"/>
    </xf>
    <xf fontId="22" fillId="0" borderId="12" numFmtId="0" xfId="0" applyFont="1" applyBorder="1">
      <alignment horizontal="center" vertical="center" wrapText="1"/>
    </xf>
    <xf fontId="46" fillId="0" borderId="0" numFmtId="0" xfId="0" applyFont="1">
      <alignment horizontal="center" vertical="top"/>
    </xf>
    <xf fontId="22" fillId="0" borderId="12" numFmtId="0" xfId="0" applyFont="1" applyBorder="1">
      <alignment horizontal="left" vertical="center" wrapText="1"/>
    </xf>
    <xf fontId="47" fillId="0" borderId="0" numFmtId="0" xfId="0" applyFont="1">
      <alignment horizontal="center" vertical="center" wrapText="1"/>
    </xf>
    <xf fontId="22" fillId="0" borderId="12" numFmtId="0" xfId="0" applyFont="1" applyBorder="1">
      <alignment horizontal="left" vertical="center" wrapText="1"/>
    </xf>
    <xf fontId="22" fillId="40" borderId="12" numFmtId="49" xfId="0" applyNumberFormat="1" applyFont="1" applyFill="1" applyBorder="1">
      <alignment horizontal="left" indent="1" vertical="center" wrapText="1"/>
    </xf>
    <xf fontId="22" fillId="0" borderId="14" numFmtId="0" xfId="0" applyFont="1" applyBorder="1">
      <alignment vertical="center" wrapText="1"/>
    </xf>
    <xf fontId="22" fillId="0" borderId="0" numFmtId="0" xfId="0" applyFont="1">
      <alignment horizontal="right" vertical="center"/>
    </xf>
    <xf fontId="53" fillId="37" borderId="13" numFmtId="49" xfId="0" applyNumberFormat="1" applyFont="1" applyFill="1" applyBorder="1">
      <alignment horizontal="left" vertical="center" wrapText="1"/>
    </xf>
    <xf fontId="89" fillId="0" borderId="0" numFmtId="0" xfId="0" applyFont="1">
      <alignment vertical="center"/>
    </xf>
    <xf fontId="90" fillId="0" borderId="0" numFmtId="0" xfId="0" applyFont="1">
      <alignment vertical="center"/>
    </xf>
    <xf fontId="47" fillId="0" borderId="22" numFmtId="49" xfId="0" applyNumberFormat="1" applyFont="1" applyBorder="1">
      <alignment vertical="top"/>
    </xf>
    <xf fontId="47" fillId="0" borderId="22" numFmtId="49" xfId="0" applyNumberFormat="1" applyFont="1" applyBorder="1">
      <alignment vertical="top"/>
    </xf>
    <xf fontId="47" fillId="0" borderId="22" numFmtId="0" xfId="0" applyFont="1" applyBorder="1">
      <alignment vertical="center" wrapText="1"/>
    </xf>
    <xf fontId="22" fillId="0" borderId="13" numFmtId="0" xfId="0" applyFont="1" applyBorder="1">
      <alignment horizontal="left" indent="1" vertical="center" wrapText="1"/>
    </xf>
    <xf fontId="71" fillId="0" borderId="22" numFmtId="0" xfId="0" applyFont="1" applyBorder="1">
      <alignment vertical="center" wrapText="1"/>
    </xf>
    <xf fontId="22" fillId="0" borderId="31" numFmtId="4" xfId="0" applyNumberFormat="1" applyFont="1" applyBorder="1">
      <alignment horizontal="center" vertical="center" wrapText="1"/>
    </xf>
    <xf fontId="22" fillId="0" borderId="33" numFmtId="0" xfId="0" applyFont="1" applyBorder="1">
      <alignment horizontal="left" vertical="center" wrapText="1"/>
    </xf>
    <xf fontId="22" fillId="0" borderId="33" numFmtId="0" xfId="0" applyFont="1" applyBorder="1">
      <alignment horizontal="left" indent="1" vertical="center" wrapText="1"/>
    </xf>
    <xf fontId="22" fillId="39" borderId="33" numFmtId="4" xfId="0" applyNumberFormat="1" applyFont="1" applyFill="1" applyBorder="1">
      <alignment horizontal="right" vertical="center" wrapText="1"/>
      <protection locked="0"/>
    </xf>
    <xf fontId="22" fillId="0" borderId="33" numFmtId="4" xfId="0" applyNumberFormat="1" applyFont="1" applyBorder="1">
      <alignment horizontal="center" vertical="center" wrapText="1"/>
    </xf>
    <xf fontId="22" fillId="0" borderId="34" numFmtId="49" xfId="0" applyNumberFormat="1" applyFont="1" applyBorder="1">
      <alignment horizontal="center" vertical="center" wrapText="1"/>
    </xf>
    <xf fontId="22" fillId="39" borderId="14" numFmtId="4" xfId="0" applyNumberFormat="1" applyFont="1" applyFill="1" applyBorder="1">
      <alignment horizontal="right" vertical="center" wrapText="1"/>
      <protection locked="0"/>
    </xf>
    <xf fontId="22" fillId="39" borderId="34" numFmtId="4" xfId="0" applyNumberFormat="1" applyFont="1" applyFill="1" applyBorder="1">
      <alignment horizontal="right" vertical="center" wrapText="1"/>
      <protection locked="0"/>
    </xf>
    <xf fontId="46" fillId="0" borderId="0" numFmtId="0" xfId="0" applyFont="1">
      <alignment horizontal="left" vertical="center" wrapText="1"/>
    </xf>
    <xf fontId="47" fillId="0" borderId="0" numFmtId="0" xfId="0" applyFont="1">
      <alignment horizontal="left" vertical="center" wrapText="1"/>
    </xf>
    <xf fontId="54" fillId="0" borderId="0" numFmtId="0" xfId="0" applyFont="1">
      <alignment horizontal="left" vertical="center" wrapText="1"/>
    </xf>
    <xf fontId="31" fillId="0" borderId="0" numFmtId="0" xfId="0" applyFont="1">
      <alignment horizontal="left" vertical="center" wrapText="1"/>
    </xf>
    <xf fontId="22" fillId="0" borderId="0" numFmtId="49" xfId="0" applyNumberFormat="1" applyFont="1">
      <alignment horizontal="center" vertical="center" wrapText="1"/>
    </xf>
    <xf fontId="84" fillId="0" borderId="0" numFmtId="0" xfId="0" applyFont="1">
      <alignment vertical="center" wrapText="1"/>
    </xf>
    <xf fontId="47" fillId="0" borderId="0" numFmtId="0" xfId="0" applyFont="1">
      <alignment vertical="center" wrapText="1"/>
    </xf>
    <xf fontId="54" fillId="0" borderId="0" numFmtId="0" xfId="0" applyFont="1">
      <alignment vertical="center" wrapText="1"/>
    </xf>
    <xf fontId="31" fillId="0" borderId="0" numFmtId="0" xfId="0" applyFont="1">
      <alignment vertical="center" wrapText="1"/>
    </xf>
    <xf fontId="49" fillId="0" borderId="0" numFmtId="49" xfId="0" applyNumberFormat="1" applyFont="1">
      <alignment horizontal="center" vertical="center"/>
    </xf>
    <xf fontId="22" fillId="0" borderId="0" numFmtId="0" xfId="0" applyFont="1">
      <alignment vertical="center" wrapText="1"/>
    </xf>
    <xf fontId="22" fillId="0" borderId="35" numFmtId="4" xfId="0" applyNumberFormat="1" applyFont="1" applyBorder="1">
      <alignment horizontal="center" vertical="center" wrapText="1"/>
    </xf>
    <xf fontId="22" fillId="39" borderId="35" numFmtId="4" xfId="0" applyNumberFormat="1" applyFont="1" applyFill="1" applyBorder="1">
      <alignment horizontal="right" vertical="center" wrapText="1"/>
      <protection locked="0"/>
    </xf>
    <xf fontId="22" fillId="39" borderId="23" numFmtId="4" xfId="0" applyNumberFormat="1" applyFont="1" applyFill="1" applyBorder="1">
      <alignment horizontal="right" vertical="center" wrapText="1"/>
      <protection locked="0"/>
    </xf>
    <xf fontId="22" fillId="0" borderId="33" numFmtId="49" xfId="0" applyNumberFormat="1" applyFont="1" applyBorder="1">
      <alignment horizontal="center" vertical="center" wrapText="1"/>
    </xf>
    <xf fontId="22" fillId="0" borderId="35" numFmtId="0" xfId="0" applyFont="1" applyBorder="1">
      <alignment horizontal="left" vertical="center" wrapText="1"/>
    </xf>
    <xf fontId="22" fillId="0" borderId="20" numFmtId="0" xfId="0" applyFont="1" applyBorder="1">
      <alignment vertical="center" wrapText="1"/>
    </xf>
    <xf fontId="36" fillId="0" borderId="0" numFmtId="0" xfId="0" applyFont="1">
      <alignment horizontal="center" vertical="center" wrapText="1"/>
    </xf>
    <xf fontId="22" fillId="37" borderId="15" numFmtId="0" xfId="0" applyFont="1" applyFill="1" applyBorder="1">
      <alignment vertical="center" wrapText="1"/>
    </xf>
    <xf fontId="46" fillId="37" borderId="13" numFmtId="0" xfId="0" applyFont="1" applyFill="1" applyBorder="1">
      <alignment vertical="center" wrapText="1"/>
    </xf>
    <xf fontId="22" fillId="34" borderId="12" numFmtId="178" xfId="0" applyNumberFormat="1" applyFont="1" applyFill="1" applyBorder="1">
      <alignment horizontal="right" vertical="center" wrapText="1"/>
    </xf>
    <xf fontId="0" fillId="0" borderId="0" numFmtId="0" xfId="0" applyFont="1">
      <alignment vertical="center"/>
    </xf>
    <xf fontId="22" fillId="36" borderId="12" numFmtId="4" xfId="0" applyNumberFormat="1" applyFont="1" applyFill="1" applyBorder="1">
      <alignment horizontal="right" vertical="center" wrapText="1"/>
      <protection locked="0"/>
    </xf>
    <xf fontId="73" fillId="35" borderId="0" numFmtId="0" xfId="0" applyFont="1" applyFill="1">
      <alignment horizontal="right" vertical="center"/>
    </xf>
    <xf fontId="0" fillId="0" borderId="12" numFmtId="49" xfId="0" applyNumberFormat="1" applyFont="1" applyBorder="1">
      <alignment vertical="top"/>
    </xf>
    <xf fontId="22" fillId="0" borderId="14" numFmtId="0" xfId="0" applyFont="1" applyBorder="1">
      <alignment horizontal="center" vertical="center" wrapText="1"/>
    </xf>
    <xf fontId="0" fillId="16" borderId="12" numFmtId="49" xfId="0" applyNumberFormat="1" applyFont="1" applyFill="1" applyBorder="1">
      <alignment vertical="top"/>
    </xf>
    <xf fontId="0" fillId="16" borderId="17" numFmtId="49" xfId="0" applyNumberFormat="1" applyFont="1" applyFill="1" applyBorder="1">
      <alignment vertical="top"/>
    </xf>
    <xf fontId="0" fillId="43" borderId="17" numFmtId="49" xfId="0" applyNumberFormat="1" applyFont="1" applyFill="1" applyBorder="1">
      <alignment vertical="top"/>
    </xf>
    <xf fontId="22" fillId="0" borderId="0" numFmtId="0" xfId="0" applyFont="1">
      <alignment vertical="center" wrapText="1"/>
    </xf>
    <xf fontId="31" fillId="0" borderId="0" numFmtId="0" xfId="0" applyFont="1">
      <alignment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0" borderId="0" numFmtId="49" xfId="0" applyNumberFormat="1" applyFont="1">
      <alignment vertical="center" wrapText="1"/>
    </xf>
    <xf fontId="22" fillId="0" borderId="0" numFmtId="0" xfId="0" applyFont="1">
      <alignment horizontal="center" vertical="center" wrapText="1"/>
    </xf>
    <xf fontId="0" fillId="0" borderId="14" numFmtId="49" xfId="0" applyNumberFormat="1" applyFont="1" applyBorder="1">
      <alignment vertical="top"/>
    </xf>
    <xf fontId="0" fillId="0" borderId="14" numFmtId="49" xfId="0" applyNumberFormat="1" applyFont="1" applyBorder="1">
      <alignment horizontal="center" vertical="top"/>
    </xf>
    <xf fontId="0" fillId="0" borderId="15" numFmtId="49" xfId="0" applyNumberFormat="1" applyFont="1" applyBorder="1">
      <alignment horizontal="center" vertical="top"/>
    </xf>
    <xf fontId="0" fillId="5" borderId="12" numFmtId="49" xfId="0" applyNumberFormat="1" applyFont="1" applyFill="1" applyBorder="1">
      <alignment vertical="top"/>
    </xf>
    <xf fontId="0" fillId="44" borderId="12" numFmtId="49" xfId="0" applyNumberFormat="1" applyFont="1" applyFill="1" applyBorder="1">
      <alignment vertical="top"/>
    </xf>
    <xf fontId="0" fillId="3" borderId="12" numFmtId="49" xfId="0" applyNumberFormat="1" applyFont="1" applyFill="1" applyBorder="1">
      <alignment vertical="top"/>
    </xf>
    <xf fontId="0" fillId="0" borderId="0" numFmtId="49" xfId="0" applyNumberFormat="1" applyFont="1">
      <alignment vertical="top"/>
    </xf>
    <xf fontId="22" fillId="0" borderId="0" numFmtId="0" xfId="0" applyFont="1">
      <alignment horizontal="center" vertical="center" wrapText="1"/>
    </xf>
    <xf fontId="49" fillId="35" borderId="0" numFmtId="0" xfId="0" applyFont="1" applyFill="1">
      <alignment vertical="center" wrapText="1"/>
    </xf>
    <xf fontId="53" fillId="0" borderId="0" numFmtId="0" xfId="0" applyFont="1">
      <alignment horizontal="left" indent="1" vertical="center"/>
    </xf>
    <xf fontId="0" fillId="35" borderId="0" numFmtId="0" xfId="0" applyFont="1" applyFill="1">
      <alignment horizontal="right" indent="1" vertical="center" wrapText="1"/>
    </xf>
    <xf fontId="0" fillId="35" borderId="0" numFmtId="0" xfId="0" applyFont="1" applyFill="1">
      <alignment horizontal="left" indent="1" vertical="center" wrapText="1"/>
    </xf>
    <xf fontId="22" fillId="35" borderId="0" numFmtId="14" xfId="0" applyNumberFormat="1" applyFont="1" applyFill="1">
      <alignment horizontal="center" vertical="center" wrapText="1"/>
    </xf>
    <xf fontId="22" fillId="0" borderId="14" numFmtId="180" xfId="0" applyNumberFormat="1" applyFont="1" applyBorder="1">
      <alignment horizontal="center" vertical="center" wrapText="1"/>
    </xf>
    <xf fontId="35" fillId="0" borderId="15" numFmtId="49" xfId="0" applyNumberFormat="1" applyFont="1" applyBorder="1">
      <alignment horizontal="center" vertical="center" wrapText="1"/>
    </xf>
    <xf fontId="22" fillId="0" borderId="0" numFmtId="49" xfId="0" applyNumberFormat="1" applyFont="1">
      <alignment horizontal="center" vertical="center" wrapText="1"/>
    </xf>
    <xf fontId="22" fillId="0" borderId="23" numFmtId="0" xfId="0" applyFont="1" applyBorder="1">
      <alignment horizontal="center" vertical="center" wrapText="1"/>
    </xf>
    <xf fontId="0" fillId="45" borderId="12" numFmtId="49" xfId="0" applyNumberFormat="1" applyFont="1" applyFill="1" applyBorder="1">
      <alignment vertical="top"/>
    </xf>
    <xf fontId="36" fillId="0" borderId="0" numFmtId="0" xfId="0" applyFont="1">
      <alignment horizontal="center" vertical="center" wrapText="1"/>
    </xf>
    <xf fontId="91" fillId="0" borderId="0" numFmtId="0" xfId="0" applyFont="1">
      <alignment horizontal="left" vertical="center" wrapText="1"/>
    </xf>
    <xf fontId="91" fillId="0" borderId="0" numFmtId="0" xfId="0" applyFont="1">
      <alignment horizontal="left" vertical="center" wrapText="1"/>
    </xf>
    <xf fontId="91" fillId="35" borderId="0" numFmtId="14" xfId="0" applyNumberFormat="1" applyFont="1" applyFill="1">
      <alignment horizontal="left" vertical="center" wrapText="1"/>
    </xf>
    <xf fontId="92" fillId="0" borderId="0" numFmtId="14" xfId="0" applyNumberFormat="1" applyFont="1">
      <alignment horizontal="center" vertical="center" wrapText="1"/>
    </xf>
    <xf fontId="91" fillId="0" borderId="0" numFmtId="0" xfId="0" applyFont="1">
      <alignment horizontal="left" vertical="center" wrapText="1"/>
    </xf>
    <xf fontId="93" fillId="0" borderId="12" numFmtId="14" xfId="0" applyNumberFormat="1" applyFont="1" applyBorder="1">
      <alignment horizontal="left" vertical="center" wrapText="1"/>
    </xf>
    <xf fontId="47" fillId="0" borderId="0" numFmtId="0" xfId="0" applyFont="1">
      <alignment vertical="center"/>
    </xf>
    <xf fontId="22" fillId="37" borderId="19" numFmtId="49" xfId="0" applyNumberFormat="1" applyFont="1" applyFill="1" applyBorder="1">
      <alignment horizontal="center" vertical="center" wrapText="1"/>
    </xf>
    <xf fontId="22" fillId="34" borderId="23" numFmtId="49" xfId="0" applyNumberFormat="1" applyFont="1" applyFill="1" applyBorder="1">
      <alignment horizontal="center" vertical="center" wrapText="1"/>
    </xf>
    <xf fontId="46" fillId="0" borderId="12" numFmtId="49" xfId="0" applyNumberFormat="1" applyFont="1" applyBorder="1">
      <alignment horizontal="left" vertical="center" wrapText="1"/>
    </xf>
    <xf fontId="22" fillId="40" borderId="23" numFmtId="14" xfId="0" applyNumberFormat="1" applyFont="1" applyFill="1" applyBorder="1">
      <alignment horizontal="left" indent="1" vertical="center" wrapText="1"/>
    </xf>
    <xf fontId="22" fillId="37" borderId="14" numFmtId="49" xfId="0" applyNumberFormat="1" applyFont="1" applyFill="1" applyBorder="1">
      <alignment horizontal="right" vertical="center" wrapText="1"/>
    </xf>
    <xf fontId="47" fillId="0" borderId="23" numFmtId="0" xfId="0" applyFont="1" applyBorder="1">
      <alignment horizontal="center" vertical="center" wrapText="1"/>
    </xf>
    <xf fontId="22" fillId="0" borderId="13" numFmtId="49" xfId="0" applyNumberFormat="1" applyFont="1" applyBorder="1">
      <alignment horizontal="center" vertical="top"/>
    </xf>
    <xf fontId="22" fillId="0" borderId="12" numFmtId="49" xfId="0" applyNumberFormat="1" applyFont="1" applyBorder="1">
      <alignment horizontal="center" vertical="top"/>
    </xf>
    <xf fontId="22" fillId="0" borderId="23" numFmtId="0" xfId="0" applyFont="1" applyBorder="1">
      <alignment horizontal="center" vertical="center" wrapText="1"/>
    </xf>
    <xf fontId="22" fillId="0" borderId="14" numFmtId="49" xfId="0" applyNumberFormat="1" applyFont="1" applyBorder="1">
      <alignment horizontal="center" vertical="top"/>
    </xf>
    <xf fontId="35" fillId="0" borderId="24" numFmtId="0" xfId="0" applyFont="1" applyBorder="1">
      <alignment vertical="top" wrapText="1"/>
    </xf>
    <xf fontId="35" fillId="0" borderId="0" numFmtId="0" xfId="0" applyFont="1">
      <alignment vertical="top" wrapText="1"/>
    </xf>
    <xf fontId="47" fillId="0" borderId="12" numFmtId="0" xfId="0" applyFont="1" applyBorder="1">
      <alignment horizontal="center" vertical="center" wrapText="1"/>
    </xf>
    <xf fontId="46" fillId="0" borderId="23" numFmtId="0" xfId="0" applyFont="1" applyBorder="1">
      <alignment horizontal="center" vertical="center" wrapText="1"/>
    </xf>
    <xf fontId="47" fillId="0" borderId="12" numFmtId="0" xfId="0" applyFont="1" applyBorder="1">
      <alignment horizontal="center" vertical="center"/>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center" vertical="center" wrapText="1"/>
    </xf>
    <xf fontId="22" fillId="0" borderId="14"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75" fillId="39" borderId="12" numFmtId="49" xfId="0" applyNumberFormat="1" applyFont="1" applyFill="1" applyBorder="1">
      <alignment horizontal="left" indent="1" vertical="center" wrapText="1"/>
      <protection locked="0"/>
    </xf>
    <xf fontId="46" fillId="0" borderId="22" numFmtId="0" xfId="0" applyFont="1" applyBorder="1">
      <alignment vertical="center"/>
    </xf>
    <xf fontId="22" fillId="0" borderId="13"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2" numFmtId="0" xfId="0" applyFont="1" applyBorder="1">
      <alignment horizontal="center" vertical="center" wrapText="1"/>
    </xf>
    <xf fontId="22" fillId="34" borderId="14" numFmtId="0" xfId="0" applyFont="1" applyFill="1" applyBorder="1">
      <alignment horizontal="left" indent="1" vertical="top" wrapText="1"/>
    </xf>
    <xf fontId="22" fillId="36" borderId="14" numFmtId="3" xfId="0" applyNumberFormat="1" applyFont="1" applyFill="1" applyBorder="1">
      <alignment horizontal="right" vertical="center" wrapText="1"/>
      <protection locked="0"/>
    </xf>
    <xf fontId="53" fillId="36" borderId="12" numFmtId="49" xfId="0" applyNumberFormat="1" applyFont="1" applyFill="1" applyBorder="1">
      <alignment horizontal="left" vertical="center" wrapText="1"/>
      <protection locked="0"/>
    </xf>
    <xf fontId="53" fillId="0" borderId="0" numFmtId="0" xfId="0" applyFont="1">
      <alignment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36" fillId="35" borderId="0" numFmtId="0" xfId="0" applyFont="1" applyFill="1">
      <alignment horizontal="center" vertical="center" wrapText="1"/>
    </xf>
    <xf fontId="22" fillId="35" borderId="12" numFmtId="0" xfId="0" applyFont="1" applyFill="1" applyBorder="1">
      <alignment horizontal="center" vertical="center" wrapText="1"/>
    </xf>
    <xf fontId="0" fillId="0" borderId="20" numFmtId="0" xfId="0" applyFont="1" applyBorder="1">
      <alignment horizontal="center" vertical="center" wrapText="1"/>
    </xf>
    <xf fontId="0" fillId="0" borderId="29"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35" fillId="35" borderId="15" numFmtId="49" xfId="0" applyNumberFormat="1" applyFont="1" applyFill="1" applyBorder="1">
      <alignment horizontal="center" vertical="center" wrapText="1"/>
    </xf>
    <xf fontId="22" fillId="0" borderId="0" numFmtId="0" xfId="0" applyFont="1">
      <alignment horizontal="left" indent="1" vertical="center" wrapText="1"/>
    </xf>
    <xf fontId="81" fillId="0" borderId="17" numFmtId="0" xfId="0" applyFont="1" applyBorder="1">
      <alignment horizontal="center" vertical="center" wrapText="1"/>
    </xf>
    <xf fontId="46" fillId="0" borderId="0" numFmtId="49" xfId="0" applyNumberFormat="1" applyFont="1">
      <alignment vertical="top"/>
    </xf>
    <xf fontId="94" fillId="0" borderId="0" numFmtId="0" xfId="0" applyFont="1">
      <alignment vertical="center" wrapText="1"/>
    </xf>
    <xf fontId="0" fillId="0" borderId="0" numFmtId="0" xfId="0" applyFont="1">
      <alignment vertical="top"/>
    </xf>
    <xf fontId="0" fillId="0" borderId="12" numFmtId="49" xfId="0" applyNumberFormat="1" applyFont="1" applyBorder="1">
      <alignment vertical="top"/>
    </xf>
    <xf fontId="22" fillId="0" borderId="0" numFmtId="49" xfId="0" applyNumberFormat="1" applyFont="1">
      <alignment vertical="top"/>
    </xf>
    <xf fontId="22" fillId="0" borderId="12" numFmtId="0" xfId="0" applyFont="1" applyBorder="1">
      <alignment horizontal="left" vertical="top" wrapText="1"/>
    </xf>
    <xf fontId="95" fillId="0" borderId="0" numFmtId="49" xfId="0" applyNumberFormat="1" applyFont="1">
      <alignment horizontal="center" vertical="top" wrapText="1"/>
    </xf>
    <xf fontId="95" fillId="0" borderId="0" numFmtId="49" xfId="0" applyNumberFormat="1" applyFont="1">
      <alignment vertical="top" wrapText="1"/>
    </xf>
    <xf fontId="91" fillId="41" borderId="12" numFmtId="49" xfId="0" applyNumberFormat="1" applyFont="1" applyFill="1" applyBorder="1">
      <alignment horizontal="center" vertical="top" wrapText="1"/>
    </xf>
    <xf fontId="95" fillId="0" borderId="0" numFmtId="49" xfId="0" applyNumberFormat="1" applyFont="1">
      <alignment horizontal="left" vertical="top" wrapText="1"/>
    </xf>
    <xf fontId="95" fillId="0" borderId="12" numFmtId="49" xfId="0" applyNumberFormat="1" applyFont="1" applyBorder="1">
      <alignment horizontal="left" vertical="top" wrapText="1"/>
    </xf>
    <xf fontId="95" fillId="0" borderId="12" numFmtId="0" xfId="0" applyFont="1" applyBorder="1">
      <alignment horizontal="left" vertical="top" wrapText="1"/>
    </xf>
    <xf fontId="95" fillId="41" borderId="12" numFmtId="0" xfId="0" applyFont="1" applyFill="1" applyBorder="1">
      <alignment horizontal="right" vertical="center" wrapText="1"/>
    </xf>
    <xf fontId="95" fillId="0" borderId="12" numFmtId="49" xfId="0" applyNumberFormat="1" applyFont="1" applyBorder="1">
      <alignment vertical="top" wrapText="1"/>
    </xf>
    <xf fontId="95" fillId="0" borderId="17" numFmtId="0" xfId="0" applyFont="1" applyBorder="1">
      <alignment horizontal="left" vertical="top" wrapText="1"/>
    </xf>
    <xf fontId="95" fillId="0" borderId="13" numFmtId="0" xfId="0" applyFont="1" applyBorder="1">
      <alignment horizontal="left" vertical="top" wrapText="1"/>
    </xf>
    <xf fontId="95" fillId="0" borderId="12" numFmtId="0" xfId="0" applyFont="1" applyBorder="1">
      <alignment vertical="top" wrapText="1"/>
    </xf>
    <xf fontId="91" fillId="41" borderId="12" numFmtId="0" xfId="0" applyFont="1" applyFill="1" applyBorder="1">
      <alignment horizontal="center" vertical="top" wrapText="1"/>
    </xf>
    <xf fontId="95" fillId="0" borderId="0" numFmtId="0" xfId="0" applyFont="1">
      <alignment vertical="top" wrapText="1"/>
    </xf>
    <xf fontId="90" fillId="0" borderId="0" numFmtId="0" xfId="0" applyFont="1">
      <alignment vertical="center" wrapText="1"/>
    </xf>
    <xf fontId="45" fillId="0" borderId="0" numFmtId="0" xfId="0" applyFont="1">
      <alignment horizontal="left" indent="3" vertical="center" wrapText="1"/>
    </xf>
    <xf fontId="0" fillId="0" borderId="13" numFmtId="3" xfId="0" applyNumberFormat="1" applyFont="1" applyBorder="1">
      <alignment horizontal="right" vertical="center" wrapText="1"/>
    </xf>
    <xf fontId="22" fillId="40" borderId="14" numFmtId="0" xfId="0" applyFont="1" applyFill="1" applyBorder="1">
      <alignment horizontal="left" vertical="center" wrapText="1"/>
    </xf>
    <xf fontId="35" fillId="35" borderId="12" numFmtId="49" xfId="0" applyNumberFormat="1" applyFont="1" applyFill="1" applyBorder="1">
      <alignment horizontal="center" vertical="center" wrapText="1"/>
    </xf>
    <xf fontId="73" fillId="37" borderId="13" numFmtId="49" xfId="0" applyNumberFormat="1" applyFont="1" applyFill="1" applyBorder="1">
      <alignment vertical="center"/>
    </xf>
    <xf fontId="22" fillId="35" borderId="0" numFmtId="49" xfId="0" applyNumberFormat="1" applyFont="1" applyFill="1">
      <alignment horizontal="center" vertical="center" wrapText="1"/>
    </xf>
    <xf fontId="22" fillId="35" borderId="0" numFmtId="0" xfId="0" applyFont="1" applyFill="1">
      <alignment horizontal="center" vertical="top" wrapText="1"/>
    </xf>
    <xf fontId="0" fillId="39" borderId="12" numFmtId="49" xfId="0" applyNumberFormat="1" applyFont="1" applyFill="1" applyBorder="1">
      <alignment horizontal="left" indent="1" vertical="center" wrapText="1"/>
      <protection locked="0"/>
    </xf>
    <xf fontId="22" fillId="39" borderId="14" numFmtId="49" xfId="0" applyNumberFormat="1" applyFont="1" applyFill="1" applyBorder="1">
      <alignment horizontal="left" vertical="center" wrapText="1"/>
      <protection locked="0"/>
    </xf>
    <xf fontId="22" fillId="39" borderId="12" numFmtId="49" xfId="0" applyNumberFormat="1" applyFont="1" applyFill="1" applyBorder="1" quotePrefix="1">
      <alignment horizontal="left" vertical="center" wrapText="1"/>
      <protection locked="0"/>
    </xf>
    <xf fontId="22" fillId="40" borderId="23" numFmtId="14" xfId="0" applyNumberFormat="1" applyFont="1" applyFill="1" applyBorder="1">
      <alignment horizontal="left" vertical="center" wrapText="1"/>
    </xf>
    <xf fontId="47" fillId="35" borderId="23" numFmtId="0" xfId="0" applyFont="1" applyFill="1" applyBorder="1">
      <alignment horizontal="center" vertical="center" wrapText="1"/>
    </xf>
    <xf fontId="36" fillId="35" borderId="24" numFmtId="0" xfId="0" applyFont="1" applyFill="1" applyBorder="1">
      <alignment vertical="top" wrapText="1"/>
    </xf>
    <xf fontId="36" fillId="35" borderId="0" numFmtId="0" xfId="0" applyFont="1" applyFill="1">
      <alignment vertical="top" wrapText="1"/>
    </xf>
    <xf fontId="22" fillId="40" borderId="29" numFmtId="14" xfId="0" applyNumberFormat="1" applyFont="1" applyFill="1" applyBorder="1">
      <alignment horizontal="left" vertical="center" wrapText="1"/>
    </xf>
    <xf fontId="47" fillId="35" borderId="12" numFmtId="0" xfId="0" applyFont="1" applyFill="1" applyBorder="1">
      <alignment horizontal="center" vertical="center" wrapText="1"/>
    </xf>
    <xf fontId="39" fillId="37" borderId="15" numFmtId="0" xfId="0" applyFont="1" applyFill="1" applyBorder="1">
      <alignment vertical="center"/>
    </xf>
    <xf fontId="48" fillId="0" borderId="0" numFmtId="0" xfId="0" applyFont="1">
      <alignment vertical="center"/>
    </xf>
    <xf fontId="47" fillId="0" borderId="0" numFmtId="0" xfId="0" applyFont="1">
      <alignment vertical="center" wrapText="1"/>
    </xf>
    <xf fontId="46" fillId="0" borderId="0" numFmtId="49" xfId="0" applyNumberFormat="1" applyFont="1">
      <alignment vertical="center" wrapText="1"/>
    </xf>
    <xf fontId="46" fillId="0" borderId="0" numFmtId="49" xfId="0" applyNumberFormat="1" applyFont="1">
      <alignment vertical="top"/>
    </xf>
    <xf fontId="88" fillId="0" borderId="0" numFmtId="0" xfId="0" applyFont="1">
      <alignment vertical="center" wrapText="1"/>
    </xf>
    <xf fontId="96" fillId="0" borderId="0" numFmtId="0" xfId="0" applyFont="1">
      <alignment vertical="center" wrapText="1"/>
    </xf>
    <xf fontId="46" fillId="0" borderId="0" numFmtId="0" xfId="0" applyFont="1">
      <alignment vertical="center" wrapText="1"/>
    </xf>
    <xf fontId="88" fillId="0" borderId="0" numFmtId="0" xfId="0" applyFont="1">
      <alignment horizontal="center" vertical="center" wrapText="1"/>
    </xf>
    <xf fontId="46" fillId="0" borderId="0" numFmtId="0" xfId="0" applyFont="1">
      <alignment vertical="center" wrapText="1"/>
    </xf>
    <xf fontId="22" fillId="35" borderId="0" numFmtId="14" xfId="0" applyNumberFormat="1" applyFont="1" applyFill="1">
      <alignment horizontal="left" vertical="center" wrapText="1"/>
    </xf>
    <xf fontId="0" fillId="5" borderId="14" numFmtId="49" xfId="0" applyNumberFormat="1" applyFont="1" applyFill="1" applyBorder="1">
      <alignment vertical="top"/>
    </xf>
    <xf fontId="0" fillId="0" borderId="12" numFmtId="49" xfId="0" applyNumberFormat="1" applyFont="1" applyBorder="1">
      <alignment horizontal="left" vertical="center" wrapText="1"/>
    </xf>
    <xf fontId="22" fillId="0" borderId="0" numFmtId="49" xfId="0" applyNumberFormat="1" applyFont="1">
      <alignment vertical="center" wrapText="1"/>
    </xf>
    <xf fontId="0" fillId="0" borderId="12" numFmtId="0" xfId="0" applyFont="1" applyBorder="1">
      <alignment horizontal="left" indent="1" vertical="center" wrapText="1"/>
    </xf>
    <xf fontId="0" fillId="35" borderId="12" numFmtId="49" xfId="0" applyNumberFormat="1" applyFont="1" applyFill="1" applyBorder="1">
      <alignment horizontal="center" vertical="center" wrapText="1"/>
    </xf>
    <xf fontId="0" fillId="35" borderId="12" numFmtId="0" xfId="0" applyFont="1" applyFill="1" applyBorder="1">
      <alignment horizontal="center" vertical="center" wrapText="1"/>
    </xf>
    <xf fontId="0" fillId="39" borderId="14" numFmtId="0" xfId="0" applyFont="1" applyFill="1" applyBorder="1">
      <alignment horizontal="left" indent="2" vertical="center" wrapText="1"/>
      <protection locked="0"/>
    </xf>
    <xf fontId="22" fillId="0" borderId="15" numFmtId="0" xfId="0" applyFont="1" applyBorder="1">
      <alignment horizontal="right" indent="1" vertical="center" wrapText="1"/>
    </xf>
    <xf fontId="22" fillId="0" borderId="13" numFmtId="0" xfId="0" applyFont="1" applyBorder="1">
      <alignment horizontal="right" indent="1" vertical="center" wrapText="1"/>
    </xf>
    <xf fontId="97" fillId="35" borderId="0" numFmtId="0" xfId="0" applyFont="1" applyFill="1">
      <alignment horizontal="right" vertical="center"/>
    </xf>
    <xf fontId="95" fillId="0" borderId="13" numFmtId="49" xfId="0" applyNumberFormat="1" applyFont="1" applyBorder="1">
      <alignment horizontal="left" vertical="top" wrapText="1"/>
    </xf>
    <xf fontId="95" fillId="0" borderId="14" numFmtId="49" xfId="0" applyNumberFormat="1" applyFont="1" applyBorder="1">
      <alignment horizontal="left" vertical="top" wrapText="1"/>
    </xf>
    <xf fontId="95" fillId="0" borderId="17" numFmtId="0" xfId="0" applyFont="1" applyBorder="1">
      <alignment vertical="top" wrapText="1"/>
    </xf>
    <xf fontId="95" fillId="0" borderId="36" numFmtId="0" xfId="0" applyFont="1" applyBorder="1">
      <alignment horizontal="left" vertical="top" wrapText="1"/>
    </xf>
    <xf fontId="95" fillId="0" borderId="30" numFmtId="49" xfId="0" applyNumberFormat="1" applyFont="1" applyBorder="1">
      <alignment horizontal="left" vertical="top"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22" fillId="0" borderId="12" numFmtId="0" xfId="0" applyFont="1" applyBorder="1">
      <alignment horizontal="left" vertical="center" wrapText="1"/>
    </xf>
    <xf fontId="95" fillId="0" borderId="12" numFmtId="49" xfId="0" applyNumberFormat="1" applyFont="1" applyBorder="1">
      <alignment horizontal="center" vertical="top" wrapText="1"/>
    </xf>
    <xf fontId="95" fillId="41" borderId="12" numFmtId="0" xfId="0" applyFont="1" applyFill="1" applyBorder="1">
      <alignment horizontal="center" vertical="center" wrapText="1"/>
    </xf>
    <xf fontId="95" fillId="0" borderId="37" numFmtId="49" xfId="0" applyNumberFormat="1" applyFont="1" applyBorder="1">
      <alignment horizontal="center" vertical="top" wrapText="1"/>
    </xf>
    <xf fontId="95" fillId="0" borderId="17" numFmtId="49" xfId="0" applyNumberFormat="1" applyFont="1" applyBorder="1">
      <alignment horizontal="center" vertical="top" wrapText="1"/>
    </xf>
    <xf fontId="39" fillId="37" borderId="14" numFmtId="49" xfId="0" applyNumberFormat="1" applyFont="1" applyFill="1" applyBorder="1">
      <alignment horizontal="left" indent="1" vertical="center"/>
    </xf>
    <xf fontId="0" fillId="35" borderId="17" numFmtId="0" xfId="0" applyFont="1" applyFill="1" applyBorder="1">
      <alignment horizontal="center" vertical="center" wrapText="1"/>
    </xf>
    <xf fontId="22" fillId="35" borderId="17" numFmtId="0" xfId="0" applyFont="1" applyFill="1" applyBorder="1">
      <alignment horizontal="center" vertical="center" wrapText="1"/>
    </xf>
    <xf fontId="98" fillId="0" borderId="0" numFmtId="49" xfId="0" applyNumberFormat="1" applyFont="1">
      <alignment horizontal="center" vertical="center" wrapText="1"/>
    </xf>
    <xf fontId="22" fillId="0" borderId="0" numFmtId="0" xfId="0" applyFont="1">
      <alignment vertical="center" wrapText="1"/>
    </xf>
    <xf fontId="22" fillId="0" borderId="0" numFmtId="49" xfId="0" applyNumberFormat="1" applyFont="1">
      <alignment vertical="top"/>
    </xf>
    <xf fontId="22" fillId="35" borderId="0" numFmtId="0" xfId="0" applyFont="1" applyFill="1">
      <alignment vertical="center" wrapText="1"/>
    </xf>
    <xf fontId="22" fillId="0" borderId="38" numFmtId="0" xfId="0" applyFont="1" applyBorder="1">
      <alignment vertical="center" wrapText="1"/>
    </xf>
    <xf fontId="46" fillId="0" borderId="0" numFmtId="0" xfId="0" applyFont="1">
      <alignment vertical="center" wrapText="1"/>
    </xf>
    <xf fontId="22" fillId="0" borderId="0" numFmtId="49" xfId="0" applyNumberFormat="1" applyFont="1">
      <alignment vertical="top"/>
    </xf>
    <xf fontId="22" fillId="35" borderId="0" numFmtId="0" xfId="0" applyFont="1" applyFill="1">
      <alignment vertical="center" wrapText="1"/>
    </xf>
    <xf fontId="22" fillId="0" borderId="0" numFmtId="49" xfId="0" applyNumberFormat="1" applyFont="1">
      <alignment vertical="top"/>
    </xf>
    <xf fontId="22" fillId="0" borderId="0" numFmtId="0" xfId="0" applyFont="1">
      <alignment vertical="center"/>
    </xf>
    <xf fontId="0" fillId="35" borderId="17" numFmtId="0" xfId="0" applyFont="1" applyFill="1" applyBorder="1">
      <alignment horizontal="center" vertical="center" wrapText="1"/>
    </xf>
    <xf fontId="0" fillId="35" borderId="37" numFmtId="0" xfId="0" applyFont="1" applyFill="1" applyBorder="1">
      <alignment horizontal="center" vertical="center" wrapText="1"/>
    </xf>
    <xf fontId="22" fillId="37" borderId="29" numFmtId="0" xfId="0" applyFont="1" applyFill="1" applyBorder="1">
      <alignment vertical="center" wrapText="1"/>
    </xf>
    <xf fontId="22" fillId="0" borderId="0" numFmtId="0" xfId="0" applyFont="1">
      <alignment vertical="center" wrapText="1"/>
    </xf>
    <xf fontId="22" fillId="35" borderId="39" numFmtId="0" xfId="0" applyFont="1" applyFill="1" applyBorder="1">
      <alignment vertical="center" wrapText="1"/>
    </xf>
    <xf fontId="49" fillId="35" borderId="39" numFmtId="0" xfId="0" applyFont="1" applyFill="1" applyBorder="1">
      <alignment horizontal="center" wrapText="1"/>
    </xf>
    <xf fontId="73" fillId="0" borderId="39" numFmtId="49" xfId="0" applyNumberFormat="1" applyFont="1" applyBorder="1">
      <alignment vertical="top"/>
    </xf>
    <xf fontId="44" fillId="0" borderId="0" numFmtId="49" xfId="0" applyNumberFormat="1" applyFont="1">
      <alignment vertical="center"/>
    </xf>
    <xf fontId="99" fillId="0" borderId="0" numFmtId="49" xfId="0" applyNumberFormat="1" applyFont="1">
      <alignment vertical="center"/>
    </xf>
    <xf fontId="44" fillId="0" borderId="0" numFmtId="49" xfId="0" applyNumberFormat="1" applyFont="1">
      <alignment vertical="center"/>
    </xf>
    <xf fontId="44" fillId="0" borderId="0" numFmtId="49" xfId="0" applyNumberFormat="1" applyFont="1">
      <alignment vertical="center"/>
    </xf>
    <xf fontId="44" fillId="0" borderId="0" numFmtId="49" xfId="0" applyNumberFormat="1" applyFont="1">
      <alignment vertical="center" wrapText="1"/>
    </xf>
    <xf fontId="99" fillId="0" borderId="0" numFmtId="49" xfId="0" applyNumberFormat="1" applyFont="1">
      <alignment vertical="center" wrapText="1"/>
    </xf>
    <xf fontId="44" fillId="0" borderId="0" numFmtId="49" xfId="0" applyNumberFormat="1" applyFont="1">
      <alignment vertical="center" wrapText="1"/>
    </xf>
    <xf fontId="44" fillId="0" borderId="0" numFmtId="49" xfId="0" applyNumberFormat="1" applyFont="1">
      <alignment vertical="top"/>
    </xf>
    <xf fontId="44" fillId="0" borderId="0" numFmtId="49" xfId="0" applyNumberFormat="1" applyFont="1">
      <alignment vertical="center" wrapText="1"/>
    </xf>
    <xf fontId="44" fillId="0" borderId="0" numFmtId="49" xfId="0" applyNumberFormat="1" applyFont="1">
      <alignment horizontal="center" vertical="center" wrapText="1"/>
    </xf>
    <xf fontId="99" fillId="0" borderId="0" numFmtId="49" xfId="0" applyNumberFormat="1" applyFont="1">
      <alignment horizontal="center" vertical="center" wrapText="1"/>
    </xf>
    <xf fontId="44" fillId="0" borderId="0" numFmtId="49" xfId="0" applyNumberFormat="1" applyFont="1">
      <alignment horizontal="center" vertical="center" wrapText="1"/>
    </xf>
    <xf fontId="99" fillId="0" borderId="0" numFmtId="49" xfId="0" applyNumberFormat="1" applyFont="1">
      <alignment horizontal="center" vertical="center" wrapText="1"/>
    </xf>
    <xf fontId="44" fillId="0" borderId="0" numFmtId="0" xfId="0" applyFont="1">
      <alignment horizontal="center" vertical="center" wrapText="1"/>
    </xf>
    <xf fontId="99" fillId="0" borderId="0" numFmtId="49" xfId="0" applyNumberFormat="1" applyFont="1">
      <alignment vertical="center" wrapText="1"/>
    </xf>
    <xf fontId="44" fillId="35" borderId="0" numFmtId="49" xfId="0" applyNumberFormat="1" applyFont="1" applyFill="1">
      <alignment vertical="center" wrapText="1"/>
    </xf>
    <xf fontId="44" fillId="0" borderId="0" numFmtId="49" xfId="0" applyNumberFormat="1" applyFont="1">
      <alignment vertical="top"/>
    </xf>
    <xf fontId="44" fillId="35" borderId="0" numFmtId="49" xfId="0" applyNumberFormat="1" applyFont="1" applyFill="1">
      <alignment vertical="center"/>
    </xf>
    <xf fontId="99" fillId="0" borderId="0" numFmtId="49" xfId="0" applyNumberFormat="1" applyFont="1">
      <alignment vertical="center"/>
    </xf>
    <xf fontId="44" fillId="0" borderId="0" numFmtId="49" xfId="0" applyNumberFormat="1" applyFont="1">
      <alignment vertical="top"/>
    </xf>
    <xf fontId="44" fillId="35" borderId="0" numFmtId="4" xfId="0" applyNumberFormat="1" applyFont="1" applyFill="1">
      <alignment vertical="center"/>
    </xf>
    <xf fontId="31" fillId="0" borderId="0" numFmtId="49" xfId="0" applyNumberFormat="1" applyFont="1">
      <alignment horizontal="center" vertical="center" wrapText="1"/>
    </xf>
    <xf fontId="22" fillId="0" borderId="0" numFmtId="49" xfId="0" applyNumberFormat="1" applyFont="1">
      <alignment horizontal="center" vertical="center" wrapText="1"/>
    </xf>
    <xf fontId="22" fillId="35" borderId="0" numFmtId="49" xfId="0" applyNumberFormat="1" applyFont="1" applyFill="1">
      <alignment horizontal="center" vertical="center" wrapText="1"/>
    </xf>
    <xf fontId="47" fillId="0" borderId="13" numFmtId="49" xfId="0" applyNumberFormat="1" applyFont="1" applyBorder="1">
      <alignment horizontal="left" indent="1" vertical="center"/>
    </xf>
    <xf fontId="22" fillId="0" borderId="24" numFmtId="0" xfId="0" applyFont="1" applyBorder="1">
      <alignment vertical="top" wrapText="1"/>
    </xf>
    <xf fontId="22" fillId="0" borderId="14" numFmtId="0" xfId="0" applyFont="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center"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22" fillId="0" borderId="12" numFmtId="49" xfId="0" applyNumberFormat="1" applyFont="1" applyBorder="1">
      <alignment horizontal="center" vertical="center" wrapText="1"/>
    </xf>
    <xf fontId="22" fillId="0" borderId="12" numFmtId="0" xfId="0" applyFont="1" applyBorder="1">
      <alignment horizontal="left" indent="1" vertical="center" wrapText="1"/>
    </xf>
    <xf fontId="22" fillId="39" borderId="12" numFmtId="49" xfId="0" applyNumberFormat="1" applyFont="1" applyFill="1" applyBorder="1">
      <alignment horizontal="left" vertical="center" wrapText="1"/>
      <protection locked="0"/>
    </xf>
    <xf fontId="36" fillId="0" borderId="0" numFmtId="0" xfId="0" applyFont="1">
      <alignment horizontal="center" vertical="center" wrapText="1"/>
    </xf>
    <xf fontId="91" fillId="0" borderId="12" numFmtId="49" xfId="0" applyNumberFormat="1" applyFont="1" applyBorder="1">
      <alignment horizontal="center" vertical="center" wrapText="1"/>
    </xf>
    <xf fontId="91" fillId="0" borderId="12" numFmtId="0" xfId="0" applyFont="1" applyBorder="1">
      <alignment horizontal="center" vertical="center" wrapText="1"/>
    </xf>
    <xf fontId="91" fillId="0" borderId="17" numFmtId="49" xfId="0" applyNumberFormat="1" applyFont="1" applyBorder="1">
      <alignment horizontal="center" vertical="center" wrapText="1"/>
    </xf>
    <xf fontId="91" fillId="0" borderId="23" numFmtId="49" xfId="0" applyNumberFormat="1" applyFont="1" applyBorder="1">
      <alignment horizontal="center" vertical="center" wrapText="1"/>
    </xf>
    <xf fontId="91" fillId="0" borderId="17" numFmtId="0" xfId="0" applyFont="1" applyBorder="1">
      <alignment horizontal="center" vertical="center" wrapText="1"/>
    </xf>
    <xf fontId="95" fillId="0" borderId="22" numFmtId="49" xfId="0" applyNumberFormat="1" applyFont="1" applyBorder="1">
      <alignment horizontal="center" vertical="top" wrapText="1"/>
    </xf>
    <xf fontId="95" fillId="0" borderId="36" numFmtId="49" xfId="0" applyNumberFormat="1" applyFont="1" applyBorder="1">
      <alignment horizontal="left" vertical="top" wrapText="1"/>
    </xf>
    <xf fontId="91" fillId="0" borderId="12" numFmtId="0" xfId="0" applyFont="1" applyBorder="1">
      <alignment vertical="center" wrapText="1"/>
    </xf>
    <xf fontId="91" fillId="0" borderId="17" numFmtId="0" xfId="0" applyFont="1" applyBorder="1">
      <alignment vertical="center" wrapText="1"/>
    </xf>
    <xf fontId="91" fillId="0" borderId="23" numFmtId="0" xfId="0" applyFont="1" applyBorder="1">
      <alignment vertical="center" wrapText="1"/>
    </xf>
    <xf fontId="91" fillId="0" borderId="12" numFmtId="49" xfId="0" applyNumberFormat="1" applyFont="1" applyBorder="1">
      <alignment horizontal="left" vertical="top" wrapText="1"/>
    </xf>
    <xf fontId="22" fillId="39" borderId="17" numFmtId="178" xfId="0" applyNumberFormat="1" applyFont="1" applyFill="1" applyBorder="1">
      <alignment horizontal="right" vertical="center" wrapText="1"/>
      <protection locked="0"/>
    </xf>
    <xf fontId="22" fillId="0" borderId="13" numFmtId="0" xfId="0" applyFont="1" applyBorder="1">
      <alignment horizontal="center" vertical="center" wrapText="1"/>
    </xf>
    <xf fontId="22" fillId="0" borderId="20" numFmtId="0" xfId="0" applyFont="1" applyBorder="1">
      <alignment horizontal="center" vertical="center" wrapText="1"/>
    </xf>
    <xf fontId="22" fillId="37" borderId="37" numFmtId="49" xfId="0" applyNumberFormat="1" applyFont="1" applyFill="1" applyBorder="1">
      <alignment vertical="center" wrapText="1"/>
    </xf>
    <xf fontId="39" fillId="37" borderId="19" numFmtId="49" xfId="0" applyNumberFormat="1" applyFont="1" applyFill="1" applyBorder="1">
      <alignment horizontal="left" indent="1" vertical="center"/>
    </xf>
    <xf fontId="22" fillId="37" borderId="37" numFmtId="49" xfId="0" applyNumberFormat="1" applyFont="1" applyFill="1" applyBorder="1">
      <alignment vertical="center" wrapText="1"/>
    </xf>
    <xf fontId="39" fillId="37" borderId="19" numFmtId="49" xfId="0" applyNumberFormat="1" applyFont="1" applyFill="1" applyBorder="1">
      <alignment horizontal="left" indent="1" vertical="center"/>
    </xf>
    <xf fontId="72" fillId="0" borderId="0" numFmtId="0" xfId="0" applyFont="1">
      <alignment horizontal="center" vertical="center" wrapText="1"/>
    </xf>
    <xf fontId="22" fillId="39" borderId="13" numFmtId="4" xfId="0" applyNumberFormat="1" applyFont="1" applyFill="1" applyBorder="1">
      <alignment horizontal="right" vertical="center" wrapText="1"/>
      <protection locked="0"/>
    </xf>
    <xf fontId="22" fillId="39" borderId="13" numFmtId="178" xfId="0" applyNumberFormat="1" applyFont="1" applyFill="1" applyBorder="1">
      <alignment horizontal="right" vertical="center" wrapText="1"/>
      <protection locked="0"/>
    </xf>
    <xf fontId="22" fillId="34" borderId="13" numFmtId="178" xfId="0" applyNumberFormat="1" applyFont="1" applyFill="1" applyBorder="1">
      <alignment horizontal="right" vertical="center" wrapText="1"/>
    </xf>
    <xf fontId="22" fillId="39" borderId="29" numFmtId="4" xfId="0" applyNumberFormat="1" applyFont="1" applyFill="1" applyBorder="1">
      <alignment horizontal="right" vertical="center" wrapText="1"/>
      <protection locked="0"/>
    </xf>
    <xf fontId="91" fillId="41" borderId="12" numFmtId="49" xfId="0" applyNumberFormat="1" applyFont="1" applyFill="1" applyBorder="1">
      <alignment horizontal="center" vertical="top"/>
    </xf>
    <xf fontId="95" fillId="0" borderId="0" numFmtId="49" xfId="0" applyNumberFormat="1" applyFont="1">
      <alignment vertical="top"/>
    </xf>
    <xf fontId="91" fillId="0" borderId="12" numFmtId="49" xfId="0" applyNumberFormat="1" applyFont="1" applyBorder="1">
      <alignment horizontal="center" vertical="top" wrapText="1"/>
    </xf>
    <xf fontId="91" fillId="0" borderId="12" numFmtId="49" xfId="0" applyNumberFormat="1" applyFont="1" applyBorder="1">
      <alignment vertical="top" wrapText="1"/>
    </xf>
    <xf fontId="91" fillId="0" borderId="12" numFmtId="0" xfId="0" applyFont="1" applyBorder="1">
      <alignment vertical="top" wrapText="1"/>
    </xf>
    <xf fontId="91" fillId="0" borderId="12" numFmtId="49" xfId="0" applyNumberFormat="1" applyFont="1" applyBorder="1">
      <alignment vertical="top"/>
    </xf>
    <xf fontId="95" fillId="0" borderId="12" numFmtId="49" xfId="0" applyNumberFormat="1" applyFont="1" applyBorder="1">
      <alignment vertical="top"/>
    </xf>
    <xf fontId="91" fillId="0" borderId="0" numFmtId="49" xfId="0" applyNumberFormat="1" applyFont="1">
      <alignment horizontal="center" vertical="center" wrapText="1"/>
    </xf>
    <xf fontId="91" fillId="0" borderId="0" numFmtId="49" xfId="0" applyNumberFormat="1" applyFont="1">
      <alignment horizontal="left" vertical="center" wrapText="1"/>
    </xf>
    <xf fontId="91" fillId="46" borderId="0" numFmtId="49" xfId="0" applyNumberFormat="1" applyFont="1" applyFill="1">
      <alignment horizontal="center" vertical="center" wrapText="1"/>
    </xf>
    <xf fontId="91" fillId="0" borderId="0" numFmtId="0" xfId="0" applyFont="1">
      <alignment vertical="center" wrapText="1"/>
    </xf>
    <xf fontId="47" fillId="0" borderId="12" numFmtId="0" xfId="0" applyFont="1" applyBorder="1">
      <alignment horizontal="left" indent="3" vertical="center" wrapText="1"/>
    </xf>
    <xf fontId="47" fillId="0" borderId="12" numFmtId="49" xfId="0" applyNumberFormat="1" applyFont="1" applyBorder="1">
      <alignment vertical="center" wrapText="1"/>
    </xf>
    <xf fontId="47" fillId="0" borderId="17" numFmtId="0" xfId="0" applyFont="1" applyBorder="1">
      <alignment vertical="top" wrapText="1"/>
    </xf>
    <xf fontId="47" fillId="0" borderId="36" numFmtId="0" xfId="0" applyFont="1" applyBorder="1">
      <alignment horizontal="left" indent="1" vertical="center" wrapText="1"/>
    </xf>
    <xf fontId="47" fillId="0" borderId="36" numFmtId="0" xfId="0" applyFont="1" applyBorder="1">
      <alignment horizontal="center" vertical="center" wrapText="1"/>
    </xf>
    <xf fontId="47" fillId="0" borderId="17" numFmtId="0" xfId="0" applyFont="1" applyBorder="1">
      <alignment vertical="center" wrapText="1"/>
    </xf>
    <xf fontId="47" fillId="0" borderId="23" numFmtId="0" xfId="0" applyFont="1" applyBorder="1">
      <alignment horizontal="left" indent="1" vertical="center" wrapText="1"/>
    </xf>
    <xf fontId="47" fillId="0" borderId="17" numFmtId="0" xfId="0" applyFont="1" applyBorder="1">
      <alignment horizontal="left" indent="1" vertical="center" wrapText="1"/>
    </xf>
    <xf fontId="95" fillId="41" borderId="12" numFmtId="49" xfId="0" applyNumberFormat="1" applyFont="1" applyFill="1" applyBorder="1">
      <alignment horizontal="center" vertical="top" wrapText="1"/>
    </xf>
    <xf fontId="95" fillId="41" borderId="12" numFmtId="49" xfId="0" applyNumberFormat="1" applyFont="1" applyFill="1" applyBorder="1">
      <alignment horizontal="left" vertical="top" wrapText="1"/>
    </xf>
    <xf fontId="95" fillId="41" borderId="0" numFmtId="49" xfId="0" applyNumberFormat="1" applyFont="1" applyFill="1">
      <alignment horizontal="left" vertical="top" wrapText="1"/>
    </xf>
    <xf fontId="91" fillId="0" borderId="14" numFmtId="0" xfId="0" applyFont="1" applyBorder="1">
      <alignment horizontal="center" vertical="center" wrapText="1"/>
    </xf>
    <xf fontId="22" fillId="0" borderId="23" numFmtId="0" xfId="0" applyFont="1" applyBorder="1">
      <alignment vertical="top" wrapText="1"/>
    </xf>
    <xf fontId="22" fillId="0" borderId="23" numFmtId="0" xfId="0" applyFont="1" applyBorder="1">
      <alignment vertical="top" wrapText="1"/>
    </xf>
    <xf fontId="91" fillId="0" borderId="14" numFmtId="0" xfId="0" applyFont="1" applyBorder="1">
      <alignment horizontal="center" vertical="center"/>
    </xf>
    <xf fontId="47" fillId="35" borderId="12" numFmtId="49" xfId="0" applyNumberFormat="1" applyFont="1" applyFill="1" applyBorder="1">
      <alignment horizontal="center" vertical="center"/>
    </xf>
    <xf fontId="47" fillId="35" borderId="12" numFmtId="0" xfId="0" applyFont="1" applyFill="1" applyBorder="1">
      <alignment horizontal="left" indent="1" vertical="center" wrapText="1"/>
    </xf>
    <xf fontId="47" fillId="35" borderId="12" numFmtId="0" xfId="0" applyFont="1" applyFill="1" applyBorder="1">
      <alignment vertical="center" wrapText="1"/>
    </xf>
    <xf fontId="47" fillId="0" borderId="12" numFmtId="49" xfId="0" applyNumberFormat="1" applyFont="1" applyBorder="1">
      <alignment horizontal="center" vertical="center"/>
    </xf>
    <xf fontId="47" fillId="0" borderId="12" numFmtId="0" xfId="0" applyFont="1" applyBorder="1">
      <alignment horizontal="left" indent="1" vertical="center" wrapText="1"/>
    </xf>
    <xf fontId="47" fillId="0" borderId="12" numFmtId="0" xfId="0" applyFont="1" applyBorder="1">
      <alignment horizontal="left" vertical="center" wrapText="1"/>
    </xf>
    <xf fontId="47" fillId="0" borderId="12" numFmtId="0" xfId="0" applyFont="1" applyBorder="1">
      <alignment vertical="center" wrapText="1"/>
    </xf>
    <xf fontId="47" fillId="0" borderId="12" numFmtId="0" xfId="0" applyFont="1" applyBorder="1">
      <alignment horizontal="center" vertical="center" wrapText="1"/>
    </xf>
    <xf fontId="47" fillId="35" borderId="12" numFmtId="0" xfId="0" applyFont="1" applyFill="1" applyBorder="1">
      <alignment horizontal="left" indent="2" vertical="center" wrapText="1"/>
    </xf>
    <xf fontId="47" fillId="0" borderId="12" numFmtId="49" xfId="0" applyNumberFormat="1" applyFont="1" applyBorder="1">
      <alignment horizontal="left" vertical="center" wrapText="1"/>
    </xf>
    <xf fontId="47" fillId="0" borderId="12" numFmtId="49" xfId="0" applyNumberFormat="1" applyFont="1" applyBorder="1">
      <alignment horizontal="left" vertical="center" wrapText="1"/>
    </xf>
    <xf fontId="22" fillId="0" borderId="23" numFmtId="2" xfId="0" applyNumberFormat="1" applyFont="1" applyBorder="1">
      <alignment horizontal="center" vertical="center" wrapText="1"/>
    </xf>
    <xf fontId="100" fillId="0" borderId="0" numFmtId="0" xfId="0" applyFont="1">
      <alignment horizontal="center" vertical="center" wrapText="1"/>
    </xf>
    <xf fontId="101" fillId="35" borderId="0" numFmtId="0" xfId="0" applyFont="1" applyFill="1">
      <alignment horizontal="right" vertical="center"/>
    </xf>
    <xf fontId="22" fillId="0" borderId="23" numFmtId="0" xfId="0" applyFont="1" applyBorder="1">
      <alignment horizontal="left" vertical="center" wrapText="1"/>
    </xf>
    <xf fontId="46" fillId="0" borderId="0" numFmtId="49" xfId="0" applyNumberFormat="1" applyFont="1">
      <alignment horizontal="center" vertical="center" wrapText="1"/>
    </xf>
    <xf fontId="47" fillId="0" borderId="27" numFmtId="0" xfId="0" applyFont="1" applyBorder="1">
      <alignment vertical="center" wrapText="1"/>
    </xf>
    <xf fontId="53" fillId="0" borderId="14" numFmtId="49" xfId="0" applyNumberFormat="1" applyFont="1" applyBorder="1">
      <alignment horizontal="left" vertical="center" wrapText="1"/>
    </xf>
    <xf fontId="53" fillId="0" borderId="15" numFmtId="49" xfId="0" applyNumberFormat="1" applyFont="1" applyBorder="1">
      <alignment horizontal="left" vertical="center" wrapText="1"/>
    </xf>
    <xf fontId="47" fillId="0" borderId="0" numFmtId="49" xfId="0" applyNumberFormat="1" applyFont="1">
      <alignment horizontal="center" vertical="center" wrapText="1"/>
    </xf>
    <xf fontId="47" fillId="0" borderId="0" numFmtId="0" xfId="0" applyFont="1">
      <alignment horizontal="center" vertical="center" wrapText="1"/>
    </xf>
    <xf fontId="22" fillId="0" borderId="17" numFmtId="4" xfId="0" applyNumberFormat="1" applyFont="1" applyBorder="1">
      <alignment horizontal="center" vertical="center" wrapText="1"/>
    </xf>
    <xf fontId="22" fillId="0" borderId="32" numFmtId="4" xfId="0" applyNumberFormat="1" applyFont="1" applyBorder="1">
      <alignment horizontal="center" vertical="center" wrapText="1"/>
    </xf>
    <xf fontId="53" fillId="0" borderId="37" numFmtId="49" xfId="0" applyNumberFormat="1" applyFont="1" applyBorder="1">
      <alignment horizontal="left" vertical="center" wrapText="1"/>
    </xf>
    <xf fontId="53" fillId="0" borderId="30" numFmtId="49" xfId="0" applyNumberFormat="1" applyFont="1" applyBorder="1">
      <alignment horizontal="left" vertical="center" wrapText="1"/>
    </xf>
    <xf fontId="22" fillId="0" borderId="36" numFmtId="0" xfId="0" applyFont="1" applyBorder="1">
      <alignment vertical="center" wrapText="1"/>
    </xf>
    <xf fontId="22" fillId="0" borderId="32" numFmtId="0" xfId="0" applyFont="1" applyBorder="1">
      <alignment horizontal="left" vertical="center" wrapText="1"/>
    </xf>
    <xf fontId="46" fillId="0" borderId="0" numFmtId="49" xfId="0" applyNumberFormat="1" applyFont="1">
      <alignment horizontal="center" vertical="center" wrapText="1"/>
    </xf>
    <xf fontId="22" fillId="0" borderId="0" numFmtId="0" xfId="0" applyFont="1">
      <alignment vertical="top" wrapText="1"/>
    </xf>
    <xf fontId="22" fillId="0" borderId="0" numFmtId="0" xfId="0" applyFont="1">
      <alignment vertical="top"/>
    </xf>
    <xf fontId="22" fillId="0" borderId="40" numFmtId="4" xfId="0" applyNumberFormat="1" applyFont="1" applyBorder="1">
      <alignment horizontal="center" vertical="center" wrapText="1"/>
    </xf>
    <xf fontId="47" fillId="0" borderId="0" numFmtId="0" xfId="0" applyFont="1">
      <alignment horizontal="center" vertical="top"/>
    </xf>
    <xf fontId="47" fillId="0" borderId="0" numFmtId="49" xfId="0" applyNumberFormat="1" applyFont="1">
      <alignment vertical="top"/>
    </xf>
    <xf fontId="47" fillId="0" borderId="23" numFmtId="0" xfId="0" applyFont="1" applyBorder="1">
      <alignment vertical="center" wrapText="1"/>
    </xf>
    <xf fontId="47" fillId="0" borderId="12" numFmtId="4" xfId="0" applyNumberFormat="1" applyFont="1" applyBorder="1">
      <alignment horizontal="right" vertical="center" wrapText="1"/>
    </xf>
    <xf fontId="47" fillId="0" borderId="23" numFmtId="2" xfId="0" applyNumberFormat="1" applyFont="1" applyBorder="1">
      <alignment horizontal="center" vertical="center" wrapText="1"/>
    </xf>
    <xf fontId="47" fillId="0" borderId="12" numFmtId="0" xfId="0" applyFont="1" applyBorder="1">
      <alignment horizontal="left" vertical="center" wrapText="1"/>
    </xf>
    <xf fontId="47" fillId="0" borderId="14" numFmtId="49" xfId="0" applyNumberFormat="1" applyFont="1" applyBorder="1">
      <alignment horizontal="left" vertical="center"/>
    </xf>
    <xf fontId="47" fillId="0" borderId="15" numFmtId="49" xfId="0" applyNumberFormat="1" applyFont="1" applyBorder="1">
      <alignment horizontal="left" indent="1" vertical="center"/>
    </xf>
    <xf fontId="47" fillId="0" borderId="15" numFmtId="49" xfId="0" applyNumberFormat="1" applyFont="1" applyBorder="1">
      <alignment horizontal="left" vertical="center"/>
    </xf>
    <xf fontId="47" fillId="0" borderId="12" numFmtId="0" xfId="0" applyFont="1" applyBorder="1">
      <alignment horizontal="left" indent="1" vertical="center"/>
    </xf>
    <xf fontId="39" fillId="0" borderId="19" numFmtId="49" xfId="0" applyNumberFormat="1" applyFont="1" applyBorder="1">
      <alignment horizontal="right" vertical="center"/>
    </xf>
    <xf fontId="22" fillId="40" borderId="12" numFmtId="0" xfId="0" applyFont="1" applyFill="1" applyBorder="1">
      <alignment horizontal="left" indent="1" vertical="center" wrapText="1"/>
    </xf>
    <xf fontId="22" fillId="0" borderId="12" numFmtId="0" xfId="0" applyFont="1" applyBorder="1">
      <alignment horizontal="center" vertical="center" wrapText="1"/>
    </xf>
    <xf fontId="47" fillId="0" borderId="0" numFmtId="0" xfId="0" applyFont="1">
      <alignment horizontal="center"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61" fillId="35" borderId="0" numFmtId="0" xfId="0" applyFont="1" applyFill="1">
      <alignment horizontal="left" indent="1" vertical="center" wrapText="1"/>
    </xf>
    <xf fontId="22" fillId="0" borderId="0" numFmtId="0" xfId="0" applyFont="1">
      <alignment horizontal="left" indent="1" vertical="center" wrapText="1"/>
    </xf>
    <xf fontId="53" fillId="36" borderId="13" numFmtId="49" xfId="0" applyNumberFormat="1" applyFont="1" applyFill="1" applyBorder="1">
      <alignment horizontal="left" vertical="center" wrapText="1"/>
      <protection locked="0"/>
    </xf>
    <xf fontId="22" fillId="0" borderId="0" numFmtId="49" xfId="0" applyNumberFormat="1" applyFont="1">
      <alignment horizontal="center" vertical="center" wrapText="1"/>
    </xf>
    <xf fontId="22" fillId="0" borderId="19" numFmtId="0" xfId="0" applyFont="1" applyBorder="1">
      <alignment vertical="center" wrapText="1"/>
    </xf>
    <xf fontId="22" fillId="0" borderId="27" numFmtId="0" xfId="0" applyFont="1" applyBorder="1">
      <alignment vertical="center" wrapText="1"/>
    </xf>
    <xf fontId="22" fillId="37" borderId="41" numFmtId="49" xfId="0" applyNumberFormat="1" applyFont="1" applyFill="1" applyBorder="1">
      <alignment horizontal="center" vertical="center" wrapText="1"/>
    </xf>
    <xf fontId="49" fillId="37" borderId="42" numFmtId="49" xfId="0" applyNumberFormat="1" applyFont="1" applyFill="1" applyBorder="1">
      <alignment horizontal="right" vertical="center" wrapText="1"/>
    </xf>
    <xf fontId="49" fillId="37" borderId="43" numFmtId="49" xfId="0" applyNumberFormat="1" applyFont="1" applyFill="1" applyBorder="1">
      <alignment horizontal="right" vertical="center" wrapText="1"/>
    </xf>
    <xf fontId="44" fillId="0" borderId="0" numFmtId="49" xfId="0" applyNumberFormat="1" applyFont="1">
      <alignment vertical="top"/>
    </xf>
    <xf fontId="44" fillId="0" borderId="0" numFmtId="49" xfId="0" applyNumberFormat="1" applyFont="1">
      <alignment vertical="center" wrapText="1"/>
    </xf>
    <xf fontId="44" fillId="0" borderId="0" numFmtId="0" xfId="0" applyFont="1">
      <alignment vertical="center" wrapText="1"/>
    </xf>
    <xf fontId="94" fillId="0" borderId="0" numFmtId="49" xfId="0" applyNumberFormat="1" applyFont="1">
      <alignment vertical="center" wrapText="1"/>
    </xf>
    <xf fontId="0" fillId="0" borderId="0" numFmtId="49" xfId="0" applyNumberFormat="1" applyFont="1">
      <alignment vertical="center" wrapText="1"/>
    </xf>
    <xf fontId="31" fillId="47" borderId="0" numFmtId="49" xfId="0" applyNumberFormat="1" applyFont="1" applyFill="1">
      <alignment horizontal="center" vertical="center"/>
    </xf>
    <xf fontId="0" fillId="48" borderId="0" numFmtId="0" xfId="0" applyFont="1" applyFill="1">
      <alignment horizontal="left" vertical="center"/>
    </xf>
    <xf fontId="0" fillId="49" borderId="12" numFmtId="0" xfId="0" applyFont="1" applyFill="1" applyBorder="1">
      <alignment horizontal="center" vertical="center"/>
    </xf>
    <xf fontId="0" fillId="0" borderId="0" numFmtId="49" xfId="0" applyNumberFormat="1" applyFont="1">
      <alignment vertical="center"/>
    </xf>
    <xf fontId="46" fillId="47" borderId="12" numFmtId="49" xfId="0" applyNumberFormat="1" applyFont="1" applyFill="1" applyBorder="1">
      <alignment horizontal="center" vertical="center"/>
    </xf>
    <xf fontId="46" fillId="50" borderId="12" numFmtId="49" xfId="0" applyNumberFormat="1" applyFont="1" applyFill="1" applyBorder="1">
      <alignment horizontal="center" vertical="center"/>
    </xf>
    <xf fontId="0" fillId="51" borderId="12" numFmtId="49" xfId="0" applyNumberFormat="1" applyFont="1" applyFill="1" applyBorder="1">
      <alignment horizontal="center" vertical="center"/>
    </xf>
    <xf fontId="22" fillId="0" borderId="0" numFmtId="49" xfId="0" applyNumberFormat="1" applyFont="1">
      <alignment vertical="top"/>
    </xf>
    <xf fontId="22" fillId="0" borderId="12" numFmtId="0" xfId="0" applyFont="1" applyBorder="1">
      <alignment vertical="center"/>
    </xf>
    <xf fontId="0" fillId="0" borderId="12" numFmtId="0" xfId="0" applyFont="1" applyBorder="1">
      <alignment vertical="center"/>
    </xf>
    <xf fontId="0" fillId="0" borderId="12" numFmtId="0" xfId="0" applyFont="1" applyBorder="1">
      <alignment vertical="center"/>
    </xf>
    <xf fontId="0" fillId="0" borderId="14" numFmtId="0" xfId="0" applyFont="1" applyBorder="1">
      <alignment vertical="center"/>
    </xf>
    <xf fontId="0" fillId="0" borderId="14" numFmtId="0" xfId="0" applyFont="1" applyBorder="1">
      <alignment vertical="center"/>
    </xf>
    <xf fontId="22" fillId="0" borderId="44" numFmtId="49" xfId="0" applyNumberFormat="1" applyFont="1" applyBorder="1">
      <alignment vertical="center"/>
    </xf>
    <xf fontId="22" fillId="0" borderId="45" numFmtId="49" xfId="0" applyNumberFormat="1" applyFont="1" applyBorder="1">
      <alignment vertical="top"/>
    </xf>
    <xf fontId="0" fillId="0" borderId="13" numFmtId="0" xfId="0" applyFont="1" applyBorder="1">
      <alignment vertical="center"/>
    </xf>
    <xf fontId="0" fillId="0" borderId="12" numFmtId="0" xfId="0" applyFont="1" applyBorder="1">
      <alignment horizontal="right" vertical="top"/>
    </xf>
    <xf fontId="0" fillId="0" borderId="12" numFmtId="0" xfId="0" applyFont="1" applyBorder="1">
      <alignment vertical="top"/>
    </xf>
    <xf fontId="22" fillId="0" borderId="13" numFmtId="0" xfId="0" applyFont="1" applyBorder="1">
      <alignment vertical="center"/>
    </xf>
    <xf fontId="22" fillId="0" borderId="12" numFmtId="49" xfId="0" applyNumberFormat="1" applyFont="1" applyBorder="1">
      <alignment vertical="center"/>
    </xf>
    <xf fontId="0" fillId="0" borderId="0" numFmtId="0" xfId="0" applyFont="1">
      <alignment vertical="top"/>
    </xf>
    <xf fontId="22" fillId="0" borderId="12" numFmtId="0" xfId="0" applyFont="1" applyBorder="1">
      <alignment vertical="top"/>
    </xf>
    <xf fontId="22" fillId="0" borderId="12" numFmtId="49" xfId="0" applyNumberFormat="1" applyFont="1" applyBorder="1">
      <alignment vertical="top"/>
    </xf>
    <xf fontId="0" fillId="0" borderId="0" numFmtId="49" xfId="0" applyNumberFormat="1" applyFont="1">
      <alignment vertical="top"/>
    </xf>
    <xf fontId="22" fillId="0" borderId="0" numFmtId="0" xfId="0" applyFont="1">
      <alignment vertical="center"/>
    </xf>
    <xf fontId="22" fillId="0" borderId="14" numFmtId="49" xfId="0" applyNumberFormat="1" applyFont="1" applyBorder="1">
      <alignment vertical="top"/>
    </xf>
    <xf fontId="0" fillId="0" borderId="0" numFmtId="0" xfId="0" applyFont="1">
      <alignment vertical="center"/>
    </xf>
    <xf fontId="22" fillId="0" borderId="0" numFmtId="0" xfId="0" applyFont="1">
      <alignment vertical="top"/>
    </xf>
    <xf fontId="22" fillId="0" borderId="12" numFmtId="49" xfId="0" applyNumberFormat="1" applyFont="1" applyBorder="1">
      <alignment vertical="top"/>
    </xf>
    <xf fontId="0" fillId="0" borderId="14" numFmtId="49" xfId="0" applyNumberFormat="1" applyFont="1" applyBorder="1">
      <alignment vertical="top"/>
    </xf>
    <xf fontId="0" fillId="0" borderId="17" numFmtId="0" xfId="0" applyFont="1" applyBorder="1">
      <alignment vertical="top"/>
    </xf>
    <xf fontId="22" fillId="0" borderId="17" numFmtId="0" xfId="0" applyFont="1" applyBorder="1">
      <alignment vertical="center"/>
    </xf>
    <xf fontId="22" fillId="0" borderId="31" numFmtId="49" xfId="0" applyNumberFormat="1" applyFont="1" applyBorder="1">
      <alignment horizontal="center" vertical="center"/>
    </xf>
    <xf fontId="22" fillId="0" borderId="0" numFmtId="49" xfId="0" applyNumberFormat="1" applyFont="1">
      <alignment vertical="top"/>
    </xf>
    <xf fontId="22" fillId="0" borderId="0" numFmtId="49" xfId="0" applyNumberFormat="1" applyFont="1">
      <alignment vertical="top"/>
    </xf>
    <xf fontId="0" fillId="36" borderId="31" numFmtId="49" xfId="0" applyNumberFormat="1" applyFont="1" applyFill="1" applyBorder="1">
      <alignment horizontal="left" vertical="center"/>
      <protection locked="0"/>
    </xf>
    <xf fontId="0" fillId="0" borderId="12" numFmtId="49" xfId="0" applyNumberFormat="1" applyFont="1" applyBorder="1">
      <alignment horizontal="center" vertical="center"/>
    </xf>
    <xf fontId="0" fillId="0" borderId="31" numFmtId="49" xfId="0" applyNumberFormat="1" applyFont="1" applyBorder="1">
      <alignment horizontal="right" vertical="center"/>
    </xf>
    <xf fontId="0" fillId="34" borderId="31" numFmtId="0" xfId="0" applyFont="1" applyFill="1" applyBorder="1">
      <alignment horizontal="center" vertical="center"/>
    </xf>
    <xf fontId="0" fillId="0" borderId="31" numFmtId="49" xfId="0" applyNumberFormat="1" applyFont="1" applyBorder="1">
      <alignment horizontal="center" vertical="center"/>
    </xf>
    <xf fontId="0" fillId="0" borderId="0" numFmtId="49" xfId="0" applyNumberFormat="1" applyFont="1">
      <alignment horizontal="left" vertical="center"/>
    </xf>
    <xf fontId="0" fillId="0" borderId="0" numFmtId="0" xfId="0" applyFont="1">
      <alignment horizontal="center" vertical="center"/>
    </xf>
    <xf fontId="102" fillId="0" borderId="46" numFmtId="0" xfId="0" applyFont="1" applyBorder="1">
      <alignment horizontal="center" vertical="center"/>
    </xf>
    <xf fontId="0" fillId="0" borderId="46" numFmtId="0" xfId="0" applyFont="1" applyBorder="1">
      <alignment horizontal="center" vertical="center"/>
    </xf>
    <xf fontId="31" fillId="47" borderId="12" numFmtId="49" xfId="0" applyNumberFormat="1" applyFont="1" applyFill="1" applyBorder="1">
      <alignment horizontal="right" vertical="center"/>
    </xf>
    <xf fontId="22" fillId="36" borderId="37" numFmtId="49" xfId="0" applyNumberFormat="1" applyFont="1" applyFill="1" applyBorder="1">
      <alignment vertical="top"/>
      <protection locked="0"/>
    </xf>
    <xf fontId="22" fillId="0" borderId="12" numFmtId="0" xfId="0" applyFont="1" applyBorder="1">
      <alignment vertical="top"/>
    </xf>
    <xf fontId="22" fillId="41" borderId="23" numFmtId="49" xfId="0" applyNumberFormat="1" applyFont="1" applyFill="1" applyBorder="1">
      <alignment vertical="top"/>
    </xf>
    <xf fontId="22" fillId="41" borderId="12" numFmtId="49" xfId="0" applyNumberFormat="1" applyFont="1" applyFill="1" applyBorder="1">
      <alignment vertical="top"/>
    </xf>
    <xf fontId="0" fillId="0" borderId="32" numFmtId="0" xfId="0" applyFont="1" applyBorder="1">
      <alignment horizontal="center" vertical="center"/>
    </xf>
    <xf fontId="0" fillId="0" borderId="0" numFmtId="49" xfId="0" applyNumberFormat="1" applyFont="1">
      <alignment vertical="center"/>
    </xf>
    <xf fontId="31" fillId="47" borderId="14" numFmtId="49" xfId="0" applyNumberFormat="1" applyFont="1" applyFill="1" applyBorder="1">
      <alignment horizontal="right" vertical="center"/>
    </xf>
    <xf fontId="22" fillId="0" borderId="0" numFmtId="49" xfId="0" applyNumberFormat="1" applyFont="1">
      <alignment vertical="center"/>
    </xf>
    <xf fontId="0" fillId="48" borderId="0" numFmtId="0" xfId="0" applyFont="1" applyFill="1">
      <alignment horizontal="right" vertical="center"/>
    </xf>
    <xf fontId="103" fillId="0" borderId="47" numFmtId="0" xfId="0" applyFont="1" applyBorder="1">
      <alignment horizontal="left" indent="1" vertical="center"/>
    </xf>
    <xf fontId="103" fillId="0" borderId="48" numFmtId="0" xfId="0" applyFont="1" applyBorder="1">
      <alignment horizontal="left" indent="1" vertical="center"/>
    </xf>
    <xf fontId="103" fillId="0" borderId="49" numFmtId="0" xfId="0" applyFont="1" applyBorder="1">
      <alignment horizontal="left" indent="1" vertical="center"/>
    </xf>
    <xf fontId="22" fillId="35" borderId="0" numFmtId="0" xfId="0" applyFont="1" applyFill="1">
      <alignment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98" fillId="0" borderId="0" numFmtId="49" xfId="0" applyNumberFormat="1" applyFont="1">
      <alignment horizontal="center" vertical="center" wrapText="1"/>
    </xf>
    <xf fontId="22" fillId="35" borderId="0" numFmtId="0" xfId="0" applyFont="1" applyFill="1">
      <alignment vertical="center" wrapText="1"/>
    </xf>
    <xf fontId="22" fillId="0" borderId="0" numFmtId="0" xfId="0" applyFont="1">
      <alignment vertical="center" wrapText="1"/>
    </xf>
    <xf fontId="49" fillId="35" borderId="39" numFmtId="0" xfId="0" applyFont="1" applyFill="1" applyBorder="1">
      <alignment horizontal="center" wrapText="1"/>
    </xf>
    <xf fontId="73" fillId="0" borderId="39" numFmtId="49" xfId="0" applyNumberFormat="1" applyFont="1" applyBorder="1">
      <alignment vertical="top"/>
    </xf>
    <xf fontId="0" fillId="0" borderId="12" numFmtId="0" xfId="0" applyFont="1" applyBorder="1">
      <alignment horizontal="center" vertical="center" wrapText="1"/>
    </xf>
    <xf fontId="22" fillId="0" borderId="0" numFmtId="0" xfId="0" applyFont="1">
      <alignment horizontal="left" indent="3" vertical="center" wrapText="1"/>
    </xf>
    <xf fontId="22" fillId="0" borderId="0" numFmtId="0" xfId="0" applyFont="1">
      <alignment horizontal="left" indent="3"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22" fillId="0" borderId="12" numFmtId="0" xfId="0" applyFont="1" applyBorder="1">
      <alignment horizontal="center" vertical="center" wrapText="1"/>
    </xf>
    <xf fontId="22" fillId="0" borderId="0" numFmtId="0" xfId="0" applyFont="1">
      <alignment vertical="center" wrapText="1"/>
    </xf>
    <xf fontId="22" fillId="35" borderId="39" numFmtId="0" xfId="0" applyFont="1" applyFill="1" applyBorder="1">
      <alignment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22" fillId="0" borderId="0" numFmtId="0" xfId="0" applyFont="1">
      <alignment vertical="center" wrapText="1"/>
    </xf>
    <xf fontId="22" fillId="0" borderId="0" numFmtId="0" xfId="0" applyFont="1">
      <alignment vertical="center" wrapText="1"/>
    </xf>
    <xf fontId="22" fillId="35" borderId="39" numFmtId="0" xfId="0" applyFont="1" applyFill="1" applyBorder="1">
      <alignment vertical="center" wrapText="1"/>
    </xf>
    <xf fontId="22" fillId="39" borderId="12" numFmtId="0" xfId="0" applyFont="1" applyFill="1" applyBorder="1">
      <alignment horizontal="left" indent="1" vertical="center" wrapText="1"/>
      <protection locked="0"/>
    </xf>
    <xf fontId="46" fillId="47" borderId="0" numFmtId="49" xfId="0" applyNumberFormat="1" applyFont="1" applyFill="1">
      <alignment horizontal="center"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104" fillId="0" borderId="16" numFmtId="49" xfId="0" applyNumberFormat="1" applyFont="1" applyBorder="1">
      <alignment vertical="top"/>
    </xf>
    <xf fontId="0" fillId="0" borderId="0" numFmtId="0" xfId="0" applyFont="1">
      <alignment vertical="top"/>
    </xf>
    <xf fontId="46" fillId="0" borderId="0" numFmtId="0" xfId="0" applyFont="1">
      <alignment vertical="center" wrapText="1"/>
    </xf>
    <xf fontId="53" fillId="39" borderId="12" numFmtId="49" xfId="0" applyNumberFormat="1" applyFont="1" applyFill="1" applyBorder="1">
      <alignment horizontal="left" vertical="center" wrapText="1"/>
      <protection locked="0"/>
    </xf>
    <xf fontId="22" fillId="0" borderId="14" numFmtId="0" xfId="0" applyFont="1" applyBorder="1">
      <alignment horizontal="left" vertical="center"/>
    </xf>
    <xf fontId="0" fillId="0" borderId="14" numFmtId="0" xfId="0" applyFont="1" applyBorder="1">
      <alignment horizontal="left" vertical="center"/>
    </xf>
    <xf fontId="53" fillId="39" borderId="12" numFmtId="49" xfId="0" applyNumberFormat="1" applyFont="1" applyFill="1" applyBorder="1">
      <alignment horizontal="left" vertical="center" wrapText="1"/>
      <protection locked="0"/>
    </xf>
    <xf fontId="22" fillId="35" borderId="26" numFmtId="0" xfId="0" applyFont="1" applyFill="1" applyBorder="1">
      <alignment horizontal="right" indent="1"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39" fillId="37" borderId="15" numFmtId="49" xfId="0" applyNumberFormat="1" applyFont="1" applyFill="1" applyBorder="1">
      <alignment horizontal="left" indent="1" vertical="center"/>
    </xf>
    <xf fontId="22" fillId="39" borderId="31" numFmtId="4" xfId="0" applyNumberFormat="1" applyFont="1" applyFill="1" applyBorder="1">
      <alignment horizontal="right" vertical="center" wrapText="1"/>
      <protection locked="0"/>
    </xf>
    <xf fontId="22" fillId="35" borderId="0" numFmtId="0" xfId="0" applyFont="1" applyFill="1">
      <alignment vertical="center" wrapText="1"/>
    </xf>
    <xf fontId="22" fillId="0" borderId="0" numFmtId="0" xfId="0" applyFont="1">
      <alignment vertical="center"/>
    </xf>
    <xf fontId="22" fillId="0" borderId="0" numFmtId="0" xfId="0" applyFont="1">
      <alignment vertical="center" wrapText="1"/>
    </xf>
    <xf fontId="22" fillId="37" borderId="50" numFmtId="0" xfId="0" applyFont="1" applyFill="1" applyBorder="1">
      <alignment vertical="center" wrapText="1"/>
    </xf>
    <xf fontId="22" fillId="37" borderId="51" numFmtId="0" xfId="0" applyFont="1" applyFill="1" applyBorder="1">
      <alignment vertical="center" wrapText="1"/>
    </xf>
    <xf fontId="105" fillId="37" borderId="14" numFmtId="49" xfId="0" applyNumberFormat="1" applyFont="1" applyFill="1" applyBorder="1">
      <alignment horizontal="left" indent="1" vertical="center"/>
    </xf>
    <xf fontId="105" fillId="37" borderId="15" numFmtId="49" xfId="0" applyNumberFormat="1" applyFont="1" applyFill="1" applyBorder="1">
      <alignment horizontal="left" indent="1" vertical="center"/>
    </xf>
    <xf fontId="94" fillId="37" borderId="43" numFmtId="49" xfId="0" applyNumberFormat="1" applyFont="1" applyFill="1" applyBorder="1">
      <alignment horizontal="center" vertical="center"/>
    </xf>
    <xf fontId="105" fillId="37" borderId="43" numFmtId="49" xfId="0" applyNumberFormat="1" applyFont="1" applyFill="1" applyBorder="1">
      <alignment horizontal="left" indent="1" vertical="center"/>
    </xf>
    <xf fontId="44" fillId="40" borderId="12" numFmtId="0" xfId="0" applyFont="1" applyFill="1" applyBorder="1">
      <alignment horizontal="left" indent="1" vertical="center" wrapText="1"/>
    </xf>
    <xf fontId="44" fillId="37" borderId="15" numFmtId="49" xfId="0" applyNumberFormat="1" applyFont="1" applyFill="1" applyBorder="1">
      <alignment vertical="top" wrapText="1"/>
    </xf>
    <xf fontId="44" fillId="37" borderId="13" numFmtId="49" xfId="0" applyNumberFormat="1" applyFont="1" applyFill="1" applyBorder="1">
      <alignment vertical="top" wrapText="1"/>
    </xf>
    <xf fontId="44" fillId="37" borderId="52" numFmtId="49" xfId="0" applyNumberFormat="1" applyFont="1" applyFill="1" applyBorder="1">
      <alignment vertical="top" wrapText="1"/>
    </xf>
    <xf fontId="105" fillId="37" borderId="52" numFmtId="49" xfId="0" applyNumberFormat="1" applyFont="1" applyFill="1" applyBorder="1">
      <alignment horizontal="left" indent="1" vertical="center"/>
    </xf>
    <xf fontId="22" fillId="35" borderId="39" numFmtId="0" xfId="0" applyFont="1" applyFill="1" applyBorder="1">
      <alignment vertical="center" wrapText="1"/>
    </xf>
    <xf fontId="0" fillId="0" borderId="49" numFmtId="0" xfId="0" applyFont="1" applyBorder="1">
      <alignment horizontal="left" vertical="center" wrapText="1"/>
    </xf>
    <xf fontId="22" fillId="0" borderId="49" numFmtId="0" xfId="0" applyFont="1" applyBorder="1">
      <alignment vertical="center" wrapText="1"/>
    </xf>
    <xf fontId="22" fillId="0" borderId="53" numFmtId="0" xfId="0" applyFont="1" applyBorder="1">
      <alignment vertical="center" wrapText="1"/>
    </xf>
    <xf fontId="22" fillId="0" borderId="54" numFmtId="0" xfId="0" applyFont="1" applyBorder="1">
      <alignment vertical="center" wrapText="1"/>
    </xf>
    <xf fontId="22" fillId="40" borderId="12" numFmtId="0" xfId="0" applyFont="1" applyFill="1" applyBorder="1">
      <alignment horizontal="left" indent="1" vertical="center" wrapText="1"/>
    </xf>
    <xf fontId="0" fillId="37" borderId="50" numFmtId="0" xfId="0" applyFont="1" applyFill="1" applyBorder="1">
      <alignment horizontal="left" vertical="center"/>
    </xf>
    <xf fontId="22" fillId="35" borderId="12" numFmtId="0" xfId="0" applyFont="1" applyFill="1" applyBorder="1">
      <alignment horizontal="center" vertical="center" wrapText="1"/>
    </xf>
    <xf fontId="35" fillId="0" borderId="12" numFmtId="49" xfId="0" applyNumberFormat="1" applyFont="1" applyBorder="1">
      <alignment horizontal="center" vertical="center"/>
    </xf>
    <xf fontId="35" fillId="41" borderId="12" numFmtId="49" xfId="0" applyNumberFormat="1" applyFont="1" applyFill="1" applyBorder="1">
      <alignment horizontal="center" vertical="center"/>
    </xf>
    <xf fontId="35" fillId="0" borderId="12" numFmtId="0" xfId="0" applyFont="1" applyBorder="1">
      <alignment horizontal="center" vertical="center"/>
    </xf>
    <xf fontId="35" fillId="0" borderId="23" numFmtId="49" xfId="0" applyNumberFormat="1" applyFont="1" applyBorder="1">
      <alignment horizontal="center" vertical="center"/>
    </xf>
    <xf fontId="22" fillId="0" borderId="0" numFmtId="49" xfId="0" applyNumberFormat="1" applyFont="1">
      <alignment vertical="center"/>
    </xf>
    <xf fontId="46" fillId="0" borderId="17" numFmtId="49" xfId="0" applyNumberFormat="1" applyFont="1" applyBorder="1">
      <alignment horizontal="center" vertical="center"/>
    </xf>
    <xf fontId="22" fillId="0" borderId="17" numFmtId="49" xfId="0" applyNumberFormat="1" applyFont="1" applyBorder="1">
      <alignment horizontal="center" vertical="center"/>
    </xf>
    <xf fontId="22" fillId="0" borderId="17" numFmtId="0" xfId="0" applyFont="1" applyBorder="1">
      <alignment horizontal="right" vertical="center"/>
    </xf>
    <xf fontId="22" fillId="0" borderId="17" numFmtId="0" xfId="0" applyFont="1" applyBorder="1">
      <alignment horizontal="center" vertical="center"/>
    </xf>
    <xf fontId="22" fillId="0" borderId="12" numFmtId="0" xfId="0" applyFont="1" applyBorder="1">
      <alignment horizontal="right" vertical="center"/>
    </xf>
    <xf fontId="22" fillId="0" borderId="0" numFmtId="49" xfId="0" applyNumberFormat="1" applyFont="1">
      <alignment vertical="center"/>
    </xf>
    <xf fontId="22" fillId="0" borderId="55" numFmtId="49" xfId="0" applyNumberFormat="1" applyFont="1" applyBorder="1">
      <alignment horizontal="center" vertical="center"/>
    </xf>
    <xf fontId="22" fillId="0" borderId="55" numFmtId="0" xfId="0" applyFont="1" applyBorder="1">
      <alignment horizontal="right" vertical="center"/>
    </xf>
    <xf fontId="22" fillId="0" borderId="55" numFmtId="0" xfId="0" applyFont="1" applyBorder="1">
      <alignment horizontal="center" vertical="center"/>
    </xf>
    <xf fontId="22" fillId="0" borderId="15" numFmtId="0" xfId="0" applyFont="1" applyBorder="1">
      <alignment horizontal="right" vertical="center"/>
    </xf>
    <xf fontId="22" fillId="0" borderId="13" numFmtId="0" xfId="0" applyFont="1" applyBorder="1">
      <alignment horizontal="right" vertical="center"/>
    </xf>
    <xf fontId="22" fillId="35" borderId="12" numFmtId="0" xfId="0" applyFont="1" applyFill="1" applyBorder="1">
      <alignment horizontal="center" vertical="center"/>
    </xf>
    <xf fontId="22" fillId="40" borderId="12" numFmtId="0" xfId="0" applyFont="1" applyFill="1" applyBorder="1">
      <alignment horizontal="left" indent="1" vertical="center" wrapText="1"/>
    </xf>
    <xf fontId="22" fillId="39" borderId="12" numFmtId="0" xfId="0" applyFont="1" applyFill="1" applyBorder="1">
      <alignment horizontal="left" indent="1" vertical="center" wrapText="1"/>
      <protection locked="0"/>
    </xf>
    <xf fontId="22" fillId="41" borderId="12" numFmtId="0" xfId="0" applyFont="1" applyFill="1" applyBorder="1">
      <alignment horizontal="right" vertical="center"/>
    </xf>
    <xf fontId="22" fillId="36" borderId="12" numFmtId="4" xfId="0" applyNumberFormat="1" applyFont="1" applyFill="1" applyBorder="1">
      <alignment horizontal="right" vertical="center"/>
      <protection locked="0"/>
    </xf>
    <xf fontId="39" fillId="37" borderId="56" numFmtId="49" xfId="0" applyNumberFormat="1" applyFont="1" applyFill="1" applyBorder="1">
      <alignment horizontal="left" indent="1" vertical="center"/>
    </xf>
    <xf fontId="39" fillId="37" borderId="51" numFmtId="49" xfId="0" applyNumberFormat="1" applyFont="1" applyFill="1" applyBorder="1">
      <alignment horizontal="left" indent="1" vertical="center"/>
    </xf>
    <xf fontId="39" fillId="52" borderId="13" numFmtId="49" xfId="0" applyNumberFormat="1" applyFont="1" applyFill="1" applyBorder="1">
      <alignment horizontal="left" indent="1" vertical="center"/>
    </xf>
    <xf fontId="22" fillId="0" borderId="0" numFmtId="49" xfId="0" applyNumberFormat="1" applyFont="1">
      <alignment vertical="top"/>
    </xf>
    <xf fontId="22" fillId="48" borderId="0" numFmtId="0" xfId="0" applyFont="1" applyFill="1">
      <alignment horizontal="left" vertical="center"/>
    </xf>
    <xf fontId="22" fillId="0" borderId="0" numFmtId="49" xfId="0" applyNumberFormat="1" applyFont="1">
      <alignment vertical="center" wrapText="1"/>
    </xf>
    <xf fontId="22" fillId="0" borderId="0" numFmtId="0" xfId="0" applyFont="1">
      <alignment horizontal="right" vertical="center" wrapText="1"/>
    </xf>
    <xf fontId="47" fillId="0" borderId="0" numFmtId="0" xfId="0" applyFont="1">
      <alignment horizontal="center" vertical="center" wrapText="1"/>
    </xf>
    <xf fontId="0" fillId="0" borderId="12" numFmtId="0" xfId="0" applyFont="1" applyBorder="1">
      <alignment horizontal="center"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0" fillId="0" borderId="12" numFmtId="49" xfId="0" applyNumberFormat="1" applyFont="1" applyBorder="1">
      <alignment horizontal="center" vertical="center" wrapText="1"/>
    </xf>
    <xf fontId="0" fillId="0" borderId="12" numFmtId="49" xfId="0" applyNumberFormat="1" applyFont="1" applyBorder="1">
      <alignment horizontal="center" vertical="center"/>
    </xf>
    <xf fontId="22" fillId="35" borderId="19" numFmtId="0" xfId="0" applyFont="1" applyFill="1" applyBorder="1">
      <alignment vertical="center" wrapText="1"/>
    </xf>
    <xf fontId="47" fillId="0" borderId="0" numFmtId="49" xfId="0" applyNumberFormat="1" applyFont="1">
      <alignment vertical="top"/>
    </xf>
    <xf fontId="47" fillId="0" borderId="39" numFmtId="0" xfId="0" applyFont="1" applyBorder="1">
      <alignment vertical="center" wrapText="1"/>
    </xf>
    <xf fontId="0" fillId="0" borderId="12" numFmtId="49" xfId="0" applyNumberFormat="1" applyFont="1" applyBorder="1">
      <alignment horizontal="center" vertical="center"/>
    </xf>
    <xf fontId="0" fillId="0" borderId="12" numFmtId="49" xfId="0" applyNumberFormat="1" applyFont="1" applyBorder="1">
      <alignment horizontal="center" vertical="center" wrapText="1"/>
    </xf>
    <xf fontId="0" fillId="34" borderId="12" numFmtId="49" xfId="0" applyNumberFormat="1" applyFont="1" applyFill="1" applyBorder="1">
      <alignment horizontal="center" vertical="center"/>
    </xf>
    <xf fontId="22" fillId="0" borderId="22" numFmtId="49" xfId="0" applyNumberFormat="1" applyFont="1" applyBorder="1">
      <alignment vertical="top"/>
    </xf>
    <xf fontId="22" fillId="0" borderId="22" numFmtId="0" xfId="0" applyFont="1" applyBorder="1">
      <alignment vertical="center" wrapText="1"/>
    </xf>
    <xf fontId="0" fillId="36" borderId="12" numFmtId="4" xfId="0" applyNumberFormat="1" applyFont="1" applyFill="1" applyBorder="1">
      <alignment horizontal="right" vertical="center" wrapText="1"/>
      <protection locked="0"/>
    </xf>
    <xf fontId="0" fillId="34" borderId="12" numFmtId="4" xfId="0" applyNumberFormat="1" applyFont="1" applyFill="1" applyBorder="1">
      <alignment horizontal="right" vertical="center" wrapText="1"/>
    </xf>
    <xf fontId="0" fillId="0" borderId="12" numFmtId="49" xfId="0" applyNumberFormat="1" applyFont="1" applyBorder="1">
      <alignment horizontal="left" indent="2" vertical="center" wrapText="1"/>
    </xf>
    <xf fontId="0" fillId="0" borderId="12" numFmtId="49" xfId="0" applyNumberFormat="1" applyFont="1" applyBorder="1">
      <alignment horizontal="left" indent="3" vertical="center" wrapText="1"/>
    </xf>
    <xf fontId="0" fillId="0" borderId="12" numFmtId="49" xfId="0" applyNumberFormat="1" applyFont="1" applyBorder="1">
      <alignment horizontal="left" vertical="center" wrapText="1"/>
    </xf>
    <xf fontId="22" fillId="0" borderId="38" numFmtId="0" xfId="0" applyFont="1" applyBorder="1">
      <alignment vertical="center"/>
    </xf>
    <xf fontId="39" fillId="37" borderId="15" numFmtId="49" xfId="0" applyNumberFormat="1" applyFont="1" applyFill="1" applyBorder="1">
      <alignment horizontal="left" indent="1" vertical="center"/>
    </xf>
    <xf fontId="22" fillId="39" borderId="17" numFmtId="49" xfId="0" applyNumberFormat="1" applyFont="1" applyFill="1" applyBorder="1">
      <alignment horizontal="left" indent="1" vertical="center" wrapText="1"/>
      <protection locked="0"/>
    </xf>
    <xf fontId="45" fillId="0" borderId="0" numFmtId="0" xfId="0" applyFont="1">
      <alignment vertical="center" wrapText="1"/>
    </xf>
    <xf fontId="22" fillId="35" borderId="27" numFmtId="0" xfId="0" applyFont="1" applyFill="1" applyBorder="1">
      <alignment vertical="center" wrapText="1"/>
    </xf>
    <xf fontId="47" fillId="35" borderId="19" numFmtId="0" xfId="0" applyFont="1" applyFill="1" applyBorder="1">
      <alignment horizontal="center" vertical="center" wrapText="1"/>
    </xf>
    <xf fontId="72" fillId="0" borderId="0" numFmtId="49" xfId="0" applyNumberFormat="1" applyFont="1">
      <alignment vertical="center" wrapText="1"/>
    </xf>
    <xf fontId="106" fillId="35" borderId="0" numFmtId="0" xfId="0" applyFont="1" applyFill="1">
      <alignment vertical="center" wrapText="1"/>
    </xf>
    <xf fontId="22" fillId="0" borderId="0" numFmtId="0" xfId="0" applyFont="1">
      <alignment vertical="center"/>
    </xf>
    <xf fontId="47" fillId="35" borderId="0" numFmtId="49" xfId="0" applyNumberFormat="1" applyFont="1" applyFill="1">
      <alignment horizontal="center" vertical="center" wrapText="1"/>
    </xf>
    <xf fontId="22" fillId="0" borderId="0" numFmtId="0" xfId="0" applyFont="1">
      <alignment horizontal="left" vertical="center" wrapText="1"/>
    </xf>
    <xf fontId="47" fillId="0" borderId="0" numFmtId="0" xfId="0" applyFont="1">
      <alignment vertical="center"/>
    </xf>
    <xf fontId="22" fillId="0" borderId="0" numFmtId="0" xfId="0" applyFont="1">
      <alignment horizontal="left" indent="1" vertical="center" wrapText="1"/>
    </xf>
    <xf fontId="22" fillId="0" borderId="0" numFmtId="0" xfId="0" applyFont="1">
      <alignment horizontal="right" vertical="top" wrapText="1"/>
    </xf>
    <xf fontId="107" fillId="35" borderId="0" numFmtId="0" xfId="0" applyFont="1" applyFill="1">
      <alignment vertical="center" wrapText="1"/>
    </xf>
    <xf fontId="80" fillId="35" borderId="19" numFmtId="49" xfId="0" applyNumberFormat="1" applyFont="1" applyFill="1" applyBorder="1">
      <alignment horizontal="center" vertical="center" wrapText="1"/>
    </xf>
    <xf fontId="80" fillId="35" borderId="19" numFmtId="0" xfId="0" applyFont="1" applyFill="1" applyBorder="1">
      <alignment horizontal="center" vertical="center" wrapText="1"/>
    </xf>
    <xf fontId="22" fillId="36" borderId="12" numFmtId="177" xfId="0" applyNumberFormat="1" applyFont="1" applyFill="1" applyBorder="1">
      <alignment horizontal="right" vertical="center" wrapText="1"/>
      <protection locked="0"/>
    </xf>
    <xf fontId="44" fillId="0" borderId="12" numFmtId="0" xfId="0" applyFont="1" applyBorder="1">
      <alignment vertical="top" wrapText="1"/>
    </xf>
    <xf fontId="22" fillId="0" borderId="0" numFmtId="0" xfId="0" applyFont="1">
      <alignment vertical="center"/>
    </xf>
    <xf fontId="108" fillId="0" borderId="0" numFmtId="0" xfId="0" applyFont="1">
      <alignment vertical="center"/>
    </xf>
    <xf fontId="108" fillId="0" borderId="0" numFmtId="0" xfId="0" applyFont="1">
      <alignment vertical="center"/>
    </xf>
    <xf fontId="22" fillId="0" borderId="0" numFmtId="0" xfId="0" applyFont="1">
      <alignment vertical="center"/>
    </xf>
    <xf fontId="22" fillId="0" borderId="0" numFmtId="0" xfId="0" applyFont="1">
      <alignment vertical="center"/>
    </xf>
    <xf fontId="108" fillId="0" borderId="0" numFmtId="0" xfId="0" applyFont="1">
      <alignment vertical="center"/>
    </xf>
    <xf fontId="22" fillId="0" borderId="0" numFmtId="0" xfId="0" applyFont="1">
      <alignment vertical="center"/>
    </xf>
    <xf fontId="22" fillId="0" borderId="0" numFmtId="0" xfId="0" applyFont="1">
      <alignment vertical="center"/>
    </xf>
    <xf fontId="22" fillId="0" borderId="0" numFmtId="0" xfId="0" applyFont="1">
      <alignment horizontal="left" indent="1" vertical="center"/>
    </xf>
    <xf fontId="109" fillId="37" borderId="15" numFmtId="49" xfId="0" applyNumberFormat="1" applyFont="1" applyFill="1" applyBorder="1">
      <alignment horizontal="left" indent="3" vertical="center"/>
    </xf>
    <xf fontId="72" fillId="37" borderId="15" numFmtId="49" xfId="0" applyNumberFormat="1" applyFont="1" applyFill="1" applyBorder="1">
      <alignment horizontal="center" vertical="center" wrapText="1"/>
    </xf>
    <xf fontId="67" fillId="37" borderId="15" numFmtId="49" xfId="0" applyNumberFormat="1" applyFont="1" applyFill="1" applyBorder="1">
      <alignment horizontal="center" vertical="center" wrapText="1"/>
    </xf>
    <xf fontId="67" fillId="37" borderId="13" numFmtId="49" xfId="0" applyNumberFormat="1" applyFont="1" applyFill="1" applyBorder="1">
      <alignment horizontal="center" vertical="center" wrapText="1"/>
    </xf>
    <xf fontId="109" fillId="37" borderId="15" numFmtId="49" xfId="0" applyNumberFormat="1" applyFont="1" applyFill="1" applyBorder="1">
      <alignment horizontal="left" indent="2" vertical="center"/>
    </xf>
    <xf fontId="109" fillId="37" borderId="15" numFmtId="49" xfId="0" applyNumberFormat="1" applyFont="1" applyFill="1" applyBorder="1">
      <alignment horizontal="left" indent="1" vertical="center"/>
    </xf>
    <xf fontId="109" fillId="37" borderId="15" numFmtId="49" xfId="0" applyNumberFormat="1" applyFont="1" applyFill="1" applyBorder="1">
      <alignment horizontal="left" vertical="center"/>
    </xf>
    <xf fontId="22" fillId="35" borderId="0" numFmtId="0" xfId="0" applyFont="1" applyFill="1">
      <alignment horizontal="left" vertical="center" wrapText="1"/>
    </xf>
    <xf fontId="0" fillId="0" borderId="0" numFmtId="0" xfId="0" applyFont="1">
      <alignment horizontal="left" vertical="center"/>
    </xf>
    <xf fontId="80" fillId="35" borderId="19" numFmtId="49" xfId="0" applyNumberFormat="1" applyFont="1" applyFill="1" applyBorder="1">
      <alignment horizontal="left" vertical="center" wrapText="1"/>
    </xf>
    <xf fontId="73" fillId="37" borderId="14" numFmtId="49" xfId="0" applyNumberFormat="1" applyFont="1" applyFill="1" applyBorder="1">
      <alignment horizontal="left" vertical="center"/>
    </xf>
    <xf fontId="101" fillId="37" borderId="14" numFmtId="49" xfId="0" applyNumberFormat="1" applyFont="1" applyFill="1" applyBorder="1">
      <alignment horizontal="left" vertical="center"/>
    </xf>
    <xf fontId="67" fillId="37" borderId="14" numFmtId="49" xfId="0" applyNumberFormat="1" applyFont="1" applyFill="1" applyBorder="1">
      <alignment horizontal="left" vertical="top"/>
    </xf>
    <xf fontId="0" fillId="48" borderId="0" numFmtId="0" xfId="0" applyFont="1" applyFill="1">
      <alignment horizontal="right" vertical="center"/>
    </xf>
    <xf fontId="47" fillId="0" borderId="12" numFmtId="0" xfId="0" applyFont="1" applyBorder="1">
      <alignment horizontal="center" vertical="center"/>
    </xf>
    <xf fontId="0" fillId="0" borderId="0" numFmtId="0" xfId="0" applyFont="1">
      <alignment vertical="center"/>
    </xf>
    <xf fontId="22" fillId="0" borderId="12" numFmtId="0" xfId="0" applyFont="1" applyBorder="1">
      <alignment horizontal="center" vertical="center" wrapText="1"/>
    </xf>
    <xf fontId="0" fillId="0" borderId="0" numFmtId="0" xfId="0" applyFont="1">
      <alignment horizontal="left" vertical="top" wrapText="1"/>
    </xf>
    <xf fontId="22" fillId="0" borderId="0" numFmtId="49" xfId="0" applyNumberFormat="1" applyFont="1">
      <alignment vertical="center" wrapText="1"/>
    </xf>
    <xf fontId="22" fillId="0" borderId="0" numFmtId="0" xfId="0" applyFont="1">
      <alignment horizontal="right" vertical="center" wrapText="1"/>
    </xf>
    <xf fontId="22" fillId="0" borderId="0" numFmtId="0" xfId="0" applyFont="1">
      <alignment horizontal="left" vertical="top" wrapText="1"/>
    </xf>
    <xf fontId="80" fillId="35" borderId="19" numFmtId="0" xfId="0" applyFont="1" applyFill="1" applyBorder="1">
      <alignment horizontal="center" vertical="center" wrapText="1"/>
    </xf>
    <xf fontId="22" fillId="0" borderId="0" numFmtId="0" xfId="0" applyFont="1">
      <alignment horizontal="center" vertical="center" wrapText="1"/>
    </xf>
    <xf fontId="47" fillId="0" borderId="0" numFmtId="0" xfId="0" applyFont="1">
      <alignment horizontal="center" vertical="center" wrapText="1"/>
    </xf>
    <xf fontId="0" fillId="0" borderId="12" numFmtId="0" xfId="0" applyFont="1" applyBorder="1">
      <alignment horizontal="center" vertical="center" wrapText="1"/>
    </xf>
    <xf fontId="22" fillId="35" borderId="12" numFmtId="0" xfId="0" applyFont="1" applyFill="1" applyBorder="1">
      <alignment horizontal="left" vertical="center" wrapText="1"/>
    </xf>
    <xf fontId="22" fillId="0" borderId="12" numFmtId="49" xfId="0" applyNumberFormat="1" applyFont="1" applyBorder="1">
      <alignment horizontal="left" vertical="center" wrapText="1"/>
    </xf>
    <xf fontId="54" fillId="48" borderId="0" numFmtId="0" xfId="0" applyFont="1" applyFill="1">
      <alignment horizontal="left" vertical="center"/>
    </xf>
    <xf fontId="22" fillId="0" borderId="20" numFmtId="49" xfId="0" applyNumberFormat="1" applyFont="1" applyBorder="1">
      <alignment horizontal="left" vertical="center" wrapText="1"/>
    </xf>
    <xf fontId="39" fillId="0" borderId="0" numFmtId="0" xfId="0" applyFont="1">
      <alignment horizontal="left" vertical="center"/>
    </xf>
    <xf fontId="39" fillId="0" borderId="24" numFmtId="0" xfId="0" applyFont="1" applyBorder="1">
      <alignment horizontal="left" vertical="center"/>
    </xf>
    <xf fontId="39" fillId="0" borderId="30" numFmtId="0" xfId="0" applyFont="1" applyBorder="1">
      <alignment horizontal="left" vertical="center"/>
    </xf>
    <xf fontId="39" fillId="0" borderId="27" numFmtId="0" xfId="0" applyFont="1" applyBorder="1">
      <alignment horizontal="left" vertical="center"/>
    </xf>
    <xf fontId="0" fillId="0" borderId="27" numFmtId="0" xfId="0" applyFont="1" applyBorder="1">
      <alignment vertical="center"/>
    </xf>
    <xf fontId="39" fillId="0" borderId="29" numFmtId="0" xfId="0" applyFont="1" applyBorder="1">
      <alignment horizontal="left" vertical="center"/>
    </xf>
    <xf fontId="22" fillId="0" borderId="0" numFmtId="49" xfId="0" applyNumberFormat="1" applyFont="1">
      <alignment vertical="center" wrapText="1"/>
    </xf>
    <xf fontId="22" fillId="0" borderId="0" numFmtId="0" xfId="0" applyFont="1">
      <alignment horizontal="center" vertical="center" wrapText="1"/>
    </xf>
    <xf fontId="47" fillId="0" borderId="0" numFmtId="0" xfId="0" applyFont="1">
      <alignment horizontal="center" vertical="center" wrapText="1"/>
    </xf>
    <xf fontId="22" fillId="0" borderId="12" numFmtId="49" xfId="0" applyNumberFormat="1" applyFont="1" applyBorder="1">
      <alignment horizontal="left" vertical="center" wrapText="1"/>
    </xf>
    <xf fontId="44" fillId="0" borderId="17" numFmtId="0" xfId="0" applyFont="1" applyBorder="1">
      <alignment vertical="top" wrapText="1"/>
    </xf>
    <xf fontId="0" fillId="0" borderId="0" numFmtId="0" xfId="0" applyFont="1">
      <alignment vertical="center"/>
    </xf>
    <xf fontId="22" fillId="35" borderId="12" numFmtId="0" xfId="0" applyFont="1" applyFill="1" applyBorder="1">
      <alignment horizontal="left" vertical="center" wrapText="1"/>
    </xf>
    <xf fontId="22" fillId="0" borderId="0" numFmtId="0" xfId="0" applyFont="1">
      <alignment horizontal="center" vertical="center"/>
    </xf>
    <xf fontId="22" fillId="0" borderId="0" numFmtId="49" xfId="0" applyNumberFormat="1" applyFont="1">
      <alignment vertical="center" wrapText="1"/>
    </xf>
    <xf fontId="80" fillId="35" borderId="19" numFmtId="0" xfId="0" applyFont="1" applyFill="1" applyBorder="1">
      <alignment horizontal="center" vertical="center" wrapText="1"/>
    </xf>
    <xf fontId="0" fillId="0" borderId="12" numFmtId="0" xfId="0" applyFont="1" applyBorder="1">
      <alignment horizontal="center" vertical="center" wrapText="1"/>
    </xf>
    <xf fontId="47" fillId="0" borderId="0" numFmtId="0" xfId="0" applyFont="1">
      <alignment horizontal="left" indent="1" vertical="center"/>
    </xf>
    <xf fontId="47" fillId="0" borderId="0" numFmtId="0" xfId="0" applyFont="1">
      <alignment horizontal="left" vertical="center" wrapText="1"/>
    </xf>
    <xf fontId="47" fillId="0" borderId="0" numFmtId="49" xfId="0" applyNumberFormat="1" applyFont="1">
      <alignment vertical="top"/>
    </xf>
    <xf fontId="107" fillId="0" borderId="0" numFmtId="49" xfId="0" applyNumberFormat="1" applyFont="1">
      <alignment vertical="top"/>
    </xf>
    <xf fontId="97" fillId="0" borderId="19" numFmtId="49" xfId="0" applyNumberFormat="1" applyFont="1" applyBorder="1">
      <alignment horizontal="left" vertical="center"/>
    </xf>
    <xf fontId="47" fillId="0" borderId="19" numFmtId="49" xfId="0" applyNumberFormat="1" applyFont="1" applyBorder="1">
      <alignment horizontal="left" indent="3" vertical="center"/>
    </xf>
    <xf fontId="47" fillId="0" borderId="19" numFmtId="49" xfId="0" applyNumberFormat="1" applyFont="1" applyBorder="1">
      <alignment horizontal="center" vertical="center" wrapText="1"/>
    </xf>
    <xf fontId="47" fillId="0" borderId="0" numFmtId="49" xfId="0" applyNumberFormat="1" applyFont="1">
      <alignment horizontal="left" vertical="center"/>
    </xf>
    <xf fontId="97" fillId="0" borderId="0" numFmtId="49" xfId="0" applyNumberFormat="1" applyFont="1">
      <alignment horizontal="left" vertical="center"/>
    </xf>
    <xf fontId="47" fillId="0" borderId="0" numFmtId="49" xfId="0" applyNumberFormat="1" applyFont="1">
      <alignment horizontal="left" indent="2" vertical="center"/>
    </xf>
    <xf fontId="47" fillId="0" borderId="0" numFmtId="49" xfId="0" applyNumberFormat="1" applyFont="1">
      <alignment horizontal="center" vertical="center" wrapText="1"/>
    </xf>
    <xf fontId="47" fillId="0" borderId="0" numFmtId="49" xfId="0" applyNumberFormat="1" applyFont="1">
      <alignment horizontal="left" indent="1" vertical="center"/>
    </xf>
    <xf fontId="0" fillId="0" borderId="0" numFmtId="0" xfId="0" applyFont="1">
      <alignment vertical="center"/>
    </xf>
    <xf fontId="22" fillId="0" borderId="0" numFmtId="0" xfId="0" applyFont="1">
      <alignment horizontal="center" vertical="center" wrapText="1"/>
    </xf>
    <xf fontId="22" fillId="0" borderId="0" numFmtId="49" xfId="0" applyNumberFormat="1" applyFont="1">
      <alignment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47" fillId="0" borderId="0" numFmtId="0" xfId="0" applyFont="1">
      <alignment horizontal="center" vertical="center" wrapText="1"/>
    </xf>
    <xf fontId="22" fillId="0" borderId="0" numFmtId="0" xfId="0" applyFont="1">
      <alignment horizontal="center" vertical="center" wrapText="1"/>
    </xf>
    <xf fontId="22" fillId="0" borderId="0" numFmtId="0" xfId="0" applyFont="1">
      <alignment horizontal="left" vertical="top" wrapText="1"/>
    </xf>
    <xf fontId="0" fillId="0" borderId="13" numFmtId="0" xfId="0" applyFont="1" applyBorder="1">
      <alignment horizontal="center" vertical="center" wrapText="1"/>
    </xf>
    <xf fontId="80" fillId="35" borderId="19" numFmtId="0" xfId="0" applyFont="1" applyFill="1" applyBorder="1">
      <alignment horizontal="center" vertical="center" wrapText="1"/>
    </xf>
    <xf fontId="22" fillId="35" borderId="12" numFmtId="0" xfId="0" applyFont="1" applyFill="1" applyBorder="1">
      <alignment horizontal="left" vertical="center" wrapText="1"/>
    </xf>
    <xf fontId="22" fillId="35" borderId="12" numFmtId="49" xfId="0" applyNumberFormat="1" applyFont="1" applyFill="1" applyBorder="1">
      <alignment horizontal="center" vertical="center" wrapText="1"/>
    </xf>
    <xf fontId="0" fillId="0" borderId="12" numFmtId="0" xfId="0" applyFont="1" applyBorder="1">
      <alignment horizontal="center" vertical="center" wrapText="1"/>
    </xf>
    <xf fontId="47" fillId="0" borderId="0" numFmtId="0" xfId="0" applyFont="1">
      <alignment horizontal="center" vertical="center"/>
    </xf>
    <xf fontId="22" fillId="0" borderId="0" numFmtId="0" xfId="0" applyFont="1">
      <alignment horizontal="right" vertical="center" wrapText="1"/>
    </xf>
    <xf fontId="80" fillId="35" borderId="0" numFmtId="0" xfId="0" applyFont="1" applyFill="1">
      <alignment horizontal="center" vertical="center" wrapText="1"/>
    </xf>
    <xf fontId="22" fillId="0" borderId="12" numFmtId="49" xfId="0" applyNumberFormat="1" applyFont="1" applyBorder="1">
      <alignment horizontal="left" vertical="center" wrapText="1"/>
    </xf>
    <xf fontId="47" fillId="0" borderId="0" numFmtId="0" xfId="0" applyFont="1">
      <alignment horizontal="left" indent="1" vertical="center"/>
    </xf>
    <xf fontId="107" fillId="0" borderId="0" numFmtId="49" xfId="0" applyNumberFormat="1" applyFont="1">
      <alignment vertical="top"/>
    </xf>
    <xf fontId="22" fillId="0" borderId="12" numFmtId="49" xfId="0" applyNumberFormat="1" applyFont="1" applyBorder="1">
      <alignment vertical="center" wrapText="1"/>
    </xf>
    <xf fontId="47" fillId="0" borderId="0" numFmtId="0" xfId="0" applyFont="1">
      <alignment horizontal="center" vertical="center"/>
    </xf>
    <xf fontId="22" fillId="40" borderId="12" numFmtId="0" xfId="0" applyFont="1" applyFill="1" applyBorder="1">
      <alignment horizontal="left" indent="6" vertical="center" wrapText="1"/>
    </xf>
    <xf fontId="22" fillId="0" borderId="17" numFmtId="4" xfId="0" applyNumberFormat="1" applyFont="1" applyBorder="1">
      <alignment horizontal="right" vertical="center" wrapText="1"/>
    </xf>
    <xf fontId="22" fillId="0" borderId="23" numFmtId="4" xfId="0" applyNumberFormat="1" applyFont="1" applyBorder="1">
      <alignment horizontal="right" vertical="center" wrapText="1"/>
    </xf>
    <xf fontId="0" fillId="0" borderId="0" numFmtId="0" xfId="0" applyFont="1">
      <alignment vertical="center"/>
    </xf>
    <xf fontId="22" fillId="0" borderId="0" numFmtId="49" xfId="0" applyNumberFormat="1" applyFont="1">
      <alignment vertical="center" wrapText="1"/>
    </xf>
    <xf fontId="22" fillId="0" borderId="17" numFmtId="0" xfId="0" applyFont="1" applyBorder="1">
      <alignment horizontal="center" vertical="center" wrapText="1"/>
    </xf>
    <xf fontId="80" fillId="35" borderId="19" numFmtId="0" xfId="0" applyFont="1" applyFill="1" applyBorder="1">
      <alignment horizontal="center" vertical="center" wrapText="1"/>
    </xf>
    <xf fontId="47" fillId="0" borderId="0" numFmtId="0" xfId="0" applyFont="1">
      <alignment horizontal="center" vertical="center" wrapText="1"/>
    </xf>
    <xf fontId="22" fillId="0" borderId="0" numFmtId="0" xfId="0" applyFont="1">
      <alignment horizontal="right" vertical="center" wrapText="1"/>
    </xf>
    <xf fontId="22" fillId="0" borderId="0" numFmtId="0" xfId="0" applyFont="1">
      <alignment horizontal="center" vertical="center" wrapText="1"/>
    </xf>
    <xf fontId="0" fillId="0" borderId="12" numFmtId="0" xfId="0" applyFont="1" applyBorder="1">
      <alignment horizontal="center" vertical="center" wrapText="1"/>
    </xf>
    <xf fontId="22" fillId="35" borderId="12" numFmtId="0" xfId="0" applyFont="1" applyFill="1" applyBorder="1">
      <alignment horizontal="left" vertical="center" wrapText="1"/>
    </xf>
    <xf fontId="22" fillId="0" borderId="12" numFmtId="49" xfId="0" applyNumberFormat="1" applyFont="1" applyBorder="1">
      <alignment horizontal="left" vertical="center" wrapText="1"/>
    </xf>
    <xf fontId="46" fillId="0" borderId="12" numFmtId="4" xfId="0" applyNumberFormat="1" applyFont="1" applyBorder="1">
      <alignment horizontal="right" vertical="center" wrapText="1"/>
    </xf>
    <xf fontId="46" fillId="0" borderId="12" numFmtId="177" xfId="0" applyNumberFormat="1" applyFont="1" applyBorder="1">
      <alignment horizontal="right" vertical="center" wrapText="1"/>
    </xf>
    <xf fontId="46" fillId="0" borderId="0" numFmtId="49" xfId="0" applyNumberFormat="1" applyFont="1">
      <alignment vertical="center" wrapText="1"/>
    </xf>
    <xf fontId="46" fillId="0" borderId="0" numFmtId="0" xfId="0" applyFont="1">
      <alignment horizontal="left" indent="1" vertical="center"/>
    </xf>
    <xf fontId="46" fillId="0" borderId="0" numFmtId="0" xfId="0" applyFont="1">
      <alignment horizontal="center" vertical="center"/>
    </xf>
    <xf fontId="46" fillId="0" borderId="0" numFmtId="0" xfId="0" applyFont="1">
      <alignment horizontal="left" vertical="center" wrapText="1"/>
    </xf>
    <xf fontId="46" fillId="0" borderId="0" numFmtId="0" xfId="0" applyFont="1">
      <alignment vertical="center" wrapText="1"/>
    </xf>
    <xf fontId="46" fillId="0" borderId="12" numFmtId="49" xfId="0" applyNumberFormat="1" applyFont="1" applyBorder="1">
      <alignment vertical="center" wrapText="1"/>
    </xf>
    <xf fontId="46" fillId="0" borderId="0" numFmtId="0" xfId="0" applyFont="1">
      <alignment vertical="center"/>
    </xf>
    <xf fontId="46" fillId="0" borderId="0" numFmtId="0" xfId="0" applyFont="1">
      <alignment horizontal="center" vertical="center"/>
    </xf>
    <xf fontId="46" fillId="0" borderId="0" numFmtId="0" xfId="0" applyFont="1">
      <alignment vertical="center"/>
    </xf>
    <xf fontId="69" fillId="0" borderId="0" numFmtId="0" xfId="0" applyFont="1">
      <alignment vertical="center" wrapText="1"/>
    </xf>
    <xf fontId="0" fillId="0" borderId="15" numFmtId="0" xfId="0" applyFont="1" applyBorder="1">
      <alignment vertical="center"/>
    </xf>
    <xf fontId="47" fillId="0" borderId="12" numFmtId="0" xfId="0" applyFont="1" applyBorder="1">
      <alignment horizontal="center" vertical="center" wrapText="1"/>
    </xf>
    <xf fontId="72" fillId="0" borderId="0" numFmtId="0" xfId="0" applyFont="1">
      <alignment horizontal="left" indent="1" vertical="center"/>
    </xf>
    <xf fontId="72" fillId="0" borderId="0" numFmtId="0" xfId="0" applyFont="1">
      <alignment horizontal="left" indent="1" vertical="center"/>
    </xf>
    <xf fontId="47" fillId="0" borderId="12" numFmtId="0" xfId="0" applyFont="1" applyBorder="1">
      <alignment vertical="center" wrapText="1"/>
    </xf>
    <xf fontId="72" fillId="0" borderId="0" numFmtId="0" xfId="0" applyFont="1">
      <alignment horizontal="center" vertical="center"/>
    </xf>
    <xf fontId="72" fillId="0" borderId="0" numFmtId="0" xfId="0" applyFont="1">
      <alignment horizontal="left" vertical="center" wrapText="1"/>
    </xf>
    <xf fontId="72" fillId="0" borderId="0" numFmtId="49" xfId="0" applyNumberFormat="1" applyFont="1">
      <alignment horizontal="left" vertical="center"/>
    </xf>
    <xf fontId="22" fillId="0" borderId="0" numFmtId="0" xfId="0" applyFont="1">
      <alignment horizontal="center" vertical="center"/>
    </xf>
    <xf fontId="72" fillId="0" borderId="0" numFmtId="0" xfId="0" applyFont="1">
      <alignment horizontal="center" vertical="center"/>
    </xf>
    <xf fontId="22" fillId="0" borderId="13" numFmtId="4" xfId="0" applyNumberFormat="1" applyFont="1" applyBorder="1">
      <alignment horizontal="right" vertical="center" wrapText="1"/>
    </xf>
    <xf fontId="47" fillId="0" borderId="12" numFmtId="0" xfId="0" applyFont="1" applyBorder="1">
      <alignment horizontal="left" indent="4" vertical="center" wrapText="1"/>
    </xf>
    <xf fontId="47" fillId="0" borderId="12" numFmtId="0" xfId="0" applyFont="1" applyBorder="1">
      <alignment horizontal="left" indent="6" vertical="center" wrapText="1"/>
    </xf>
    <xf fontId="47" fillId="0" borderId="12" numFmtId="0" xfId="0" applyFont="1" applyBorder="1">
      <alignment vertical="top" wrapText="1"/>
    </xf>
    <xf fontId="97" fillId="0" borderId="14" numFmtId="49" xfId="0" applyNumberFormat="1" applyFont="1" applyBorder="1">
      <alignment horizontal="left" vertical="center"/>
    </xf>
    <xf fontId="47" fillId="0" borderId="15" numFmtId="49" xfId="0" applyNumberFormat="1" applyFont="1" applyBorder="1">
      <alignment horizontal="left" indent="4" vertical="center"/>
    </xf>
    <xf fontId="47" fillId="0" borderId="15" numFmtId="49" xfId="0" applyNumberFormat="1" applyFont="1" applyBorder="1">
      <alignment horizontal="center" vertical="center" wrapText="1"/>
    </xf>
    <xf fontId="47" fillId="0" borderId="13" numFmtId="49" xfId="0" applyNumberFormat="1" applyFont="1" applyBorder="1">
      <alignment horizontal="center" vertical="center" wrapText="1"/>
    </xf>
    <xf fontId="22" fillId="0" borderId="36" numFmtId="4" xfId="0" applyNumberFormat="1" applyFont="1" applyBorder="1">
      <alignment horizontal="right" vertical="center" wrapText="1"/>
    </xf>
    <xf fontId="22" fillId="36" borderId="12" numFmtId="0" xfId="0" applyFont="1" applyFill="1" applyBorder="1">
      <alignment horizontal="left" indent="7" vertical="center" wrapText="1"/>
      <protection locked="0"/>
    </xf>
    <xf fontId="22" fillId="37" borderId="15" numFmtId="0" xfId="0" applyFont="1" applyFill="1" applyBorder="1">
      <alignment horizontal="left" indent="6" vertical="center" wrapText="1"/>
    </xf>
    <xf fontId="22" fillId="37" borderId="15" numFmtId="4" xfId="0" applyNumberFormat="1" applyFont="1" applyFill="1" applyBorder="1">
      <alignment horizontal="right" vertical="center" wrapText="1"/>
    </xf>
    <xf fontId="47" fillId="37" borderId="15" numFmtId="4" xfId="0" applyNumberFormat="1" applyFont="1" applyFill="1" applyBorder="1">
      <alignment horizontal="center" vertical="center" wrapText="1"/>
    </xf>
    <xf fontId="22" fillId="37" borderId="13" numFmtId="4" xfId="0" applyNumberFormat="1" applyFont="1" applyFill="1" applyBorder="1">
      <alignment horizontal="right" vertical="center" wrapText="1"/>
    </xf>
    <xf fontId="47" fillId="37" borderId="13" numFmtId="4" xfId="0" applyNumberFormat="1" applyFont="1" applyFill="1" applyBorder="1">
      <alignment horizontal="center" vertical="center" wrapText="1"/>
    </xf>
    <xf fontId="22" fillId="37" borderId="13" numFmtId="177" xfId="0" applyNumberFormat="1" applyFont="1" applyFill="1" applyBorder="1">
      <alignment horizontal="right" vertical="center" wrapText="1"/>
    </xf>
    <xf fontId="22" fillId="40" borderId="12" numFmtId="0" xfId="0" applyFont="1" applyFill="1" applyBorder="1">
      <alignment horizontal="left" indent="1" vertical="center" wrapText="1"/>
    </xf>
    <xf fontId="47" fillId="0" borderId="12" numFmtId="0" xfId="0" applyFont="1" applyBorder="1">
      <alignment horizontal="left" indent="5" vertical="center" wrapText="1"/>
    </xf>
    <xf fontId="72" fillId="0" borderId="24" numFmtId="49" xfId="0" applyNumberFormat="1" applyFont="1" applyBorder="1">
      <alignment vertical="top"/>
    </xf>
    <xf fontId="47" fillId="0" borderId="24" numFmtId="49" xfId="0" applyNumberFormat="1" applyFont="1" applyBorder="1">
      <alignment vertical="top"/>
    </xf>
    <xf fontId="22" fillId="0" borderId="12" numFmtId="0" xfId="0" applyFont="1" applyBorder="1">
      <alignment horizontal="left" indent="1" vertical="center" wrapText="1"/>
    </xf>
    <xf fontId="47" fillId="0" borderId="12" numFmtId="4" xfId="0" applyNumberFormat="1" applyFont="1" applyBorder="1">
      <alignment horizontal="right" vertical="center" wrapText="1"/>
    </xf>
    <xf fontId="47" fillId="0" borderId="12" numFmtId="177" xfId="0" applyNumberFormat="1" applyFont="1" applyBorder="1">
      <alignment horizontal="right" vertical="center" wrapText="1"/>
    </xf>
    <xf fontId="22" fillId="36" borderId="14" numFmtId="177" xfId="0" applyNumberFormat="1" applyFont="1" applyFill="1" applyBorder="1">
      <alignment horizontal="right" vertical="center" wrapText="1"/>
      <protection locked="0"/>
    </xf>
    <xf fontId="47" fillId="0" borderId="14" numFmtId="4" xfId="0" applyNumberFormat="1" applyFont="1" applyBorder="1">
      <alignment horizontal="center" vertical="center" wrapText="1"/>
    </xf>
    <xf fontId="22" fillId="36" borderId="13" numFmtId="4" xfId="0" applyNumberFormat="1" applyFont="1" applyFill="1" applyBorder="1">
      <alignment horizontal="right" vertical="center" wrapText="1"/>
      <protection locked="0"/>
    </xf>
    <xf fontId="22" fillId="37" borderId="27" numFmtId="49" xfId="0" applyNumberFormat="1" applyFont="1" applyFill="1" applyBorder="1">
      <alignment horizontal="center" vertical="center" wrapText="1"/>
    </xf>
    <xf fontId="46" fillId="0" borderId="0" numFmtId="49" xfId="0" applyNumberFormat="1" applyFont="1">
      <alignment vertical="center" wrapText="1"/>
    </xf>
    <xf fontId="46" fillId="0" borderId="0" numFmtId="0" xfId="0" applyFont="1">
      <alignment horizontal="center" vertical="center" wrapText="1"/>
    </xf>
    <xf fontId="56" fillId="35" borderId="0" numFmtId="0" xfId="0" applyFont="1" applyFill="1">
      <alignment horizontal="center" vertical="center" wrapText="1"/>
    </xf>
    <xf fontId="56" fillId="0" borderId="0" numFmtId="0" xfId="0" applyFont="1">
      <alignment vertical="center" wrapText="1"/>
    </xf>
    <xf fontId="47" fillId="0" borderId="0" numFmtId="0" xfId="0" applyFont="1">
      <alignment vertical="center"/>
    </xf>
    <xf fontId="48" fillId="0" borderId="0" numFmtId="0" xfId="0" applyFont="1">
      <alignment vertical="center"/>
    </xf>
    <xf fontId="47" fillId="0" borderId="0" numFmtId="0" xfId="0" applyFont="1">
      <alignment vertical="center"/>
    </xf>
    <xf fontId="47" fillId="0" borderId="0" numFmtId="0" xfId="0" applyFont="1">
      <alignment vertical="center"/>
    </xf>
    <xf fontId="0" fillId="0" borderId="0" numFmtId="0" xfId="0" applyFont="1">
      <alignment vertical="center"/>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19" numFmtId="49" xfId="0" applyNumberFormat="1" applyFont="1" applyBorder="1">
      <alignment horizontal="center" vertical="center" wrapText="1"/>
    </xf>
    <xf fontId="46" fillId="0" borderId="0" numFmtId="0" xfId="0" applyFont="1">
      <alignment horizontal="center" vertical="center" wrapText="1"/>
    </xf>
    <xf fontId="47" fillId="0" borderId="0" numFmtId="0" xfId="0" applyFont="1">
      <alignment horizontal="center" vertical="center" wrapText="1"/>
    </xf>
    <xf fontId="22" fillId="0" borderId="0" numFmtId="0" xfId="0" applyFont="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47" fillId="0" borderId="0" numFmtId="0" xfId="0" applyFont="1">
      <alignment horizontal="center" vertical="center"/>
    </xf>
    <xf fontId="22" fillId="0" borderId="0" numFmtId="49" xfId="0" applyNumberFormat="1" applyFont="1">
      <alignment horizontal="center" vertical="top"/>
    </xf>
    <xf fontId="31" fillId="0" borderId="0" numFmtId="49" xfId="0" applyNumberFormat="1" applyFont="1">
      <alignment horizontal="center" vertical="center"/>
    </xf>
    <xf fontId="0" fillId="0" borderId="0" numFmtId="0" xfId="0" applyFont="1">
      <alignment horizontal="left" vertical="center"/>
    </xf>
    <xf fontId="54" fillId="0" borderId="0" numFmtId="0" xfId="0" applyFont="1">
      <alignment horizontal="left" vertical="center"/>
    </xf>
    <xf fontId="0" fillId="0" borderId="0" numFmtId="49" xfId="0" applyNumberFormat="1" applyFont="1">
      <alignment vertical="center"/>
    </xf>
    <xf fontId="0" fillId="0" borderId="0" numFmtId="0" xfId="0" applyFont="1">
      <alignment horizontal="right" vertical="top"/>
    </xf>
    <xf fontId="39" fillId="37" borderId="29" numFmtId="0" xfId="0" applyFont="1" applyFill="1" applyBorder="1">
      <alignment horizontal="left" vertical="center"/>
    </xf>
    <xf fontId="47" fillId="0" borderId="14" numFmtId="49" xfId="0" applyNumberFormat="1" applyFont="1" applyBorder="1">
      <alignment horizontal="left" vertical="center" wrapText="1"/>
    </xf>
    <xf fontId="47" fillId="0" borderId="14" numFmtId="0" xfId="0" applyFont="1" applyBorder="1">
      <alignment horizontal="left" vertical="center"/>
    </xf>
    <xf fontId="47" fillId="0" borderId="15" numFmtId="0" xfId="0" applyFont="1" applyBorder="1">
      <alignment horizontal="left" vertical="center"/>
    </xf>
    <xf fontId="22" fillId="36" borderId="12" numFmtId="49" xfId="0" applyNumberFormat="1" applyFont="1" applyFill="1" applyBorder="1">
      <alignment horizontal="left" indent="6" vertical="center" wrapText="1"/>
      <protection locked="0"/>
    </xf>
    <xf fontId="22" fillId="0" borderId="37" numFmtId="4" xfId="0" applyNumberFormat="1" applyFont="1" applyBorder="1">
      <alignment horizontal="right" vertical="center" wrapText="1"/>
    </xf>
    <xf fontId="22" fillId="0" borderId="30" numFmtId="4" xfId="0" applyNumberFormat="1" applyFont="1" applyBorder="1">
      <alignment horizontal="right" vertical="center" wrapText="1"/>
    </xf>
    <xf fontId="0" fillId="37" borderId="29" numFmtId="49" xfId="0" applyNumberFormat="1" applyFont="1" applyFill="1" applyBorder="1">
      <alignment horizontal="center" vertical="center" wrapText="1"/>
    </xf>
    <xf fontId="0" fillId="0" borderId="0" numFmtId="0" xfId="0" applyFont="1">
      <alignment vertical="center"/>
    </xf>
    <xf fontId="110" fillId="0" borderId="0" numFmtId="0" xfId="0" applyFont="1">
      <alignment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0" numFmtId="49" xfId="0" applyNumberFormat="1" applyFont="1">
      <alignment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22" fillId="0" borderId="0" numFmtId="0" xfId="0" applyFont="1">
      <alignment horizontal="left" vertical="top" wrapText="1"/>
    </xf>
    <xf fontId="47" fillId="0" borderId="0" numFmtId="0" xfId="0" applyFont="1">
      <alignment horizontal="center" vertical="center" wrapText="1"/>
    </xf>
    <xf fontId="80" fillId="35" borderId="19" numFmtId="0" xfId="0" applyFont="1" applyFill="1" applyBorder="1">
      <alignment horizontal="center" vertical="center" wrapText="1"/>
    </xf>
    <xf fontId="22" fillId="0" borderId="17" numFmtId="0" xfId="0" applyFont="1" applyBorder="1">
      <alignment horizontal="center" vertical="center" wrapText="1"/>
    </xf>
    <xf fontId="22" fillId="0" borderId="0" numFmtId="0" xfId="0" applyFont="1">
      <alignment horizontal="center" vertical="center" wrapText="1"/>
    </xf>
    <xf fontId="22" fillId="0" borderId="0" numFmtId="0" xfId="0" applyFont="1">
      <alignment horizontal="right"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47" fillId="0" borderId="0" numFmtId="0" xfId="0" applyFont="1">
      <alignment horizontal="center" vertical="center"/>
    </xf>
    <xf fontId="22" fillId="40" borderId="12" numFmtId="49" xfId="0" applyNumberFormat="1" applyFont="1" applyFill="1" applyBorder="1">
      <alignment horizontal="center" vertical="center" wrapText="1"/>
    </xf>
    <xf fontId="47" fillId="0" borderId="12" numFmtId="49" xfId="0" applyNumberFormat="1" applyFont="1" applyBorder="1">
      <alignment horizontal="center" vertical="center" wrapText="1"/>
    </xf>
    <xf fontId="46" fillId="0" borderId="0" numFmtId="0" xfId="0" applyFont="1">
      <alignment horizontal="center" vertical="center" wrapText="1"/>
    </xf>
    <xf fontId="47" fillId="0" borderId="0" numFmtId="0" xfId="0" applyFont="1">
      <alignment horizontal="center" vertical="center" wrapText="1"/>
    </xf>
    <xf fontId="22" fillId="35" borderId="12" numFmtId="49" xfId="0" applyNumberFormat="1" applyFont="1" applyFill="1" applyBorder="1">
      <alignment horizontal="center" vertical="center" wrapText="1"/>
    </xf>
    <xf fontId="47" fillId="0" borderId="0" numFmtId="0" xfId="0" applyFont="1">
      <alignment horizontal="center" vertical="center"/>
    </xf>
    <xf fontId="22" fillId="35" borderId="12" numFmtId="0" xfId="0" applyFont="1" applyFill="1" applyBorder="1">
      <alignment horizontal="left" vertical="center" wrapText="1"/>
    </xf>
    <xf fontId="22" fillId="39" borderId="12" numFmtId="49" xfId="0" applyNumberFormat="1" applyFont="1" applyFill="1" applyBorder="1">
      <alignment horizontal="left" indent="1" vertical="center" wrapText="1"/>
      <protection locked="0"/>
    </xf>
    <xf fontId="0" fillId="0" borderId="0" numFmtId="0" xfId="0" applyFont="1">
      <alignment vertical="center"/>
    </xf>
    <xf fontId="22" fillId="0" borderId="0" numFmtId="0" xfId="0" applyFont="1">
      <alignment horizontal="center" vertical="center" wrapText="1"/>
    </xf>
    <xf fontId="22" fillId="40" borderId="12" numFmtId="49" xfId="0" applyNumberFormat="1" applyFont="1" applyFill="1" applyBorder="1">
      <alignment horizontal="center"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0" numFmtId="49" xfId="0" applyNumberFormat="1" applyFont="1">
      <alignment vertical="center" wrapText="1"/>
    </xf>
    <xf fontId="22" fillId="35" borderId="12" numFmtId="49" xfId="0" applyNumberFormat="1" applyFont="1" applyFill="1" applyBorder="1">
      <alignment horizontal="center" vertical="center" wrapText="1"/>
    </xf>
    <xf fontId="47" fillId="35" borderId="0" numFmtId="0" xfId="0" applyFont="1" applyFill="1">
      <alignment horizontal="center" vertical="center" wrapText="1"/>
    </xf>
    <xf fontId="0" fillId="35" borderId="12" numFmtId="0" xfId="0" applyFont="1" applyFill="1" applyBorder="1">
      <alignment horizontal="center" vertical="center" wrapText="1"/>
    </xf>
    <xf fontId="22" fillId="35" borderId="24" numFmtId="0" xfId="0" applyFont="1" applyFill="1" applyBorder="1">
      <alignment horizontal="center"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22" fillId="0" borderId="0" numFmtId="0" xfId="0" applyFont="1">
      <alignment horizontal="left" vertical="top" wrapText="1"/>
    </xf>
    <xf fontId="47" fillId="0" borderId="0" numFmtId="0" xfId="0" applyFont="1">
      <alignment horizontal="center" vertical="center" wrapText="1"/>
    </xf>
    <xf fontId="80" fillId="35" borderId="19" numFmtId="0" xfId="0" applyFont="1" applyFill="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center" vertical="center" wrapText="1"/>
    </xf>
    <xf fontId="47" fillId="0" borderId="12" numFmtId="49" xfId="0" applyNumberFormat="1" applyFont="1" applyBorder="1">
      <alignment horizontal="center" vertical="center" wrapText="1"/>
    </xf>
    <xf fontId="22" fillId="35" borderId="12" numFmtId="49" xfId="0" applyNumberFormat="1" applyFont="1" applyFill="1" applyBorder="1">
      <alignment horizontal="center" vertical="center" wrapText="1"/>
    </xf>
    <xf fontId="22" fillId="0" borderId="0" numFmtId="0" xfId="0" applyFont="1">
      <alignment horizontal="center" vertical="center" wrapText="1"/>
    </xf>
    <xf fontId="22" fillId="0" borderId="0" numFmtId="0" xfId="0" applyFont="1">
      <alignment horizontal="right"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40" borderId="12" numFmtId="49" xfId="0" applyNumberFormat="1" applyFont="1" applyFill="1" applyBorder="1">
      <alignment horizontal="left" vertical="center" wrapText="1"/>
    </xf>
    <xf fontId="22" fillId="39" borderId="12" numFmtId="49" xfId="0" applyNumberFormat="1" applyFont="1" applyFill="1" applyBorder="1">
      <alignment horizontal="left" indent="1" vertical="center" wrapText="1"/>
      <protection locked="0"/>
    </xf>
    <xf fontId="22" fillId="35" borderId="12" numFmtId="0" xfId="0" applyFont="1" applyFill="1" applyBorder="1">
      <alignment horizontal="left" vertical="center" wrapText="1"/>
    </xf>
    <xf fontId="47" fillId="0" borderId="0" numFmtId="0" xfId="0" applyFont="1">
      <alignment horizontal="center" vertical="center"/>
    </xf>
    <xf fontId="36" fillId="0" borderId="0" numFmtId="0" xfId="0" applyFont="1">
      <alignment horizontal="center" vertical="center" wrapText="1"/>
    </xf>
    <xf fontId="22" fillId="37" borderId="15" numFmtId="177" xfId="0" applyNumberFormat="1" applyFont="1" applyFill="1" applyBorder="1">
      <alignment horizontal="right" vertical="center" wrapText="1"/>
    </xf>
    <xf fontId="111" fillId="0" borderId="0" numFmtId="0" xfId="0" applyFont="1">
      <alignment vertical="center" wrapText="1"/>
    </xf>
    <xf fontId="111" fillId="35" borderId="0" numFmtId="0" xfId="0" applyFont="1" applyFill="1">
      <alignment horizontal="center" vertical="center" wrapText="1"/>
    </xf>
    <xf fontId="47" fillId="35" borderId="12" numFmtId="0" xfId="0" applyFont="1" applyFill="1" applyBorder="1">
      <alignment horizontal="left" indent="3" vertical="center" wrapText="1"/>
    </xf>
    <xf fontId="39" fillId="37" borderId="27" numFmtId="49" xfId="0" applyNumberFormat="1" applyFont="1" applyFill="1" applyBorder="1">
      <alignment horizontal="left" vertical="center"/>
    </xf>
    <xf fontId="111" fillId="0" borderId="0" numFmtId="0" xfId="0" applyFont="1">
      <alignment horizontal="center" vertical="center" wrapText="1"/>
    </xf>
    <xf fontId="47" fillId="0" borderId="0" numFmtId="49" xfId="0" applyNumberFormat="1" applyFont="1">
      <alignment horizontal="left" indent="1" vertical="center" wrapText="1"/>
    </xf>
    <xf fontId="47" fillId="0" borderId="0" numFmtId="0" xfId="0" applyFont="1">
      <alignment horizontal="left" indent="4" vertical="center" wrapText="1"/>
    </xf>
    <xf fontId="47" fillId="0" borderId="0" numFmtId="0" xfId="0" applyFont="1">
      <alignment horizontal="left" indent="1" vertical="center" wrapText="1"/>
    </xf>
    <xf fontId="22" fillId="37" borderId="14" numFmtId="49" xfId="0" applyNumberFormat="1" applyFont="1" applyFill="1" applyBorder="1">
      <alignment horizontal="center" vertical="center" wrapText="1"/>
    </xf>
    <xf fontId="47" fillId="0" borderId="24" numFmtId="0" xfId="0" applyFont="1" applyBorder="1">
      <alignment horizontal="left" indent="1" vertical="center" wrapText="1"/>
    </xf>
    <xf fontId="46" fillId="0" borderId="0" numFmtId="0" xfId="0" applyFont="1">
      <alignment horizontal="left" vertical="center"/>
    </xf>
    <xf fontId="46" fillId="0" borderId="0" numFmtId="49" xfId="0" applyNumberFormat="1" applyFont="1">
      <alignment horizontal="left" vertical="center"/>
    </xf>
    <xf fontId="46" fillId="0" borderId="0" numFmtId="0" xfId="0" applyFont="1">
      <alignment horizontal="left" vertical="center"/>
    </xf>
    <xf fontId="69" fillId="0" borderId="0" numFmtId="0" xfId="0" applyFont="1">
      <alignment horizontal="left" vertical="center"/>
    </xf>
    <xf fontId="47" fillId="0" borderId="0" numFmtId="0" xfId="0" applyFont="1">
      <alignment horizontal="left" vertical="center"/>
    </xf>
    <xf fontId="22" fillId="0" borderId="0" numFmtId="49" xfId="0" applyNumberFormat="1" applyFont="1">
      <alignment horizontal="center" vertical="center" wrapText="1"/>
    </xf>
    <xf fontId="22" fillId="0" borderId="19" numFmtId="49" xfId="0" applyNumberFormat="1" applyFont="1" applyBorder="1">
      <alignment horizontal="center" vertical="center" wrapText="1"/>
    </xf>
    <xf fontId="22" fillId="0" borderId="19" numFmtId="49" xfId="0" applyNumberFormat="1" applyFont="1" applyBorder="1">
      <alignment horizontal="left" vertical="center" wrapText="1"/>
    </xf>
    <xf fontId="36" fillId="0" borderId="0" numFmtId="0" xfId="0" applyFont="1">
      <alignment horizontal="center" vertical="center" wrapText="1"/>
    </xf>
    <xf fontId="36" fillId="35" borderId="0" numFmtId="0" xfId="0" applyFont="1" applyFill="1">
      <alignment horizontal="center" vertical="center" wrapText="1"/>
    </xf>
    <xf fontId="46" fillId="0" borderId="0" numFmtId="49" xfId="0" applyNumberFormat="1" applyFont="1">
      <alignment horizontal="left" vertical="center"/>
    </xf>
    <xf fontId="46" fillId="0" borderId="0" numFmtId="49" xfId="0" applyNumberFormat="1" applyFont="1">
      <alignment horizontal="left" vertical="center"/>
    </xf>
    <xf fontId="46" fillId="0" borderId="0" numFmtId="49" xfId="0" applyNumberFormat="1" applyFont="1">
      <alignment horizontal="left" vertical="top"/>
    </xf>
    <xf fontId="22" fillId="35" borderId="12" numFmtId="49" xfId="0" applyNumberFormat="1" applyFont="1" applyFill="1" applyBorder="1">
      <alignment horizontal="center" vertical="center"/>
    </xf>
    <xf fontId="22" fillId="0" borderId="12" numFmtId="0" xfId="0" applyFont="1" applyBorder="1">
      <alignment horizontal="center" vertical="center" wrapText="1"/>
    </xf>
    <xf fontId="22" fillId="35" borderId="12" numFmtId="0" xfId="0" applyFont="1" applyFill="1" applyBorder="1">
      <alignment horizontal="left" indent="1" vertical="center" wrapText="1"/>
    </xf>
    <xf fontId="22" fillId="0" borderId="12" numFmtId="49" xfId="0" applyNumberFormat="1" applyFont="1" applyBorder="1">
      <alignment horizontal="center" vertical="center"/>
    </xf>
    <xf fontId="22" fillId="0" borderId="12" numFmtId="0" xfId="0" applyFont="1" applyBorder="1">
      <alignment horizontal="left" indent="1" vertical="center" wrapText="1"/>
    </xf>
    <xf fontId="22" fillId="0" borderId="12" numFmtId="0" xfId="0" applyFont="1" applyBorder="1">
      <alignment vertical="center" wrapText="1"/>
    </xf>
    <xf fontId="22" fillId="39" borderId="12" numFmtId="49" xfId="0" applyNumberFormat="1" applyFont="1" applyFill="1" applyBorder="1">
      <alignment horizontal="left" vertical="center" wrapText="1"/>
      <protection locked="0"/>
    </xf>
    <xf fontId="22" fillId="35" borderId="12" numFmtId="0" xfId="0" applyFont="1" applyFill="1" applyBorder="1">
      <alignment horizontal="left" vertical="center" wrapText="1"/>
    </xf>
    <xf fontId="47" fillId="35" borderId="12" numFmtId="0" xfId="0" applyFont="1" applyFill="1" applyBorder="1">
      <alignment horizontal="center" vertical="center"/>
    </xf>
    <xf fontId="72" fillId="35" borderId="0" numFmtId="0" xfId="0" applyFont="1" applyFill="1">
      <alignment vertical="center" wrapText="1"/>
    </xf>
    <xf fontId="67" fillId="35" borderId="0" numFmtId="0" xfId="0" applyFont="1" applyFill="1"/>
    <xf fontId="22" fillId="36" borderId="12" numFmtId="49" xfId="0" applyNumberFormat="1" applyFont="1" applyFill="1" applyBorder="1">
      <alignment horizontal="left" vertical="center" wrapText="1"/>
      <protection locked="0"/>
    </xf>
    <xf fontId="84" fillId="35" borderId="0" numFmtId="0" xfId="0" applyFont="1" applyFill="1"/>
    <xf fontId="68" fillId="35" borderId="0" numFmtId="0" xfId="0" applyFont="1" applyFill="1"/>
    <xf fontId="22" fillId="39" borderId="23" numFmtId="14" xfId="0" applyNumberFormat="1" applyFont="1" applyFill="1" applyBorder="1">
      <alignment horizontal="left" indent="1" vertical="center" wrapText="1"/>
      <protection locked="0"/>
    </xf>
    <xf fontId="112" fillId="0" borderId="0" numFmtId="0" xfId="0" applyFont="1">
      <alignment vertical="center"/>
    </xf>
    <xf fontId="112" fillId="0" borderId="0" numFmtId="0" xfId="0" applyFont="1">
      <alignment vertical="center" wrapText="1"/>
    </xf>
    <xf fontId="22" fillId="0" borderId="23" numFmtId="180" xfId="0" applyNumberFormat="1" applyFont="1" applyBorder="1">
      <alignment horizontal="center" vertical="center" wrapText="1"/>
    </xf>
    <xf fontId="22" fillId="39" borderId="12" numFmtId="14" xfId="0" applyNumberFormat="1" applyFont="1" applyFill="1" applyBorder="1">
      <alignment horizontal="left" indent="1" vertical="center" wrapText="1"/>
      <protection locked="0"/>
    </xf>
    <xf fontId="22" fillId="34" borderId="23" numFmtId="0" xfId="0" applyFont="1" applyFill="1" applyBorder="1">
      <alignment horizontal="left" indent="1" vertical="center" wrapText="1"/>
    </xf>
    <xf fontId="22" fillId="0" borderId="17" numFmtId="180" xfId="0" applyNumberFormat="1" applyFont="1" applyBorder="1">
      <alignment horizontal="center" vertical="center" wrapText="1"/>
    </xf>
    <xf fontId="49" fillId="37" borderId="30" numFmtId="49" xfId="0" applyNumberFormat="1" applyFont="1" applyFill="1" applyBorder="1">
      <alignment horizontal="right" vertical="center" wrapText="1"/>
    </xf>
    <xf fontId="0" fillId="37" borderId="27" numFmtId="49" xfId="0" applyNumberFormat="1" applyFont="1" applyFill="1" applyBorder="1">
      <alignment horizontal="right" vertical="center" wrapText="1"/>
    </xf>
    <xf fontId="53" fillId="37" borderId="27" numFmtId="49" xfId="0" applyNumberFormat="1" applyFont="1" applyFill="1" applyBorder="1">
      <alignment horizontal="left" vertical="center" wrapText="1"/>
    </xf>
    <xf fontId="47" fillId="0" borderId="27" numFmtId="0" xfId="0" applyFont="1" applyBorder="1">
      <alignment horizontal="center" vertical="center" wrapText="1"/>
    </xf>
    <xf fontId="47" fillId="0" borderId="0" numFmtId="0" xfId="0" applyFont="1">
      <alignment horizontal="center" vertical="center"/>
    </xf>
    <xf fontId="41" fillId="0" borderId="0" numFmtId="0" xfId="0" applyFont="1">
      <alignment horizontal="center" vertical="center" wrapText="1"/>
    </xf>
    <xf fontId="22" fillId="40" borderId="12" numFmtId="14" xfId="0" applyNumberFormat="1" applyFont="1" applyFill="1" applyBorder="1">
      <alignment horizontal="left" vertical="center" wrapText="1"/>
    </xf>
    <xf fontId="22" fillId="0" borderId="37" numFmtId="180" xfId="0" applyNumberFormat="1" applyFont="1" applyBorder="1">
      <alignment horizontal="center" vertical="center" wrapText="1"/>
    </xf>
    <xf fontId="22" fillId="39" borderId="12" numFmtId="0" xfId="0" applyFont="1" applyFill="1" applyBorder="1">
      <alignment horizontal="center" vertical="center" wrapText="1"/>
      <protection locked="0"/>
    </xf>
    <xf fontId="46" fillId="35" borderId="0" numFmtId="0" xfId="0" applyFont="1" applyFill="1"/>
    <xf fontId="22" fillId="0" borderId="15" numFmtId="0" xfId="0" applyFont="1" applyBorder="1">
      <alignment horizontal="right" indent="1" vertical="center" wrapText="1"/>
    </xf>
    <xf fontId="22" fillId="34" borderId="14" numFmtId="0" xfId="0" applyFont="1" applyFill="1" applyBorder="1">
      <alignment horizontal="left" vertical="top" wrapText="1"/>
    </xf>
    <xf fontId="47" fillId="0" borderId="0" numFmtId="49" xfId="0" applyNumberFormat="1" applyFont="1">
      <alignment horizontal="center" vertical="center"/>
    </xf>
    <xf fontId="67" fillId="0" borderId="0" numFmtId="49" xfId="0" applyNumberFormat="1" applyFont="1">
      <alignment vertical="top"/>
    </xf>
    <xf fontId="41" fillId="0" borderId="0" numFmtId="0" xfId="0" applyFont="1">
      <alignment vertical="center"/>
    </xf>
    <xf fontId="22" fillId="0" borderId="36" numFmtId="0" xfId="0" applyFont="1" applyBorder="1">
      <alignment horizontal="center" vertical="center" wrapText="1"/>
    </xf>
    <xf fontId="22" fillId="0" borderId="37" numFmtId="0" xfId="0" applyFont="1" applyBorder="1">
      <alignment horizontal="center" vertical="center" wrapText="1"/>
    </xf>
    <xf fontId="22" fillId="0" borderId="17" numFmtId="0" xfId="0" applyFont="1" applyBorder="1">
      <alignment horizontal="center" vertical="center" wrapText="1"/>
    </xf>
    <xf fontId="22" fillId="0" borderId="22" numFmtId="0" xfId="0" applyFont="1" applyBorder="1">
      <alignment horizontal="center" vertical="center" wrapText="1"/>
    </xf>
    <xf fontId="22" fillId="0" borderId="36" numFmtId="49" xfId="0" applyNumberFormat="1" applyFont="1" applyBorder="1">
      <alignment horizontal="left" vertical="center" wrapText="1"/>
    </xf>
    <xf fontId="22" fillId="0" borderId="36" numFmtId="49" xfId="0" applyNumberFormat="1" applyFont="1" applyBorder="1">
      <alignment horizontal="center" vertical="center" wrapText="1"/>
    </xf>
    <xf fontId="22" fillId="0" borderId="17" numFmtId="49" xfId="0" applyNumberFormat="1" applyFont="1" applyBorder="1">
      <alignment horizontal="center" vertical="center" wrapText="1"/>
    </xf>
    <xf fontId="22" fillId="0" borderId="36" numFmtId="0" xfId="0" applyFont="1" applyBorder="1">
      <alignment horizontal="left" vertical="center" wrapText="1"/>
    </xf>
    <xf fontId="22" fillId="0" borderId="36" numFmtId="49" xfId="0" applyNumberFormat="1" applyFont="1" applyBorder="1">
      <alignment vertical="center" wrapText="1"/>
    </xf>
    <xf fontId="22" fillId="0" borderId="23" numFmtId="0" xfId="0" applyFont="1" applyBorder="1">
      <alignment horizontal="left" vertical="center" wrapText="1"/>
    </xf>
    <xf fontId="39" fillId="0" borderId="23" numFmtId="0" xfId="0" applyFont="1" applyBorder="1">
      <alignment horizontal="left" vertical="center"/>
    </xf>
    <xf fontId="39" fillId="37" borderId="14" numFmtId="0" xfId="0" applyFont="1" applyFill="1" applyBorder="1">
      <alignment horizontal="left" vertical="center"/>
    </xf>
    <xf fontId="39" fillId="0" borderId="36" numFmtId="0" xfId="0" applyFont="1" applyBorder="1">
      <alignment horizontal="left" vertical="center"/>
    </xf>
    <xf fontId="39" fillId="37" borderId="37" numFmtId="0" xfId="0" applyFont="1" applyFill="1" applyBorder="1">
      <alignment horizontal="left" vertical="center"/>
    </xf>
    <xf fontId="67" fillId="37" borderId="14" numFmtId="49" xfId="0" applyNumberFormat="1" applyFont="1" applyFill="1" applyBorder="1">
      <alignment vertical="top"/>
    </xf>
    <xf fontId="67" fillId="37" borderId="15" numFmtId="49" xfId="0" applyNumberFormat="1" applyFont="1" applyFill="1" applyBorder="1">
      <alignment vertical="top"/>
    </xf>
    <xf fontId="22" fillId="40" borderId="17" numFmtId="49" xfId="0" applyNumberFormat="1" applyFont="1" applyFill="1" applyBorder="1">
      <alignment vertical="center" wrapText="1"/>
    </xf>
    <xf fontId="22" fillId="0" borderId="37" numFmtId="0" xfId="0" applyFont="1" applyBorder="1">
      <alignment horizontal="center" vertical="center" wrapText="1"/>
    </xf>
    <xf fontId="0" fillId="0" borderId="0" numFmtId="49" xfId="0" applyNumberFormat="1" applyFont="1">
      <alignment vertical="top"/>
    </xf>
    <xf fontId="46" fillId="0" borderId="0" numFmtId="49" xfId="0" applyNumberFormat="1" applyFont="1">
      <alignment horizontal="center" vertical="center"/>
    </xf>
    <xf fontId="113" fillId="0" borderId="0" numFmtId="0" xfId="0" applyFont="1">
      <alignment vertical="center" wrapText="1"/>
    </xf>
    <xf fontId="114" fillId="0" borderId="0" numFmtId="0" xfId="0" applyFont="1">
      <alignment vertical="center" wrapText="1"/>
    </xf>
    <xf fontId="22" fillId="0" borderId="17" numFmtId="0" xfId="0" applyFont="1" applyBorder="1">
      <alignment horizontal="center" vertical="center" wrapText="1"/>
    </xf>
    <xf fontId="22" fillId="0" borderId="17" numFmtId="49" xfId="0" applyNumberFormat="1" applyFont="1" applyBorder="1">
      <alignment horizontal="left" vertical="center" wrapText="1"/>
    </xf>
    <xf fontId="22" fillId="0" borderId="17" numFmtId="49" xfId="0" applyNumberFormat="1" applyFont="1" applyBorder="1">
      <alignment horizontal="left" vertical="center" wrapText="1"/>
    </xf>
    <xf fontId="22" fillId="0" borderId="17" numFmtId="49" xfId="0" applyNumberFormat="1" applyFont="1" applyBorder="1">
      <alignment horizontal="center" vertical="center" wrapText="1"/>
    </xf>
    <xf fontId="22" fillId="0" borderId="17" numFmtId="0" xfId="0" applyFont="1" applyBorder="1">
      <alignment horizontal="left" vertical="center" wrapText="1"/>
    </xf>
    <xf fontId="22" fillId="0" borderId="0" numFmtId="0" xfId="0" applyFont="1">
      <alignment horizontal="left" vertical="center" wrapText="1"/>
    </xf>
    <xf fontId="22" fillId="0" borderId="19" numFmtId="49" xfId="0" applyNumberFormat="1" applyFont="1" applyBorder="1">
      <alignment vertical="center" wrapText="1"/>
    </xf>
    <xf fontId="22" fillId="0" borderId="19" numFmtId="49" xfId="0" applyNumberFormat="1" applyFont="1" applyBorder="1">
      <alignment horizontal="left" vertical="center" wrapText="1"/>
    </xf>
    <xf fontId="36" fillId="0" borderId="19" numFmtId="49" xfId="0" applyNumberFormat="1" applyFont="1" applyBorder="1">
      <alignment vertical="center" wrapText="1"/>
    </xf>
    <xf fontId="22" fillId="0" borderId="19" numFmtId="49" xfId="0" applyNumberFormat="1" applyFont="1" applyBorder="1">
      <alignment horizontal="center" vertical="center" wrapText="1"/>
    </xf>
    <xf fontId="22" fillId="0" borderId="19" numFmtId="0" xfId="0" applyFont="1" applyBorder="1">
      <alignment horizontal="left" vertical="center" wrapText="1"/>
    </xf>
    <xf fontId="22" fillId="0" borderId="19" numFmtId="49" xfId="0" applyNumberFormat="1" applyFont="1" applyBorder="1">
      <alignment vertical="center" wrapText="1"/>
    </xf>
    <xf fontId="22" fillId="0" borderId="0" numFmtId="49" xfId="0" applyNumberFormat="1" applyFont="1">
      <alignment vertical="center" wrapText="1"/>
    </xf>
    <xf fontId="22" fillId="0" borderId="0" numFmtId="49" xfId="0" applyNumberFormat="1" applyFont="1">
      <alignment horizontal="left" vertical="center" wrapText="1"/>
    </xf>
    <xf fontId="36" fillId="0" borderId="0" numFmtId="49" xfId="0" applyNumberFormat="1" applyFont="1">
      <alignment vertical="center" wrapText="1"/>
    </xf>
    <xf fontId="22" fillId="0" borderId="0" numFmtId="49" xfId="0" applyNumberFormat="1" applyFont="1">
      <alignment horizontal="center" vertical="center" wrapText="1"/>
    </xf>
    <xf fontId="22" fillId="0" borderId="0" numFmtId="0" xfId="0" applyFont="1">
      <alignment horizontal="left" vertical="center" wrapText="1"/>
    </xf>
    <xf fontId="39" fillId="0" borderId="0" numFmtId="0" xfId="0" applyFont="1">
      <alignment horizontal="left" vertical="center"/>
    </xf>
    <xf fontId="36" fillId="0" borderId="0" numFmtId="49" xfId="0" applyNumberFormat="1" applyFont="1">
      <alignment horizontal="center" vertical="center" wrapText="1"/>
    </xf>
    <xf fontId="39" fillId="0" borderId="0" numFmtId="0" xfId="0" applyFont="1">
      <alignment vertical="center"/>
    </xf>
    <xf fontId="67" fillId="0" borderId="30" numFmtId="49" xfId="0" applyNumberFormat="1" applyFont="1" applyBorder="1">
      <alignment vertical="top"/>
    </xf>
    <xf fontId="22" fillId="0" borderId="37" numFmtId="49" xfId="0" applyNumberFormat="1" applyFont="1" applyBorder="1">
      <alignment vertical="center" wrapText="1"/>
    </xf>
    <xf fontId="22" fillId="0" borderId="22" numFmtId="49" xfId="0" applyNumberFormat="1" applyFont="1" applyBorder="1">
      <alignment vertical="center" wrapText="1"/>
    </xf>
    <xf fontId="39" fillId="0" borderId="22" numFmtId="0" xfId="0" applyFont="1" applyBorder="1">
      <alignment horizontal="left" vertical="center"/>
    </xf>
    <xf fontId="67" fillId="0" borderId="27" numFmtId="49" xfId="0" applyNumberFormat="1" applyFont="1" applyBorder="1">
      <alignment vertical="top"/>
    </xf>
    <xf fontId="22" fillId="0" borderId="36" numFmtId="49" xfId="0" applyNumberFormat="1" applyFont="1" applyBorder="1">
      <alignment horizontal="center" vertical="center" wrapText="1"/>
    </xf>
    <xf fontId="39" fillId="37" borderId="37" numFmtId="0" xfId="0" applyFont="1" applyFill="1" applyBorder="1">
      <alignment vertical="center"/>
    </xf>
    <xf fontId="0" fillId="0" borderId="12" numFmtId="49" xfId="0" applyNumberFormat="1" applyFont="1" applyBorder="1">
      <alignment horizontal="left" indent="1" vertical="center" wrapText="1"/>
    </xf>
    <xf fontId="0" fillId="0" borderId="0" numFmtId="49" xfId="0" applyNumberFormat="1" applyFont="1">
      <alignment vertical="top"/>
    </xf>
    <xf fontId="22" fillId="0" borderId="0" numFmtId="0" xfId="0" applyFont="1">
      <alignment vertical="center" wrapText="1"/>
    </xf>
    <xf fontId="31" fillId="0" borderId="0" numFmtId="0" xfId="0" applyFont="1">
      <alignment vertical="center" wrapText="1"/>
    </xf>
    <xf fontId="41" fillId="0" borderId="0" numFmtId="0" xfId="0" applyFont="1">
      <alignment vertical="center" wrapText="1"/>
    </xf>
    <xf fontId="22" fillId="0" borderId="0" numFmtId="0" xfId="0" applyFont="1">
      <alignment horizontal="left" vertical="center" wrapText="1"/>
    </xf>
    <xf fontId="58" fillId="0" borderId="0" numFmtId="0" xfId="0" applyFont="1">
      <alignment vertical="center" wrapText="1"/>
    </xf>
    <xf fontId="60" fillId="0" borderId="0" numFmtId="0" xfId="0" applyFont="1">
      <alignment vertical="center" wrapText="1"/>
    </xf>
    <xf fontId="88" fillId="0" borderId="0" numFmtId="0" xfId="0" applyFont="1">
      <alignment vertical="center" wrapText="1"/>
    </xf>
    <xf fontId="47" fillId="0" borderId="0" numFmtId="0" xfId="0" applyFont="1">
      <alignment vertical="center" wrapText="1"/>
    </xf>
    <xf fontId="64" fillId="0" borderId="0" numFmtId="0" xfId="0" applyFont="1">
      <alignment vertical="center" wrapText="1"/>
    </xf>
    <xf fontId="22" fillId="0" borderId="12" numFmtId="49" xfId="0" applyNumberFormat="1" applyFont="1" applyBorder="1">
      <alignment horizontal="center" vertical="center" wrapText="1"/>
    </xf>
    <xf fontId="36" fillId="35" borderId="12" numFmtId="0" xfId="0" applyFont="1" applyFill="1" applyBorder="1">
      <alignment horizontal="center" vertical="center" wrapText="1"/>
    </xf>
    <xf fontId="22" fillId="0" borderId="0" numFmtId="0" xfId="0" applyFont="1">
      <alignment vertical="center" wrapText="1"/>
    </xf>
    <xf fontId="36" fillId="35" borderId="0" numFmtId="0" xfId="0" applyFont="1" applyFill="1">
      <alignment horizontal="center" vertical="center" wrapText="1"/>
    </xf>
    <xf fontId="22" fillId="0" borderId="12" numFmtId="49" xfId="0" applyNumberFormat="1" applyFont="1" applyBorder="1">
      <alignment horizontal="center" vertical="center" wrapText="1"/>
    </xf>
    <xf fontId="22" fillId="39" borderId="12" numFmtId="3" xfId="0" applyNumberFormat="1" applyFont="1" applyFill="1" applyBorder="1">
      <alignment horizontal="right" vertical="center" wrapText="1"/>
      <protection locked="0"/>
    </xf>
    <xf fontId="47" fillId="0" borderId="0" numFmtId="0" xfId="0" applyFont="1">
      <alignment vertical="center" wrapText="1"/>
    </xf>
    <xf fontId="22" fillId="39" borderId="12" numFmtId="49" xfId="0" applyNumberFormat="1" applyFont="1" applyFill="1" applyBorder="1">
      <alignment horizontal="left" vertical="center" wrapText="1"/>
      <protection locked="0"/>
    </xf>
    <xf fontId="47" fillId="0" borderId="0" numFmtId="0" xfId="0" applyFont="1">
      <alignment vertical="center"/>
    </xf>
    <xf fontId="36" fillId="35" borderId="12" numFmtId="0" xfId="0" applyFont="1" applyFill="1" applyBorder="1">
      <alignment horizontal="center" vertical="center" wrapText="1"/>
    </xf>
    <xf fontId="46" fillId="0" borderId="22" numFmtId="0" xfId="0" applyFont="1" applyBorder="1">
      <alignment vertical="center"/>
    </xf>
    <xf fontId="46" fillId="0" borderId="22" numFmtId="0" xfId="0" applyFont="1" applyBorder="1">
      <alignment vertical="center"/>
    </xf>
    <xf fontId="22" fillId="0" borderId="17" numFmtId="0" xfId="0" applyFont="1" applyBorder="1">
      <alignment horizontal="left" indent="1" vertical="center" wrapText="1"/>
    </xf>
    <xf fontId="22" fillId="0" borderId="57" numFmtId="49" xfId="0" applyNumberFormat="1" applyFont="1" applyBorder="1">
      <alignment horizontal="center" vertical="center" wrapText="1"/>
    </xf>
    <xf fontId="22" fillId="0" borderId="28" numFmtId="49" xfId="0" applyNumberFormat="1" applyFont="1" applyBorder="1">
      <alignment horizontal="center" vertical="center" wrapText="1"/>
    </xf>
    <xf fontId="22" fillId="0" borderId="0" numFmtId="0" xfId="0" applyFont="1">
      <alignment vertical="center" wrapText="1"/>
    </xf>
    <xf fontId="31" fillId="0" borderId="0" numFmtId="0" xfId="0" applyFont="1">
      <alignment vertical="center" wrapText="1"/>
    </xf>
    <xf fontId="36" fillId="0" borderId="0" numFmtId="0" xfId="0" applyFont="1">
      <alignment horizontal="center" vertical="center" wrapText="1"/>
    </xf>
    <xf fontId="22" fillId="0" borderId="12" numFmtId="0" xfId="0" applyFont="1" applyBorder="1">
      <alignment horizontal="center" vertical="center" wrapText="1"/>
    </xf>
    <xf fontId="22" fillId="0" borderId="0" numFmtId="0" xfId="0" applyFont="1">
      <alignment vertical="center" wrapText="1"/>
    </xf>
    <xf fontId="47" fillId="0" borderId="0" numFmtId="0" xfId="0" applyFont="1">
      <alignment vertical="center" wrapText="1"/>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center" vertical="center" wrapText="1"/>
    </xf>
    <xf fontId="54" fillId="0" borderId="0" numFmtId="0" xfId="0" applyFont="1">
      <alignment vertical="center"/>
    </xf>
    <xf fontId="72" fillId="0" borderId="0" numFmtId="0" xfId="0" applyFont="1">
      <alignment vertical="center" wrapText="1"/>
    </xf>
    <xf fontId="47" fillId="0" borderId="0" numFmtId="0" xfId="0" applyFont="1">
      <alignment vertical="center" wrapText="1"/>
    </xf>
    <xf fontId="22" fillId="0" borderId="13"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right" indent="1" vertical="center" wrapText="1"/>
    </xf>
    <xf fontId="22" fillId="0" borderId="12" numFmtId="0" xfId="0" applyFont="1" applyBorder="1">
      <alignment horizontal="center" vertical="center" wrapText="1"/>
    </xf>
    <xf fontId="22" fillId="0" borderId="0" numFmtId="0" xfId="0" applyFont="1">
      <alignment horizontal="left" vertical="top" wrapText="1"/>
    </xf>
    <xf fontId="22" fillId="0" borderId="12" numFmtId="0" xfId="0" applyFont="1" applyBorder="1">
      <alignment horizontal="center" vertical="center" wrapText="1"/>
    </xf>
    <xf fontId="22" fillId="40" borderId="12" numFmtId="49" xfId="0" applyNumberFormat="1" applyFont="1" applyFill="1" applyBorder="1">
      <alignment horizontal="left" vertical="center" wrapText="1"/>
    </xf>
    <xf fontId="22" fillId="0" borderId="12" numFmtId="0" xfId="0" applyFont="1" applyBorder="1">
      <alignment horizontal="left" indent="2" vertical="center" wrapText="1"/>
    </xf>
    <xf fontId="47" fillId="0" borderId="17" numFmtId="0" xfId="0" applyFont="1" applyBorder="1">
      <alignment horizontal="center" vertical="center" wrapText="1"/>
    </xf>
    <xf fontId="22" fillId="34" borderId="14" numFmtId="0" xfId="0" applyFont="1" applyFill="1" applyBorder="1">
      <alignment horizontal="left" vertical="top" wrapText="1"/>
    </xf>
    <xf fontId="22" fillId="0" borderId="12" numFmtId="0" xfId="0" applyFont="1" applyBorder="1">
      <alignment horizontal="center" vertical="center" wrapText="1"/>
    </xf>
    <xf fontId="22" fillId="0" borderId="13"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right" indent="1"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34" borderId="14" numFmtId="0" xfId="0" applyFont="1" applyFill="1" applyBorder="1">
      <alignment horizontal="left" vertical="top" wrapText="1"/>
    </xf>
    <xf fontId="22" fillId="0" borderId="12" numFmtId="0" xfId="0" applyFont="1" applyBorder="1">
      <alignment horizontal="center" vertical="center" wrapText="1"/>
    </xf>
    <xf fontId="0" fillId="0" borderId="12" numFmtId="49" xfId="0" applyNumberFormat="1" applyFont="1" applyBorder="1">
      <alignment vertical="center" wrapText="1"/>
    </xf>
    <xf fontId="47" fillId="0" borderId="14" numFmtId="0" xfId="0" applyFont="1" applyBorder="1">
      <alignment vertical="center" wrapText="1"/>
    </xf>
    <xf fontId="47" fillId="0" borderId="14" numFmtId="0" xfId="0" applyFont="1" applyBorder="1">
      <alignment horizontal="left" vertical="top" wrapText="1"/>
    </xf>
    <xf fontId="22" fillId="0" borderId="58" numFmtId="49" xfId="0" applyNumberFormat="1" applyFont="1" applyBorder="1">
      <alignment horizontal="center" vertical="center" wrapText="1"/>
    </xf>
    <xf fontId="22" fillId="0" borderId="17" numFmtId="0" xfId="0" applyFont="1" applyBorder="1">
      <alignment horizontal="left" vertical="center" wrapText="1"/>
    </xf>
    <xf fontId="39" fillId="37" borderId="19" numFmtId="49" xfId="0" applyNumberFormat="1" applyFont="1" applyFill="1" applyBorder="1">
      <alignment horizontal="left" indent="2" vertical="center"/>
    </xf>
    <xf fontId="0" fillId="0" borderId="12" numFmtId="49" xfId="0" applyNumberFormat="1" applyFont="1" applyBorder="1">
      <alignment horizontal="left" indent="1" vertical="center" wrapText="1"/>
    </xf>
    <xf fontId="0" fillId="0" borderId="12" numFmtId="49" xfId="0" applyNumberFormat="1" applyFont="1" applyBorder="1">
      <alignment horizontal="left" indent="2" vertical="center" wrapText="1"/>
    </xf>
    <xf fontId="22" fillId="0" borderId="0" numFmtId="49" xfId="0" applyNumberFormat="1" applyFont="1">
      <alignment vertical="center" wrapText="1"/>
    </xf>
    <xf fontId="0"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0" fillId="0" borderId="12" numFmtId="0" xfId="0" applyFont="1" applyBorder="1">
      <alignment horizontal="left" indent="1" vertical="center" wrapText="1"/>
    </xf>
    <xf fontId="0" fillId="35" borderId="12" numFmtId="49" xfId="0" applyNumberFormat="1" applyFont="1" applyFill="1" applyBorder="1">
      <alignment horizontal="center" vertical="center" wrapText="1"/>
    </xf>
    <xf fontId="22" fillId="40" borderId="12" numFmtId="49" xfId="0" applyNumberFormat="1" applyFont="1" applyFill="1" applyBorder="1">
      <alignment horizontal="left" vertical="center" wrapText="1"/>
    </xf>
    <xf fontId="22" fillId="0" borderId="59" numFmtId="49" xfId="0" applyNumberFormat="1" applyFont="1" applyBorder="1">
      <alignment horizontal="center" vertical="center" wrapText="1"/>
    </xf>
    <xf fontId="22" fillId="39" borderId="17" numFmtId="4" xfId="0" applyNumberFormat="1" applyFont="1" applyFill="1" applyBorder="1">
      <alignment horizontal="right" vertical="center" wrapText="1"/>
      <protection locked="0"/>
    </xf>
    <xf fontId="39" fillId="0" borderId="19" numFmtId="49" xfId="0" applyNumberFormat="1" applyFont="1" applyBorder="1">
      <alignment horizontal="left" vertical="center"/>
    </xf>
    <xf fontId="39" fillId="0" borderId="19" numFmtId="49" xfId="0" applyNumberFormat="1" applyFont="1" applyBorder="1">
      <alignment horizontal="left" indent="2" vertical="center"/>
    </xf>
    <xf fontId="43" fillId="0" borderId="19" numFmtId="49" xfId="0" applyNumberFormat="1" applyFont="1" applyBorder="1">
      <alignment horizontal="center" vertical="top"/>
    </xf>
    <xf fontId="22" fillId="0" borderId="19" numFmtId="0" xfId="0" applyFont="1" applyBorder="1">
      <alignment horizontal="left" vertical="top" wrapText="1"/>
    </xf>
    <xf fontId="22" fillId="0" borderId="0" numFmtId="0" xfId="0" applyFont="1">
      <alignment horizontal="right" vertical="top" wrapText="1"/>
    </xf>
    <xf fontId="0" fillId="39" borderId="12" numFmtId="49" xfId="0" applyNumberFormat="1" applyFont="1" applyFill="1" applyBorder="1">
      <alignment horizontal="left" indent="1" vertical="center" wrapText="1"/>
      <protection locked="0"/>
    </xf>
    <xf fontId="46" fillId="0" borderId="0" numFmtId="49" xfId="0" applyNumberFormat="1" applyFont="1">
      <alignment vertical="top"/>
    </xf>
    <xf fontId="22" fillId="40" borderId="12" numFmtId="49" xfId="0" applyNumberFormat="1" applyFont="1" applyFill="1" applyBorder="1">
      <alignment horizontal="left" vertical="center" wrapText="1"/>
    </xf>
    <xf fontId="22" fillId="40" borderId="14" numFmtId="49" xfId="0" applyNumberFormat="1" applyFont="1" applyFill="1" applyBorder="1">
      <alignment horizontal="left" vertical="center" wrapText="1"/>
    </xf>
    <xf fontId="22" fillId="35" borderId="0" numFmtId="0" xfId="0" applyFont="1" applyFill="1"/>
    <xf fontId="22" fillId="0" borderId="0" numFmtId="0" xfId="0" applyFont="1">
      <alignment vertical="top" wrapText="1"/>
    </xf>
    <xf fontId="36" fillId="35" borderId="0" numFmtId="0" xfId="0" applyFont="1" applyFill="1">
      <alignment horizontal="center" vertical="center" wrapText="1"/>
    </xf>
    <xf fontId="0" fillId="35" borderId="23" numFmtId="0" xfId="0" applyFont="1" applyFill="1" applyBorder="1">
      <alignment vertical="center" wrapText="1"/>
    </xf>
    <xf fontId="0" fillId="0" borderId="0" numFmtId="49" xfId="0" applyNumberFormat="1" applyFont="1">
      <alignment vertical="top"/>
    </xf>
    <xf fontId="0" fillId="0" borderId="0" numFmtId="0" xfId="0" applyFont="1">
      <alignment vertical="top"/>
    </xf>
    <xf fontId="31" fillId="47" borderId="0" numFmtId="49" xfId="0" applyNumberFormat="1" applyFont="1" applyFill="1">
      <alignment horizontal="center" vertical="center"/>
    </xf>
    <xf fontId="0" fillId="48" borderId="0" numFmtId="0" xfId="0" applyFont="1" applyFill="1">
      <alignment horizontal="left" vertical="center"/>
    </xf>
    <xf fontId="0" fillId="0" borderId="0" numFmtId="49" xfId="0" applyNumberFormat="1" applyFont="1">
      <alignment vertical="center"/>
    </xf>
    <xf fontId="0" fillId="48" borderId="0" numFmtId="0" xfId="0" applyFont="1" applyFill="1">
      <alignment horizontal="right" vertical="center"/>
    </xf>
    <xf fontId="54" fillId="48" borderId="0" numFmtId="0" xfId="0" applyFont="1" applyFill="1">
      <alignment horizontal="left" vertical="center"/>
    </xf>
    <xf fontId="0" fillId="0" borderId="0" numFmtId="0" xfId="0" applyFont="1">
      <alignment horizontal="right" vertical="top"/>
    </xf>
    <xf fontId="0" fillId="48" borderId="10" numFmtId="0" xfId="0" applyFont="1" applyFill="1" applyBorder="1">
      <alignment horizontal="center"/>
    </xf>
    <xf fontId="0" fillId="0" borderId="10" numFmtId="0" xfId="0" applyFont="1" applyBorder="1">
      <alignment horizontal="center"/>
    </xf>
    <xf fontId="115" fillId="0" borderId="0" numFmtId="0" xfId="0" applyFont="1">
      <alignment wrapText="1"/>
    </xf>
    <xf fontId="66" fillId="0" borderId="0" numFmtId="49" xfId="0" applyNumberFormat="1" applyFont="1">
      <alignment wrapText="1"/>
    </xf>
    <xf fontId="66" fillId="0" borderId="0" numFmtId="49" xfId="0" applyNumberFormat="1" applyFont="1">
      <alignment vertical="center" wrapText="1"/>
    </xf>
    <xf fontId="116" fillId="0" borderId="0" numFmtId="49" xfId="0" applyNumberFormat="1" applyFont="1">
      <alignment wrapText="1"/>
    </xf>
    <xf fontId="29" fillId="0" borderId="0" numFmtId="0" xfId="0" applyFont="1"/>
    <xf fontId="102" fillId="0" borderId="0" numFmtId="0" xfId="0" applyFont="1">
      <alignment horizontal="left" vertical="center" wrapText="1"/>
    </xf>
    <xf fontId="117" fillId="0" borderId="0" numFmtId="49" xfId="0" applyNumberFormat="1" applyFont="1">
      <alignment wrapText="1"/>
    </xf>
    <xf fontId="45" fillId="0" borderId="0" numFmtId="0" xfId="0" applyFont="1">
      <alignment horizontal="left" vertical="top" wrapText="1"/>
    </xf>
    <xf fontId="22" fillId="0" borderId="0" numFmtId="49" xfId="0" applyNumberFormat="1" applyFont="1">
      <alignment vertical="top" wrapText="1"/>
    </xf>
    <xf fontId="66" fillId="0" borderId="0" numFmtId="0" xfId="0" applyFont="1">
      <alignment wrapText="1"/>
    </xf>
    <xf fontId="118" fillId="0" borderId="0" numFmtId="0" xfId="0" applyFont="1">
      <alignment horizontal="left" vertical="center" wrapText="1"/>
    </xf>
    <xf fontId="119" fillId="0" borderId="0" numFmtId="0" xfId="0" applyFont="1">
      <alignment vertical="center" wrapText="1"/>
    </xf>
    <xf fontId="66" fillId="0" borderId="38" numFmtId="0" xfId="0" applyFont="1" applyBorder="1">
      <alignment wrapText="1"/>
    </xf>
    <xf fontId="66" fillId="0" borderId="0" numFmtId="0" xfId="0" applyFont="1"/>
    <xf fontId="118" fillId="0" borderId="0" numFmtId="0" xfId="0" applyFont="1"/>
    <xf fontId="120" fillId="0" borderId="0" numFmtId="0" xfId="0" applyFont="1">
      <alignment wrapText="1"/>
    </xf>
    <xf fontId="0" fillId="36" borderId="60" numFmtId="0" xfId="0" applyFont="1" applyFill="1" applyBorder="1">
      <alignment horizontal="center" vertical="center" wrapText="1"/>
    </xf>
    <xf fontId="0" fillId="53" borderId="60" numFmtId="0" xfId="0" applyFont="1" applyFill="1" applyBorder="1">
      <alignment horizontal="center" vertical="center" wrapText="1"/>
    </xf>
    <xf fontId="0" fillId="34" borderId="60" numFmtId="0" xfId="0" applyFont="1" applyFill="1" applyBorder="1">
      <alignment horizontal="center" vertical="center" wrapText="1"/>
    </xf>
    <xf fontId="0" fillId="39" borderId="60" numFmtId="0" xfId="0" applyFont="1" applyFill="1" applyBorder="1">
      <alignment horizontal="center" vertical="center" wrapText="1"/>
    </xf>
    <xf fontId="118" fillId="0" borderId="38" numFmtId="0" xfId="0" applyFont="1" applyBorder="1">
      <alignment horizontal="left" vertical="center" wrapText="1"/>
    </xf>
    <xf fontId="118" fillId="0" borderId="61" numFmtId="0" xfId="0" applyFont="1" applyBorder="1">
      <alignment horizontal="left" vertical="center" wrapText="1"/>
    </xf>
    <xf fontId="120" fillId="0" borderId="0" numFmtId="0" xfId="0" applyFont="1"/>
    <xf fontId="120" fillId="0" borderId="38" numFmtId="0" xfId="0" applyFont="1" applyBorder="1">
      <alignment wrapText="1"/>
    </xf>
    <xf fontId="66" fillId="0" borderId="62" numFmtId="0" xfId="0" applyFont="1" applyBorder="1">
      <alignment wrapText="1"/>
    </xf>
    <xf fontId="66" fillId="0" borderId="39" numFmtId="0" xfId="0" applyFont="1" applyBorder="1">
      <alignment wrapText="1"/>
    </xf>
    <xf fontId="66" fillId="0" borderId="39" numFmtId="0" xfId="0" applyFont="1" applyBorder="1">
      <alignment vertical="center" wrapText="1"/>
    </xf>
    <xf fontId="116" fillId="0" borderId="0" numFmtId="0" xfId="0" applyFont="1"/>
    <xf fontId="35" fillId="0" borderId="24" numFmtId="0" xfId="0" applyFont="1" applyBorder="1">
      <alignment horizontal="center" vertical="center" wrapText="1"/>
    </xf>
    <xf fontId="22" fillId="0" borderId="13" numFmtId="49" xfId="0" applyNumberFormat="1" applyFont="1" applyBorder="1">
      <alignment horizontal="center" vertical="center" wrapText="1"/>
    </xf>
    <xf fontId="121" fillId="0" borderId="0" numFmtId="49" xfId="0" applyNumberFormat="1" applyFont="1">
      <alignment horizontal="center" vertical="center" wrapText="1"/>
    </xf>
    <xf fontId="22" fillId="48" borderId="0" numFmtId="49" xfId="0" applyNumberFormat="1" applyFont="1" applyFill="1">
      <alignment horizontal="center" vertical="center"/>
    </xf>
    <xf fontId="0" fillId="39" borderId="12" numFmtId="179" xfId="0" applyNumberFormat="1" applyFont="1" applyFill="1" applyBorder="1">
      <alignment horizontal="left" indent="1" vertical="center" wrapText="1"/>
      <protection locked="0"/>
    </xf>
    <xf fontId="0" fillId="0" borderId="12" numFmtId="179" xfId="0" applyNumberFormat="1" applyFont="1" applyBorder="1">
      <alignment horizontal="left" indent="1" vertical="center" wrapText="1"/>
    </xf>
    <xf fontId="0" fillId="39" borderId="12" numFmtId="179" xfId="0" applyNumberFormat="1" applyFont="1" applyFill="1" applyBorder="1">
      <alignment horizontal="center" vertical="center" wrapText="1"/>
      <protection locked="0"/>
    </xf>
    <xf fontId="47" fillId="0" borderId="0" numFmtId="179" xfId="0" applyNumberFormat="1" applyFont="1">
      <alignment horizontal="center" vertical="center" wrapText="1"/>
    </xf>
    <xf fontId="47" fillId="0" borderId="12" numFmtId="179" xfId="0" applyNumberFormat="1" applyFont="1" applyBorder="1">
      <alignment horizontal="center" vertical="center" wrapText="1"/>
    </xf>
    <xf fontId="0" fillId="39" borderId="12" numFmtId="179" xfId="0" applyNumberFormat="1" applyFont="1" applyFill="1" applyBorder="1">
      <alignment horizontal="left" vertical="center" wrapText="1"/>
      <protection locked="0"/>
    </xf>
    <xf fontId="0" fillId="36" borderId="12" numFmtId="179" xfId="0" applyNumberFormat="1" applyFont="1" applyFill="1" applyBorder="1">
      <alignment horizontal="left" indent="1" vertical="center" wrapText="1"/>
      <protection locked="0"/>
    </xf>
    <xf fontId="0" fillId="39" borderId="13" numFmtId="179" xfId="0" applyNumberFormat="1" applyFont="1" applyFill="1" applyBorder="1">
      <alignment horizontal="left" vertical="center" wrapText="1"/>
      <protection locked="0"/>
    </xf>
    <xf fontId="22" fillId="0" borderId="0" numFmtId="0" xfId="0" applyFont="1">
      <alignment horizontal="left" indent="1" vertical="top"/>
    </xf>
    <xf fontId="22" fillId="34" borderId="30" numFmtId="0" xfId="0" applyFont="1" applyFill="1" applyBorder="1">
      <alignment horizontal="center" vertical="top"/>
    </xf>
    <xf fontId="0" fillId="0" borderId="34" numFmtId="0" xfId="0" applyFont="1" applyBorder="1">
      <alignment horizontal="center" vertical="center"/>
    </xf>
    <xf fontId="0" fillId="0" borderId="33" numFmtId="0" xfId="0" applyFont="1" applyBorder="1">
      <alignment horizontal="center" vertical="center"/>
    </xf>
    <xf fontId="22" fillId="34" borderId="30" numFmtId="0" xfId="0" applyFont="1" applyFill="1" applyBorder="1">
      <alignment horizontal="left" vertical="top"/>
    </xf>
    <xf fontId="22" fillId="0" borderId="12" numFmtId="0" xfId="0" applyFont="1" applyBorder="1">
      <alignment horizontal="left" vertical="top"/>
    </xf>
    <xf fontId="22" fillId="0" borderId="0" numFmtId="49" xfId="0" applyNumberFormat="1" applyFont="1">
      <alignment horizontal="left" vertical="top"/>
    </xf>
    <xf fontId="0" fillId="34" borderId="36" numFmtId="0" xfId="0" applyFont="1" applyFill="1" applyBorder="1">
      <alignment horizontal="left" indent="1" vertical="top" wrapText="1"/>
    </xf>
    <xf fontId="22" fillId="40" borderId="36" numFmtId="49" xfId="0" applyNumberFormat="1" applyFont="1" applyFill="1" applyBorder="1">
      <alignment horizontal="center" vertical="top" wrapText="1"/>
    </xf>
    <xf fontId="0" fillId="39" borderId="36" numFmtId="49" xfId="0" applyNumberFormat="1" applyFont="1" applyFill="1" applyBorder="1">
      <alignment horizontal="center" vertical="top" wrapText="1"/>
      <protection locked="0"/>
    </xf>
    <xf fontId="0" fillId="36" borderId="36" numFmtId="49" xfId="0" applyNumberFormat="1" applyFont="1" applyFill="1" applyBorder="1">
      <alignment horizontal="center" vertical="top" wrapText="1"/>
      <protection locked="0"/>
    </xf>
    <xf fontId="22" fillId="40" borderId="36" numFmtId="49" xfId="0" applyNumberFormat="1" applyFont="1" applyFill="1" applyBorder="1">
      <alignment horizontal="left" vertical="top" wrapText="1"/>
    </xf>
    <xf fontId="22" fillId="39" borderId="36" numFmtId="49" xfId="0" applyNumberFormat="1" applyFont="1" applyFill="1" applyBorder="1">
      <alignment horizontal="left" vertical="top" wrapText="1"/>
      <protection locked="0"/>
    </xf>
    <xf fontId="0" fillId="34" borderId="36" numFmtId="49" xfId="0" applyNumberFormat="1" applyFont="1" applyFill="1" applyBorder="1">
      <alignment horizontal="center" vertical="top" wrapText="1"/>
    </xf>
    <xf fontId="22" fillId="34" borderId="36" numFmtId="0" xfId="0" applyFont="1" applyFill="1" applyBorder="1">
      <alignment horizontal="center" vertical="top" wrapText="1"/>
    </xf>
    <xf fontId="22" fillId="36" borderId="36" numFmtId="0" xfId="0" applyFont="1" applyFill="1" applyBorder="1">
      <alignment horizontal="left" vertical="top" wrapText="1"/>
      <protection locked="0"/>
    </xf>
    <xf fontId="39" fillId="0" borderId="36" numFmtId="0" xfId="0" applyFont="1" applyBorder="1">
      <alignment horizontal="left" vertical="center"/>
    </xf>
    <xf fontId="39" fillId="36" borderId="36" numFmtId="0" xfId="0" applyFont="1" applyFill="1" applyBorder="1">
      <alignment horizontal="left" vertical="center"/>
      <protection locked="0"/>
    </xf>
    <xf fontId="39" fillId="39" borderId="36" numFmtId="0" xfId="0" applyFont="1" applyFill="1" applyBorder="1">
      <alignment horizontal="left" vertical="center"/>
      <protection locked="0"/>
    </xf>
    <xf fontId="22" fillId="40" borderId="36" numFmtId="14" xfId="0" applyNumberFormat="1" applyFont="1" applyFill="1" applyBorder="1">
      <alignment horizontal="left" indent="1" vertical="center" wrapText="1"/>
    </xf>
    <xf fontId="22" fillId="40" borderId="0" numFmtId="49" xfId="0" applyNumberFormat="1" applyFont="1" applyFill="1">
      <alignment horizontal="center" vertical="center" wrapText="1"/>
    </xf>
    <xf fontId="22" fillId="0" borderId="12" numFmtId="0" xfId="0" applyFont="1" applyBorder="1">
      <alignment horizontal="center" vertical="center" wrapText="1"/>
    </xf>
    <xf fontId="0" fillId="35" borderId="12" numFmtId="0" xfId="0" applyFont="1" applyFill="1" applyBorder="1">
      <alignment vertical="top" wrapText="1"/>
    </xf>
    <xf fontId="46" fillId="0" borderId="12" numFmtId="0" xfId="0" applyFont="1" applyBorder="1">
      <alignment vertical="top" wrapText="1"/>
    </xf>
    <xf fontId="22" fillId="40" borderId="17" numFmtId="49" xfId="0" applyNumberFormat="1" applyFont="1" applyFill="1" applyBorder="1">
      <alignment vertical="center" wrapText="1"/>
    </xf>
    <xf fontId="22" fillId="40" borderId="36" numFmtId="49" xfId="0" applyNumberFormat="1" applyFont="1" applyFill="1" applyBorder="1">
      <alignment vertical="center" wrapText="1"/>
    </xf>
    <xf fontId="22" fillId="40" borderId="23" numFmtId="49" xfId="0" applyNumberFormat="1" applyFont="1" applyFill="1" applyBorder="1">
      <alignment vertical="center" wrapText="1"/>
    </xf>
    <xf fontId="0" fillId="39" borderId="12" numFmtId="0" xfId="0" applyFont="1" applyFill="1" applyBorder="1">
      <alignment horizontal="left" indent="1" vertical="center" wrapText="1"/>
      <protection locked="0"/>
    </xf>
    <xf fontId="0" fillId="0" borderId="13" numFmtId="0" xfId="0" applyFont="1" applyBorder="1">
      <alignment horizontal="center" vertical="center" wrapText="1"/>
    </xf>
    <xf fontId="22" fillId="0" borderId="12" numFmtId="0" xfId="0" applyFont="1" applyBorder="1">
      <alignment horizontal="left" vertical="center" wrapText="1"/>
    </xf>
    <xf fontId="0" fillId="0" borderId="12" numFmtId="0" xfId="0" applyFont="1" applyBorder="1">
      <alignment horizontal="center" vertical="center" wrapText="1"/>
    </xf>
    <xf fontId="0" fillId="0" borderId="13" numFmtId="0" xfId="0" applyFont="1" applyBorder="1">
      <alignment horizontal="center" vertical="center" wrapText="1"/>
    </xf>
    <xf fontId="22" fillId="0" borderId="0" numFmtId="49" xfId="0" applyNumberFormat="1" applyFont="1">
      <alignment horizontal="left" indent="1" vertical="center"/>
    </xf>
    <xf fontId="0" fillId="39" borderId="14" numFmtId="179" xfId="0" applyNumberFormat="1" applyFont="1" applyFill="1" applyBorder="1">
      <alignment horizontal="left" vertical="center" wrapText="1"/>
      <protection locked="0"/>
    </xf>
    <xf fontId="0" fillId="0" borderId="11" numFmtId="179" xfId="0" applyNumberFormat="1" applyFont="1" applyBorder="1">
      <alignment horizontal="left" indent="1" vertical="center" wrapText="1"/>
    </xf>
    <xf fontId="22" fillId="35" borderId="26" numFmtId="49" xfId="0" applyNumberFormat="1" applyFont="1" applyFill="1" applyBorder="1">
      <alignment horizontal="right" indent="1" vertical="center" wrapText="1"/>
    </xf>
    <xf fontId="46" fillId="0" borderId="0" numFmtId="49" xfId="0" applyNumberFormat="1" applyFont="1">
      <alignment vertical="center" wrapText="1"/>
    </xf>
    <xf fontId="0" fillId="36" borderId="12" numFmtId="49" xfId="0" applyNumberFormat="1" applyFont="1" applyFill="1" applyBorder="1">
      <alignment horizontal="left" vertical="center" wrapText="1"/>
      <protection locked="0"/>
    </xf>
    <xf fontId="0" fillId="39" borderId="12" numFmtId="4" xfId="0" applyNumberFormat="1" applyFont="1" applyFill="1" applyBorder="1">
      <alignment horizontal="right" vertical="center" wrapText="1"/>
      <protection locked="0"/>
    </xf>
    <xf fontId="22" fillId="0" borderId="0" numFmtId="49" xfId="0" applyNumberFormat="1" applyFont="1">
      <alignment vertical="top" wrapText="1"/>
    </xf>
    <xf fontId="22" fillId="0" borderId="0" numFmtId="49" xfId="0" applyNumberFormat="1" applyFont="1">
      <alignment vertical="top"/>
    </xf>
    <xf fontId="22" fillId="0" borderId="0" numFmtId="49" xfId="0" applyNumberFormat="1" applyFont="1">
      <alignment vertical="top"/>
    </xf>
    <xf fontId="22" fillId="0" borderId="12" numFmtId="49" xfId="0" applyNumberFormat="1" applyFont="1" applyBorder="1">
      <alignment horizontal="center" vertical="center" wrapText="1"/>
    </xf>
    <xf fontId="22" fillId="0" borderId="19" numFmtId="49" xfId="0" applyNumberFormat="1" applyFont="1" applyBorder="1">
      <alignment horizontal="center" vertical="center" wrapText="1"/>
    </xf>
    <xf fontId="22" fillId="40" borderId="36" numFmtId="0" xfId="0" applyFont="1" applyFill="1" applyBorder="1">
      <alignment horizontal="center" vertical="top" wrapText="1"/>
    </xf>
    <xf fontId="22" fillId="0" borderId="19" numFmtId="49" xfId="0" applyNumberFormat="1" applyFont="1" applyBorder="1">
      <alignment horizontal="left" vertical="center" wrapText="1"/>
    </xf>
    <xf fontId="22" fillId="0" borderId="0" numFmtId="49" xfId="0" applyNumberFormat="1" applyFont="1">
      <alignment horizontal="center" vertical="center" wrapText="1"/>
    </xf>
    <xf fontId="22" fillId="40" borderId="36" numFmtId="49" xfId="0" applyNumberFormat="1" applyFont="1" applyFill="1" applyBorder="1">
      <alignment horizontal="center" vertical="center" wrapText="1"/>
    </xf>
    <xf fontId="39" fillId="0" borderId="0" numFmtId="0" xfId="0" applyFont="1">
      <alignment horizontal="left" vertical="center"/>
    </xf>
    <xf fontId="22" fillId="0" borderId="19" numFmtId="49" xfId="0" applyNumberFormat="1" applyFont="1" applyBorder="1">
      <alignment horizontal="left" vertical="center" wrapText="1"/>
    </xf>
    <xf fontId="22" fillId="0" borderId="0" numFmtId="49" xfId="0" applyNumberFormat="1" applyFont="1">
      <alignment horizontal="left" vertical="center" wrapText="1"/>
    </xf>
    <xf fontId="22" fillId="35" borderId="0" numFmtId="49" xfId="0" applyNumberFormat="1" applyFont="1" applyFill="1">
      <alignment horizontal="center" vertical="center" wrapText="1"/>
    </xf>
    <xf fontId="22" fillId="0" borderId="12" numFmtId="0" xfId="0" applyFont="1" applyBorder="1">
      <alignment horizontal="center" vertical="center" wrapText="1"/>
    </xf>
    <xf fontId="47" fillId="0" borderId="0" numFmtId="0" xfId="0" applyFont="1">
      <alignment horizontal="center" vertical="center" wrapText="1"/>
    </xf>
    <xf fontId="44" fillId="0" borderId="12" numFmtId="0" xfId="0" applyFont="1" applyBorder="1">
      <alignment horizontal="center" vertical="center"/>
    </xf>
    <xf fontId="0" fillId="39" borderId="12" numFmtId="49" xfId="0" applyNumberFormat="1" applyFont="1" applyFill="1" applyBorder="1">
      <alignment horizontal="left" vertical="center" wrapText="1"/>
      <protection locked="0"/>
    </xf>
    <xf fontId="46" fillId="0" borderId="0" numFmtId="0" xfId="0" applyFont="1">
      <alignment horizontal="center" vertical="top"/>
    </xf>
    <xf fontId="22" fillId="0" borderId="36" numFmtId="49" xfId="0" applyNumberFormat="1" applyFont="1" applyBorder="1">
      <alignment horizontal="center" vertical="top" wrapText="1"/>
    </xf>
    <xf fontId="22" fillId="0" borderId="12" numFmtId="0" xfId="0" applyFont="1" applyBorder="1">
      <alignment horizontal="left" vertical="center" wrapText="1"/>
    </xf>
    <xf fontId="35" fillId="0" borderId="12" numFmtId="0" xfId="0" applyFont="1" applyBorder="1">
      <alignment horizontal="center" vertical="center" wrapText="1"/>
    </xf>
    <xf fontId="39" fillId="37" borderId="51" numFmtId="49" xfId="0" applyNumberFormat="1" applyFont="1" applyFill="1" applyBorder="1">
      <alignment horizontal="left" indent="1" vertical="center"/>
    </xf>
    <xf fontId="22" fillId="36" borderId="12" numFmtId="49" xfId="0" applyNumberFormat="1" applyFont="1" applyFill="1" applyBorder="1">
      <alignment horizontal="left" vertical="center" wrapText="1"/>
      <protection locked="0"/>
    </xf>
    <xf fontId="47" fillId="0" borderId="12" numFmtId="49" xfId="0" applyNumberFormat="1" applyFont="1" applyBorder="1">
      <alignment horizontal="center" vertical="center" wrapText="1"/>
    </xf>
    <xf fontId="0" fillId="39" borderId="12" numFmtId="179" xfId="0" applyNumberFormat="1" applyFont="1" applyFill="1" applyBorder="1">
      <alignment horizontal="center" vertical="center" wrapText="1"/>
      <protection locked="0"/>
    </xf>
    <xf fontId="0" fillId="39" borderId="12" numFmtId="49" xfId="0" applyNumberFormat="1" applyFont="1" applyFill="1" applyBorder="1">
      <alignment horizontal="center" vertical="center" wrapText="1"/>
      <protection locked="0"/>
    </xf>
    <xf fontId="22" fillId="0" borderId="12" numFmtId="0" xfId="0" applyFont="1" applyBorder="1">
      <alignment horizontal="center" vertical="center" wrapText="1"/>
    </xf>
    <xf fontId="46" fillId="0" borderId="0" numFmtId="0" xfId="0" applyFont="1">
      <alignment horizontal="center" vertical="center" wrapText="1"/>
    </xf>
    <xf fontId="0" fillId="0" borderId="12" numFmtId="0" xfId="0" applyFont="1" applyBorder="1">
      <alignment horizontal="left" vertical="center" wrapText="1"/>
    </xf>
    <xf fontId="22" fillId="0" borderId="36" numFmtId="0" xfId="0" applyFont="1" applyBorder="1">
      <alignment horizontal="center" vertical="center" wrapText="1"/>
    </xf>
    <xf fontId="22" fillId="35" borderId="14" numFmtId="0" xfId="0" applyFont="1" applyFill="1" applyBorder="1">
      <alignment horizontal="center" vertical="center" wrapText="1"/>
    </xf>
    <xf fontId="0" fillId="35" borderId="12" numFmtId="49" xfId="0" applyNumberFormat="1" applyFont="1" applyFill="1" applyBorder="1">
      <alignment horizontal="center" vertical="center" wrapText="1"/>
    </xf>
    <xf fontId="22" fillId="0" borderId="12" numFmtId="49" xfId="0" applyNumberFormat="1" applyFont="1" applyBorder="1">
      <alignment horizontal="center" vertical="center" wrapText="1"/>
    </xf>
    <xf fontId="22" fillId="40" borderId="14" numFmtId="49" xfId="0" applyNumberFormat="1" applyFont="1" applyFill="1" applyBorder="1">
      <alignment horizontal="left" vertical="center" wrapText="1"/>
    </xf>
    <xf fontId="22" fillId="0" borderId="23" numFmtId="0" xfId="0" applyFont="1" applyBorder="1">
      <alignment horizontal="center" vertical="center" wrapText="1"/>
    </xf>
    <xf fontId="44" fillId="0" borderId="13" numFmtId="0" xfId="0" applyFont="1" applyBorder="1">
      <alignment horizontal="center" vertical="center"/>
    </xf>
    <xf fontId="0" fillId="38" borderId="0" numFmtId="49" xfId="0" applyNumberFormat="1" applyFont="1" applyFill="1">
      <alignment vertical="top"/>
    </xf>
    <xf fontId="36" fillId="35" borderId="0" numFmtId="0" xfId="0" applyFont="1" applyFill="1">
      <alignment horizontal="center" vertical="center" wrapText="1"/>
    </xf>
    <xf fontId="36" fillId="35" borderId="0" numFmtId="0" xfId="0" applyFont="1" applyFill="1">
      <alignment horizontal="center"/>
    </xf>
    <xf fontId="36" fillId="0" borderId="0" numFmtId="0" xfId="0" applyFont="1">
      <alignment horizontal="center" vertical="center" wrapText="1"/>
    </xf>
    <xf fontId="41" fillId="0" borderId="0" numFmtId="0" xfId="0" applyFont="1">
      <alignment vertical="center" wrapText="1"/>
    </xf>
    <xf fontId="0" fillId="0" borderId="0" numFmtId="0" xfId="0" applyFont="1">
      <alignment vertical="center"/>
    </xf>
    <xf fontId="0" fillId="0" borderId="12" numFmtId="49" xfId="0" applyNumberFormat="1" applyFont="1" applyBorder="1">
      <alignment vertical="top"/>
    </xf>
    <xf fontId="0" fillId="0" borderId="12" numFmtId="49" xfId="0" applyNumberFormat="1" applyFont="1" applyBorder="1">
      <alignment vertical="top"/>
    </xf>
    <xf fontId="22" fillId="0" borderId="0" numFmtId="49" xfId="0" applyNumberFormat="1" applyFont="1">
      <alignment vertical="top"/>
    </xf>
    <xf fontId="36" fillId="35" borderId="0" numFmtId="0" xfId="0" applyFont="1" applyFill="1">
      <alignment vertical="top" wrapText="1"/>
    </xf>
    <xf fontId="122" fillId="39" borderId="12" numFmtId="49" xfId="0" applyNumberFormat="1" applyFont="1" applyFill="1" applyBorder="1">
      <alignment horizontal="left" vertical="center" wrapText="1"/>
      <protection locked="0"/>
    </xf>
    <xf fontId="36" fillId="0" borderId="0" numFmtId="49" xfId="0" applyNumberFormat="1" applyFont="1">
      <alignment horizontal="center" vertical="center" wrapText="1"/>
    </xf>
    <xf fontId="36" fillId="0" borderId="24" numFmtId="0" xfId="0" applyFont="1" applyBorder="1">
      <alignment horizontal="center" vertical="center" wrapText="1"/>
    </xf>
    <xf fontId="123" fillId="0" borderId="0" numFmtId="49" xfId="0" applyNumberFormat="1" applyFont="1">
      <alignment horizontal="center" vertical="top" wrapText="1"/>
    </xf>
    <xf fontId="0" fillId="34" borderId="36" numFmtId="49" xfId="0" applyNumberFormat="1" applyFont="1" applyFill="1" applyBorder="1">
      <alignment vertical="top"/>
    </xf>
    <xf fontId="0" fillId="0" borderId="36" numFmtId="49" xfId="0" applyNumberFormat="1" applyFont="1" applyBorder="1">
      <alignment vertical="top"/>
    </xf>
    <xf fontId="0" fillId="39" borderId="36" numFmtId="49" xfId="0" applyNumberFormat="1" applyFont="1" applyFill="1" applyBorder="1">
      <alignment vertical="top"/>
      <protection locked="0"/>
    </xf>
    <xf fontId="0" fillId="39" borderId="17" numFmtId="49" xfId="0" applyNumberFormat="1" applyFont="1" applyFill="1" applyBorder="1">
      <alignment vertical="top"/>
      <protection locked="0"/>
    </xf>
    <xf fontId="0" fillId="39" borderId="23" numFmtId="49" xfId="0" applyNumberFormat="1" applyFont="1" applyFill="1" applyBorder="1">
      <alignment vertical="top"/>
      <protection locked="0"/>
    </xf>
    <xf fontId="123" fillId="0" borderId="36" numFmtId="49" xfId="0" applyNumberFormat="1" applyFont="1" applyBorder="1">
      <alignment horizontal="center" vertical="top" wrapText="1"/>
    </xf>
    <xf fontId="0" fillId="0" borderId="0" numFmtId="49" xfId="0" applyNumberFormat="1" applyFont="1">
      <alignment vertical="top"/>
    </xf>
    <xf fontId="0" fillId="0" borderId="19" numFmtId="49" xfId="0" applyNumberFormat="1" applyFont="1" applyBorder="1">
      <alignment vertical="top"/>
    </xf>
    <xf fontId="0" fillId="0" borderId="22" numFmtId="49" xfId="0" applyNumberFormat="1" applyFont="1" applyBorder="1">
      <alignment vertical="top"/>
    </xf>
    <xf fontId="0" fillId="0" borderId="24" numFmtId="49" xfId="0" applyNumberFormat="1" applyFont="1" applyBorder="1">
      <alignment vertical="top"/>
    </xf>
    <xf fontId="0" fillId="0" borderId="0" numFmtId="49" xfId="0" applyNumberFormat="1" applyFont="1">
      <alignment horizontal="left" vertical="top"/>
    </xf>
    <xf fontId="0" fillId="0" borderId="0" numFmtId="49" xfId="0" applyNumberFormat="1" applyFont="1">
      <alignment vertical="center"/>
    </xf>
    <xf fontId="0" fillId="0" borderId="0" numFmtId="0" xfId="0" applyFont="1">
      <alignment vertical="center"/>
    </xf>
    <xf fontId="36" fillId="0" borderId="0" numFmtId="0" xfId="0" applyFont="1">
      <alignment horizontal="center" vertical="center" wrapText="1"/>
    </xf>
    <xf fontId="0" fillId="39" borderId="12" numFmtId="49" xfId="0" applyNumberFormat="1" applyFont="1" applyFill="1" applyBorder="1">
      <alignment horizontal="left" vertical="center" wrapText="1"/>
      <protection locked="0"/>
    </xf>
    <xf fontId="0" fillId="0" borderId="0" numFmtId="0" xfId="0" applyFont="1">
      <alignment horizontal="left" indent="1" vertical="center"/>
    </xf>
    <xf fontId="0" fillId="0" borderId="0" numFmtId="0" xfId="0" applyFont="1">
      <alignment vertical="center"/>
    </xf>
    <xf fontId="0" fillId="37" borderId="15" numFmtId="0" xfId="0" applyFont="1" applyFill="1" applyBorder="1">
      <alignment vertical="center"/>
    </xf>
    <xf fontId="0" fillId="0" borderId="36" numFmtId="49" xfId="0" applyNumberFormat="1" applyFont="1" applyBorder="1">
      <alignment horizontal="left" vertical="top"/>
    </xf>
    <xf fontId="0" fillId="40" borderId="36" numFmtId="49" xfId="0" applyNumberFormat="1" applyFont="1" applyFill="1" applyBorder="1">
      <alignment horizontal="left" vertical="top"/>
    </xf>
    <xf fontId="0" fillId="36" borderId="36" numFmtId="49" xfId="0" applyNumberFormat="1" applyFont="1" applyFill="1" applyBorder="1">
      <alignment horizontal="left" vertical="top"/>
      <protection locked="0"/>
    </xf>
    <xf fontId="0" fillId="0" borderId="0" numFmtId="49" xfId="0" applyNumberFormat="1" applyFont="1">
      <alignment vertical="top"/>
    </xf>
    <xf fontId="0" fillId="36" borderId="36" numFmtId="49" xfId="0" applyNumberFormat="1" applyFont="1" applyFill="1" applyBorder="1">
      <alignment vertical="top"/>
      <protection locked="0"/>
    </xf>
    <xf fontId="0" fillId="0" borderId="19" numFmtId="49" xfId="0" applyNumberFormat="1" applyFont="1" applyBorder="1">
      <alignment horizontal="left" vertical="center" wrapText="1"/>
    </xf>
    <xf fontId="0" fillId="0" borderId="0" numFmtId="0" xfId="0" applyFont="1">
      <alignment vertical="center"/>
    </xf>
    <xf fontId="0" fillId="0" borderId="27" numFmtId="0" xfId="0" applyFont="1" applyBorder="1">
      <alignment vertical="center"/>
    </xf>
    <xf fontId="36" fillId="0" borderId="36" numFmtId="49" xfId="0" applyNumberFormat="1" applyFont="1" applyBorder="1">
      <alignment vertical="center" wrapText="1"/>
    </xf>
    <xf fontId="36" fillId="0" borderId="36" numFmtId="49" xfId="0" applyNumberFormat="1" applyFont="1" applyBorder="1">
      <alignment horizontal="center" vertical="center" wrapText="1"/>
    </xf>
    <xf fontId="36" fillId="0" borderId="19" numFmtId="49" xfId="0" applyNumberFormat="1" applyFont="1" applyBorder="1">
      <alignment vertical="center" wrapText="1"/>
    </xf>
    <xf fontId="36" fillId="0" borderId="0" numFmtId="49" xfId="0" applyNumberFormat="1" applyFont="1">
      <alignment vertical="center" wrapText="1"/>
    </xf>
    <xf fontId="36" fillId="0" borderId="0" numFmtId="49" xfId="0" applyNumberFormat="1" applyFont="1">
      <alignment horizontal="center" vertical="center" wrapText="1"/>
    </xf>
    <xf fontId="22" fillId="35" borderId="23" numFmtId="0" xfId="0" applyFont="1" applyFill="1" applyBorder="1">
      <alignment horizontal="center" vertical="center" wrapText="1"/>
    </xf>
    <xf fontId="22" fillId="0" borderId="36" numFmtId="0" xfId="0" applyFont="1" applyBorder="1">
      <alignment horizontal="left" vertical="top" wrapText="1"/>
    </xf>
    <xf fontId="0" fillId="0" borderId="13" numFmtId="0" xfId="0" applyFont="1" applyBorder="1">
      <alignment horizontal="center" vertical="center" wrapText="1"/>
    </xf>
    <xf fontId="0" fillId="39" borderId="13" numFmtId="4" xfId="0" applyNumberFormat="1" applyFont="1" applyFill="1" applyBorder="1">
      <alignment horizontal="right" vertical="center" wrapText="1"/>
      <protection locked="0"/>
    </xf>
    <xf fontId="0" fillId="0" borderId="13" numFmtId="0" xfId="0" applyFont="1" applyBorder="1">
      <alignment horizontal="center" vertical="center" wrapText="1"/>
    </xf>
    <xf fontId="22" fillId="40" borderId="12" numFmtId="0" xfId="0" applyFont="1" applyFill="1" applyBorder="1">
      <alignment horizontal="left" vertical="center" wrapText="1"/>
    </xf>
    <xf fontId="0" fillId="35" borderId="17" numFmtId="49" xfId="0" applyNumberFormat="1" applyFont="1" applyFill="1" applyBorder="1">
      <alignment horizontal="center" vertical="center" wrapText="1"/>
    </xf>
    <xf fontId="0" fillId="0" borderId="23" numFmtId="0" xfId="0" applyFont="1" applyBorder="1">
      <alignment horizontal="center" vertical="center" wrapText="1"/>
    </xf>
    <xf fontId="22" fillId="40" borderId="14" numFmtId="0" xfId="0" applyFont="1" applyFill="1" applyBorder="1">
      <alignment horizontal="left" vertical="center" wrapText="1"/>
    </xf>
    <xf fontId="0" fillId="0" borderId="12" numFmtId="49" xfId="0" applyNumberFormat="1" applyFont="1" applyBorder="1">
      <alignment horizontal="center" vertical="center" wrapText="1"/>
    </xf>
    <xf fontId="44" fillId="54" borderId="0" numFmtId="49" xfId="0" applyNumberFormat="1" applyFont="1" applyFill="1">
      <alignment vertical="center" wrapText="1"/>
    </xf>
    <xf fontId="46" fillId="0" borderId="0" numFmtId="0" xfId="0" applyFont="1">
      <alignment vertical="top" wrapText="1"/>
    </xf>
    <xf fontId="31" fillId="0" borderId="0" numFmtId="49" xfId="0" applyNumberFormat="1" applyFont="1">
      <alignment horizontal="center" vertical="top" wrapText="1"/>
    </xf>
    <xf fontId="22" fillId="0" borderId="0" numFmtId="49" xfId="0" applyNumberFormat="1" applyFont="1">
      <alignment horizontal="center" vertical="top" wrapText="1"/>
    </xf>
    <xf fontId="22" fillId="35" borderId="0" numFmtId="49" xfId="0" applyNumberFormat="1" applyFont="1" applyFill="1">
      <alignment horizontal="center" vertical="top" wrapText="1"/>
    </xf>
    <xf fontId="0" fillId="0" borderId="36" numFmtId="0" xfId="0" applyFont="1" applyBorder="1">
      <alignment horizontal="center" vertical="center" wrapText="1"/>
    </xf>
    <xf fontId="22" fillId="0" borderId="13" numFmtId="0" xfId="0" applyFont="1" applyBorder="1">
      <alignment horizontal="center"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left" vertical="center" wrapText="1"/>
    </xf>
    <xf fontId="22" fillId="0" borderId="12" numFmtId="0" xfId="0" applyFont="1" applyBorder="1">
      <alignment horizontal="center" vertical="center" wrapText="1"/>
    </xf>
    <xf fontId="46" fillId="0" borderId="0" numFmtId="0" xfId="0" applyFont="1">
      <alignment horizontal="center" vertical="center" wrapText="1"/>
    </xf>
    <xf fontId="46" fillId="0" borderId="12" numFmtId="0" xfId="0" applyFont="1" applyBorder="1">
      <alignment horizontal="center" vertical="center" wrapText="1"/>
    </xf>
    <xf fontId="22" fillId="39" borderId="12" numFmtId="0" xfId="0" applyFont="1" applyFill="1" applyBorder="1">
      <alignment horizontal="center" vertical="center" wrapText="1"/>
      <protection locked="0"/>
    </xf>
    <xf fontId="22" fillId="34" borderId="12" numFmtId="49" xfId="0" applyNumberFormat="1" applyFont="1" applyFill="1" applyBorder="1">
      <alignment horizontal="center" vertical="center" wrapText="1"/>
    </xf>
    <xf fontId="0" fillId="0" borderId="12" numFmtId="0" xfId="0" applyFont="1" applyBorder="1">
      <alignment horizontal="left" vertical="top" wrapText="1"/>
    </xf>
    <xf fontId="22" fillId="40" borderId="12" numFmtId="14" xfId="0" applyNumberFormat="1" applyFont="1" applyFill="1" applyBorder="1">
      <alignment horizontal="left" indent="1" vertical="center" wrapText="1"/>
    </xf>
    <xf fontId="124" fillId="0" borderId="12" numFmtId="49" xfId="0" applyNumberFormat="1" applyFont="1" applyBorder="1">
      <alignment horizontal="left" indent="1" vertical="center" wrapText="1"/>
    </xf>
    <xf fontId="22" fillId="0" borderId="14" numFmtId="0" xfId="0" applyFont="1" applyBorder="1">
      <alignment horizontal="center" vertical="center" wrapText="1"/>
    </xf>
    <xf fontId="22" fillId="0" borderId="12" numFmtId="49" xfId="0" applyNumberFormat="1" applyFont="1" applyBorder="1">
      <alignment horizontal="center" vertical="center" wrapText="1"/>
    </xf>
    <xf fontId="22" fillId="0" borderId="23" numFmtId="0" xfId="0" applyFont="1" applyBorder="1">
      <alignment horizontal="left" indent="1" vertical="center" wrapText="1"/>
    </xf>
    <xf fontId="22" fillId="34" borderId="12" numFmtId="0" xfId="0" applyFont="1" applyFill="1" applyBorder="1">
      <alignment horizontal="left" indent="1" vertical="center" wrapText="1"/>
    </xf>
    <xf fontId="47" fillId="0" borderId="0" numFmtId="0" xfId="0" applyFont="1">
      <alignment horizontal="center" vertical="center" wrapText="1"/>
    </xf>
    <xf fontId="22" fillId="0" borderId="23" numFmtId="180" xfId="0" applyNumberFormat="1" applyFont="1" applyBorder="1">
      <alignment horizontal="center" vertical="center" wrapText="1"/>
    </xf>
    <xf fontId="22" fillId="0" borderId="0" numFmtId="0" xfId="0" applyFont="1">
      <alignment horizontal="right" vertical="center" wrapText="1"/>
    </xf>
    <xf fontId="22" fillId="35" borderId="12" numFmtId="0" xfId="0" applyFont="1" applyFill="1" applyBorder="1">
      <alignment vertical="top" wrapText="1"/>
    </xf>
    <xf fontId="22" fillId="35" borderId="12" numFmtId="0" xfId="0" applyFont="1" applyFill="1" applyBorder="1">
      <alignment horizontal="left" vertical="top" wrapText="1"/>
    </xf>
    <xf fontId="53" fillId="36" borderId="23" numFmtId="49" xfId="0" applyNumberFormat="1" applyFont="1" applyFill="1" applyBorder="1">
      <alignment horizontal="left" vertical="center" wrapText="1"/>
      <protection locked="0"/>
    </xf>
    <xf fontId="0" fillId="37" borderId="29" numFmtId="49" xfId="0" applyNumberFormat="1" applyFont="1" applyFill="1" applyBorder="1">
      <alignment horizontal="right" vertical="center" wrapText="1"/>
    </xf>
    <xf fontId="22" fillId="0" borderId="0" numFmtId="0" xfId="0" applyFont="1">
      <alignment horizontal="left" vertical="center" wrapText="1"/>
    </xf>
    <xf fontId="0" fillId="48" borderId="0" numFmtId="0" xfId="0" applyFont="1" applyFill="1">
      <alignment horizontal="right" vertical="top" wrapText="1"/>
    </xf>
    <xf fontId="22" fillId="0" borderId="0" numFmtId="0" xfId="0" applyFont="1">
      <alignment horizontal="left" vertical="top" wrapText="1"/>
    </xf>
    <xf fontId="22" fillId="0" borderId="23" numFmtId="14" xfId="0" applyNumberFormat="1" applyFont="1" applyBorder="1">
      <alignment horizontal="left" indent="1" vertical="center" wrapText="1"/>
    </xf>
    <xf fontId="22" fillId="0" borderId="12" numFmtId="0" xfId="0" applyFont="1" applyBorder="1">
      <alignment horizontal="center" vertical="center" wrapText="1"/>
    </xf>
    <xf fontId="22" fillId="0" borderId="23" numFmtId="0" xfId="0" applyFont="1" applyBorder="1">
      <alignment horizontal="center" vertical="center" wrapText="1"/>
    </xf>
    <xf fontId="22" fillId="34" borderId="12" numFmtId="0" xfId="0" applyFont="1" applyFill="1" applyBorder="1">
      <alignment horizontal="left" indent="1" vertical="center" wrapText="1"/>
    </xf>
    <xf fontId="47" fillId="0" borderId="0" numFmtId="0" xfId="0" applyFont="1">
      <alignment horizontal="center" vertical="center" wrapText="1"/>
    </xf>
    <xf fontId="22" fillId="34" borderId="12" numFmtId="0" xfId="0" applyFont="1" applyFill="1" applyBorder="1">
      <alignment horizontal="left" vertical="center" wrapText="1"/>
    </xf>
    <xf fontId="22" fillId="0" borderId="12" numFmtId="180" xfId="0" applyNumberFormat="1" applyFont="1" applyBorder="1">
      <alignment horizontal="center" vertical="center" wrapText="1"/>
    </xf>
    <xf fontId="22" fillId="0" borderId="14" numFmtId="0" xfId="0" applyFont="1" applyBorder="1">
      <alignment horizontal="center" vertical="center" wrapText="1"/>
    </xf>
    <xf fontId="47" fillId="0" borderId="0" numFmtId="0" xfId="0" applyFont="1">
      <alignment horizontal="center" vertical="center" wrapText="1"/>
    </xf>
    <xf fontId="22" fillId="39" borderId="12" numFmtId="49" xfId="0" applyNumberFormat="1" applyFont="1" applyFill="1" applyBorder="1">
      <alignment horizontal="left" vertical="center" wrapText="1"/>
      <protection locked="0"/>
    </xf>
    <xf fontId="22" fillId="35" borderId="36" numFmtId="0" xfId="0" applyFont="1" applyFill="1" applyBorder="1">
      <alignment vertical="center" wrapText="1"/>
    </xf>
    <xf fontId="44" fillId="0" borderId="19" numFmtId="180" xfId="0" applyNumberFormat="1" applyFont="1" applyBorder="1">
      <alignment horizontal="center" vertical="center" wrapText="1"/>
    </xf>
    <xf fontId="44" fillId="0" borderId="20" numFmtId="180" xfId="0" applyNumberFormat="1" applyFont="1" applyBorder="1">
      <alignment horizontal="center" vertical="center" wrapText="1"/>
    </xf>
    <xf fontId="22" fillId="39" borderId="12" numFmtId="181" xfId="0" applyNumberFormat="1" applyFont="1" applyFill="1" applyBorder="1">
      <alignment horizontal="left" indent="1" vertical="center" wrapText="1"/>
      <protection locked="0"/>
    </xf>
    <xf fontId="0" fillId="39" borderId="15" numFmtId="179" xfId="0" applyNumberFormat="1" applyFont="1" applyFill="1" applyBorder="1">
      <alignment horizontal="left" indent="1" vertical="center" wrapText="1"/>
      <protection locked="0"/>
    </xf>
    <xf fontId="22" fillId="39" borderId="27" numFmtId="49" xfId="0" applyNumberFormat="1" applyFont="1" applyFill="1" applyBorder="1">
      <alignment horizontal="left" vertical="center" wrapText="1"/>
      <protection locked="0"/>
    </xf>
    <xf fontId="22" fillId="39" borderId="30" numFmtId="49" xfId="0" applyNumberFormat="1" applyFont="1" applyFill="1" applyBorder="1">
      <alignment horizontal="left" vertical="center" wrapText="1"/>
      <protection locked="0"/>
    </xf>
    <xf fontId="53" fillId="37" borderId="29" numFmtId="49" xfId="0" applyNumberFormat="1" applyFont="1" applyFill="1" applyBorder="1">
      <alignment horizontal="left" vertical="center" wrapText="1"/>
    </xf>
    <xf fontId="22" fillId="39" borderId="12" numFmtId="0" xfId="0" applyFont="1" applyFill="1" applyBorder="1">
      <alignment horizontal="left" indent="1" vertical="top" wrapText="1"/>
      <protection locked="0"/>
    </xf>
    <xf fontId="22" fillId="0" borderId="15" numFmtId="0" xfId="0" applyFont="1" applyBorder="1">
      <alignment horizontal="center" vertical="center" wrapText="1"/>
    </xf>
    <xf fontId="47" fillId="0" borderId="0" numFmtId="0" xfId="0" applyFont="1">
      <alignment horizontal="center" vertical="center" wrapText="1"/>
    </xf>
    <xf fontId="22" fillId="35" borderId="22" numFmtId="0" xfId="0" applyFont="1" applyFill="1" applyBorder="1">
      <alignment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12" numFmtId="0" xfId="61" applyNumberFormat="1" applyFont="1" applyBorder="1">
      <alignment horizontal="center" vertical="center" wrapText="1"/>
    </xf>
    <xf fontId="22" fillId="0" borderId="12" numFmtId="0" xfId="0" applyFont="1" applyBorder="1">
      <alignment horizontal="left" vertical="top"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0" numFmtId="0" xfId="0" applyFont="1">
      <alignment horizontal="left" vertical="center"/>
    </xf>
    <xf fontId="39" fillId="0" borderId="24" numFmtId="0" xfId="0" applyFont="1" applyBorder="1">
      <alignment horizontal="left" vertical="center"/>
    </xf>
    <xf fontId="39" fillId="0" borderId="27" numFmtId="0" xfId="0" applyFont="1" applyBorder="1">
      <alignment horizontal="left" vertical="center"/>
    </xf>
    <xf fontId="39" fillId="0" borderId="29" numFmtId="0" xfId="0" applyFont="1" applyBorder="1">
      <alignment horizontal="left" vertical="center"/>
    </xf>
    <xf fontId="0" fillId="0" borderId="12" numFmtId="0" xfId="0" applyFont="1" applyBorder="1">
      <alignment horizontal="center" vertical="center" wrapText="1"/>
    </xf>
    <xf fontId="22" fillId="0" borderId="0" numFmtId="0" xfId="0" applyFont="1">
      <alignment horizontal="center" vertical="center" wrapText="1"/>
    </xf>
    <xf fontId="22" fillId="0" borderId="0" numFmtId="0" xfId="0" applyFont="1">
      <alignment horizontal="center" vertical="center" wrapText="1"/>
    </xf>
    <xf fontId="22" fillId="0" borderId="12"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27" numFmtId="0" xfId="0" applyFont="1" applyBorder="1">
      <alignment horizontal="left" vertical="center"/>
    </xf>
    <xf fontId="39" fillId="0" borderId="29" numFmtId="0" xfId="0" applyFont="1" applyBorder="1">
      <alignment horizontal="left" vertical="center"/>
    </xf>
    <xf fontId="39" fillId="0" borderId="0" numFmtId="0" xfId="0" applyFont="1">
      <alignment horizontal="left" vertical="center"/>
    </xf>
    <xf fontId="39" fillId="0" borderId="24" numFmtId="0" xfId="0" applyFont="1" applyBorder="1">
      <alignment horizontal="left" vertical="center"/>
    </xf>
    <xf fontId="22" fillId="35" borderId="12" numFmtId="0" xfId="0" applyFont="1" applyFill="1" applyBorder="1">
      <alignment horizontal="center" vertical="center" wrapText="1"/>
    </xf>
    <xf fontId="46" fillId="0" borderId="0" numFmtId="0" xfId="0" applyFont="1">
      <alignment horizontal="center" vertical="center" wrapText="1"/>
    </xf>
    <xf fontId="22" fillId="34" borderId="15" numFmtId="0" xfId="0" applyFont="1" applyFill="1" applyBorder="1">
      <alignment horizontal="left" vertical="center" wrapText="1"/>
    </xf>
    <xf fontId="22" fillId="0" borderId="0" numFmtId="0" xfId="0" applyFont="1">
      <alignment horizontal="left" vertical="top" wrapText="1"/>
    </xf>
    <xf fontId="47" fillId="0" borderId="0" numFmtId="0" xfId="0" applyFont="1">
      <alignment horizontal="center" vertical="center" wrapText="1"/>
    </xf>
    <xf fontId="0" fillId="39" borderId="12" numFmtId="179" xfId="0" applyNumberFormat="1" applyFont="1" applyFill="1" applyBorder="1">
      <alignment horizontal="center" vertical="center" wrapText="1"/>
      <protection locked="0"/>
    </xf>
    <xf fontId="80" fillId="35" borderId="19" numFmtId="0" xfId="0" applyFont="1" applyFill="1" applyBorder="1">
      <alignment horizontal="center" vertical="center" wrapText="1"/>
    </xf>
    <xf fontId="36" fillId="0" borderId="27" numFmtId="0" xfId="0" applyFont="1" applyBorder="1">
      <alignment horizontal="center" vertical="center" wrapText="1"/>
    </xf>
    <xf fontId="22" fillId="35" borderId="12" numFmtId="0" xfId="0" applyFont="1" applyFill="1" applyBorder="1">
      <alignment horizontal="left" vertical="center" wrapText="1"/>
    </xf>
    <xf fontId="22" fillId="35" borderId="23" numFmtId="0" xfId="0" applyFont="1" applyFill="1" applyBorder="1">
      <alignment horizontal="center" vertical="center" wrapText="1"/>
    </xf>
    <xf fontId="47" fillId="0" borderId="15" numFmtId="0" xfId="0" applyFont="1" applyBorder="1">
      <alignment horizontal="left" vertical="center" wrapText="1"/>
    </xf>
    <xf fontId="22" fillId="39" borderId="17" numFmtId="49" xfId="0" applyNumberFormat="1" applyFont="1" applyFill="1" applyBorder="1">
      <alignment horizontal="left" indent="6" vertical="center" wrapText="1"/>
      <protection locked="0"/>
    </xf>
    <xf fontId="22" fillId="35" borderId="17" numFmtId="0" xfId="0" applyFont="1" applyFill="1" applyBorder="1">
      <alignment horizontal="left" vertical="center" wrapText="1"/>
    </xf>
    <xf fontId="22" fillId="39" borderId="12" numFmtId="4" xfId="0" applyNumberFormat="1" applyFont="1" applyFill="1" applyBorder="1">
      <alignment horizontal="left" indent="1" vertical="center" wrapText="1"/>
      <protection locked="0"/>
    </xf>
    <xf fontId="22" fillId="36" borderId="17" numFmtId="49" xfId="0" applyNumberFormat="1" applyFont="1" applyFill="1" applyBorder="1">
      <alignment horizontal="left" indent="6" vertical="center" wrapText="1"/>
      <protection locked="0"/>
    </xf>
    <xf fontId="22" fillId="0" borderId="0" numFmtId="49" xfId="0" applyNumberFormat="1" applyFont="1">
      <alignment vertical="center" wrapText="1"/>
    </xf>
    <xf fontId="47" fillId="0" borderId="12" numFmtId="49" xfId="0" applyNumberFormat="1" applyFont="1" applyBorder="1">
      <alignment horizontal="center" vertical="center" wrapText="1"/>
    </xf>
    <xf fontId="22" fillId="0" borderId="12" numFmtId="49" xfId="0" applyNumberFormat="1" applyFont="1" applyBorder="1">
      <alignment horizontal="left" vertical="center" wrapText="1"/>
    </xf>
    <xf fontId="22" fillId="35" borderId="29" numFmtId="0" xfId="0" applyFont="1" applyFill="1" applyBorder="1">
      <alignment horizontal="center" vertical="center" wrapText="1"/>
    </xf>
    <xf fontId="46" fillId="0" borderId="0" numFmtId="0" xfId="0" applyFont="1">
      <alignment horizontal="center" vertical="center" wrapText="1"/>
    </xf>
    <xf fontId="22" fillId="0" borderId="0" numFmtId="0" xfId="0" applyFont="1">
      <alignment horizontal="right" vertical="center" wrapText="1"/>
    </xf>
    <xf fontId="22" fillId="0" borderId="0" numFmtId="0" xfId="0" applyFont="1">
      <alignment horizontal="left" vertical="center"/>
    </xf>
    <xf fontId="22" fillId="0" borderId="0" numFmtId="49" xfId="0" applyNumberFormat="1" applyFont="1">
      <alignment horizontal="left" vertical="center"/>
    </xf>
    <xf fontId="22" fillId="0" borderId="0" numFmtId="0" xfId="0" applyFont="1">
      <alignment horizontal="left" vertical="center"/>
    </xf>
    <xf fontId="22" fillId="0" borderId="0" numFmtId="0" xfId="0" applyFont="1">
      <alignment horizontal="left" indent="1" vertical="center"/>
    </xf>
    <xf fontId="22" fillId="0" borderId="0" numFmtId="49" xfId="0" applyNumberFormat="1" applyFont="1">
      <alignment horizontal="left" vertical="center"/>
    </xf>
    <xf fontId="0" fillId="0" borderId="12" numFmtId="0" xfId="0" applyFont="1" applyBorder="1">
      <alignment horizontal="center" vertical="center" wrapText="1"/>
    </xf>
    <xf fontId="0" fillId="39" borderId="12" numFmtId="49" xfId="0" applyNumberFormat="1" applyFont="1" applyFill="1" applyBorder="1">
      <alignment horizontal="left" vertical="center" wrapText="1"/>
      <protection locked="0"/>
    </xf>
    <xf fontId="22" fillId="35" borderId="0" numFmtId="49" xfId="0" applyNumberFormat="1" applyFont="1" applyFill="1">
      <alignment vertical="center" wrapText="1"/>
    </xf>
    <xf fontId="80" fillId="35" borderId="19" numFmtId="0" xfId="0" applyFont="1" applyFill="1" applyBorder="1">
      <alignment horizontal="center" vertical="center" wrapText="1"/>
    </xf>
    <xf fontId="46" fillId="0" borderId="0" numFmtId="0" xfId="0" applyFont="1">
      <alignment horizontal="center" vertical="center" wrapText="1"/>
    </xf>
    <xf fontId="22" fillId="0" borderId="0" numFmtId="49" xfId="0" applyNumberFormat="1" applyFont="1">
      <alignment vertical="center" wrapText="1"/>
    </xf>
    <xf fontId="22" fillId="36" borderId="12" numFmtId="49" xfId="0" applyNumberFormat="1" applyFont="1" applyFill="1" applyBorder="1">
      <alignment horizontal="left" indent="1" vertical="center"/>
      <protection locked="0"/>
    </xf>
    <xf fontId="22" fillId="35" borderId="12" numFmtId="49" xfId="59" applyNumberFormat="1" applyFont="1" applyFill="1" applyBorder="1">
      <alignment horizontal="center" vertical="center" wrapText="1"/>
    </xf>
    <xf fontId="22" fillId="39" borderId="14" numFmtId="14" xfId="0" applyNumberFormat="1" applyFont="1" applyFill="1" applyBorder="1">
      <alignment horizontal="left" indent="1" vertical="center" wrapText="1"/>
      <protection locked="0"/>
    </xf>
    <xf fontId="46" fillId="0" borderId="36" numFmtId="0" xfId="0" applyFont="1" applyBorder="1">
      <alignment horizontal="left" indent="1" vertical="center" wrapText="1"/>
    </xf>
    <xf fontId="105" fillId="37" borderId="42" numFmtId="49" xfId="0" applyNumberFormat="1" applyFont="1" applyFill="1" applyBorder="1">
      <alignment horizontal="left" indent="1" vertical="center"/>
    </xf>
    <xf fontId="22" fillId="40" borderId="22" numFmtId="14" xfId="0" applyNumberFormat="1" applyFont="1" applyFill="1" applyBorder="1">
      <alignment horizontal="left" indent="1" vertical="center" wrapText="1"/>
    </xf>
    <xf fontId="22" fillId="0" borderId="22" numFmtId="0" xfId="0" applyFont="1" applyBorder="1">
      <alignment vertical="center" wrapText="1"/>
    </xf>
    <xf fontId="0" fillId="0" borderId="13"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2" numFmtId="0" xfId="0" applyFont="1" applyBorder="1">
      <alignment horizontal="center" vertical="center" wrapText="1"/>
    </xf>
    <xf fontId="0" fillId="39" borderId="12" numFmtId="179" xfId="0" applyNumberFormat="1" applyFont="1" applyFill="1" applyBorder="1">
      <alignment horizontal="center" vertical="center" wrapText="1"/>
      <protection locked="0"/>
    </xf>
    <xf fontId="22" fillId="35" borderId="17" numFmtId="0" xfId="0" applyFont="1" applyFill="1" applyBorder="1">
      <alignment horizontal="left" vertical="center" wrapText="1"/>
    </xf>
    <xf fontId="22" fillId="39" borderId="17" numFmtId="49" xfId="0" applyNumberFormat="1" applyFont="1" applyFill="1" applyBorder="1">
      <alignment horizontal="left" indent="6" vertical="center" wrapText="1"/>
      <protection locked="0"/>
    </xf>
    <xf fontId="47" fillId="0" borderId="24" numFmtId="0" xfId="0" applyFont="1" applyBorder="1">
      <alignment horizontal="center" vertical="top" wrapText="1"/>
    </xf>
    <xf fontId="22" fillId="36" borderId="17" numFmtId="49" xfId="0" applyNumberFormat="1" applyFont="1" applyFill="1" applyBorder="1">
      <alignment horizontal="left" indent="6" vertical="center" wrapText="1"/>
      <protection locked="0"/>
    </xf>
    <xf fontId="22" fillId="39" borderId="12" numFmtId="4" xfId="0" applyNumberFormat="1" applyFont="1" applyFill="1" applyBorder="1">
      <alignment horizontal="left" indent="1" vertical="center" wrapText="1"/>
      <protection locked="0"/>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27" numFmtId="0" xfId="0" applyFont="1" applyBorder="1">
      <alignment horizontal="left" vertical="center"/>
    </xf>
    <xf fontId="39" fillId="0" borderId="29" numFmtId="0" xfId="0" applyFont="1" applyBorder="1">
      <alignment horizontal="left" vertical="center"/>
    </xf>
    <xf fontId="39" fillId="0" borderId="0" numFmtId="0" xfId="0" applyFont="1">
      <alignment horizontal="left" vertical="center"/>
    </xf>
    <xf fontId="39" fillId="0" borderId="24" numFmtId="0" xfId="0" applyFont="1" applyBorder="1">
      <alignment horizontal="left" vertical="center"/>
    </xf>
    <xf fontId="31" fillId="47" borderId="0" numFmtId="49" xfId="0" applyNumberFormat="1" applyFont="1" applyFill="1">
      <alignment horizontal="center" vertical="center" wrapText="1"/>
    </xf>
    <xf fontId="47" fillId="0" borderId="0" numFmtId="0" xfId="0" applyFont="1">
      <alignment horizontal="center" vertical="center" wrapText="1"/>
    </xf>
    <xf fontId="22" fillId="35" borderId="12" numFmtId="0" xfId="0" applyFont="1" applyFill="1" applyBorder="1">
      <alignment horizontal="left" vertical="center" wrapText="1"/>
    </xf>
    <xf fontId="22" fillId="35" borderId="17" numFmtId="0" xfId="0" applyFont="1" applyFill="1" applyBorder="1">
      <alignment horizontal="left" vertical="center" wrapText="1"/>
    </xf>
    <xf fontId="22" fillId="35" borderId="23" numFmtId="0" xfId="0" applyFont="1" applyFill="1" applyBorder="1">
      <alignment horizontal="left" vertical="center" wrapText="1"/>
    </xf>
    <xf fontId="44" fillId="0" borderId="13" numFmtId="0" xfId="0" applyFont="1" applyBorder="1">
      <alignment vertical="top" wrapText="1"/>
    </xf>
    <xf fontId="47" fillId="0" borderId="13" numFmtId="0" xfId="0" applyFont="1" applyBorder="1">
      <alignment vertical="top" wrapText="1"/>
    </xf>
    <xf fontId="22" fillId="35" borderId="17" numFmtId="0" xfId="0" applyFont="1" applyFill="1" applyBorder="1">
      <alignment horizontal="left" indent="2" vertical="center" wrapText="1"/>
    </xf>
    <xf fontId="22" fillId="0" borderId="17" numFmtId="0" xfId="0" applyFont="1" applyBorder="1">
      <alignment horizontal="left" indent="6" vertical="center" wrapText="1"/>
    </xf>
    <xf fontId="22" fillId="40" borderId="23" numFmtId="0" xfId="0" applyFont="1" applyFill="1" applyBorder="1">
      <alignment horizontal="left" indent="6" vertical="center" wrapText="1"/>
    </xf>
    <xf fontId="22" fillId="0" borderId="23" numFmtId="0" xfId="0" applyFont="1" applyBorder="1">
      <alignment horizontal="left" indent="6" vertical="center" wrapText="1"/>
    </xf>
    <xf fontId="22" fillId="36" borderId="23" numFmtId="4" xfId="0" applyNumberFormat="1" applyFont="1" applyFill="1" applyBorder="1">
      <alignment horizontal="right" vertical="center" wrapText="1"/>
      <protection locked="0"/>
    </xf>
    <xf fontId="22" fillId="36" borderId="23" numFmtId="177" xfId="0" applyNumberFormat="1" applyFont="1" applyFill="1" applyBorder="1">
      <alignment horizontal="right" vertical="center" wrapText="1"/>
      <protection locked="0"/>
    </xf>
    <xf fontId="22" fillId="0" borderId="15" numFmtId="0" xfId="0" applyFont="1" applyBorder="1">
      <alignment horizontal="center"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left" vertical="center" wrapText="1"/>
    </xf>
    <xf fontId="22" fillId="0" borderId="37" numFmtId="0" xfId="0" applyFont="1" applyBorder="1">
      <alignment horizontal="center" vertical="center" wrapText="1"/>
    </xf>
    <xf fontId="0" fillId="35" borderId="12" numFmtId="49" xfId="0" applyNumberFormat="1" applyFont="1" applyFill="1" applyBorder="1">
      <alignment horizontal="center" vertical="center" wrapText="1"/>
    </xf>
    <xf fontId="22" fillId="35" borderId="12" numFmtId="0" xfId="0" applyFont="1" applyFill="1" applyBorder="1">
      <alignment horizontal="center" vertical="center" wrapText="1"/>
    </xf>
    <xf fontId="0" fillId="0" borderId="12" numFmtId="0" xfId="0" applyFont="1" applyBorder="1">
      <alignment horizontal="center" vertical="center" wrapText="1"/>
    </xf>
    <xf fontId="22" fillId="0" borderId="15" numFmtId="0" xfId="0" applyFont="1" applyBorder="1">
      <alignment horizontal="right" indent="1" vertical="center" wrapText="1"/>
    </xf>
    <xf fontId="22" fillId="0" borderId="0" numFmtId="0" xfId="0" applyFont="1">
      <alignment horizontal="left" vertical="top" wrapText="1"/>
    </xf>
    <xf fontId="22" fillId="34" borderId="14" numFmtId="0" xfId="0" applyFont="1" applyFill="1" applyBorder="1">
      <alignment horizontal="left" vertical="top" wrapText="1"/>
    </xf>
    <xf fontId="22" fillId="0" borderId="0" numFmtId="49" xfId="0" applyNumberFormat="1" applyFont="1">
      <alignment vertical="center" wrapText="1"/>
    </xf>
    <xf fontId="0" fillId="0" borderId="12" numFmtId="0" xfId="0" applyFont="1" applyBorder="1">
      <alignment horizontal="left" vertical="center" wrapText="1"/>
    </xf>
    <xf fontId="22" fillId="0" borderId="12" numFmtId="49" xfId="0" applyNumberFormat="1" applyFont="1" applyBorder="1">
      <alignment horizontal="center" vertical="center" wrapText="1"/>
    </xf>
    <xf fontId="22" fillId="0" borderId="12" numFmtId="0" xfId="0" applyFont="1" applyBorder="1">
      <alignment horizontal="left" vertical="center" wrapText="1"/>
    </xf>
    <xf fontId="22" fillId="0" borderId="17" numFmtId="0" xfId="0" applyFont="1" applyBorder="1">
      <alignment horizontal="left" vertical="center" wrapText="1"/>
    </xf>
    <xf fontId="94" fillId="0" borderId="43" numFmtId="49" xfId="0" applyNumberFormat="1" applyFont="1" applyBorder="1">
      <alignment horizontal="center" vertical="center"/>
    </xf>
    <xf fontId="94" fillId="0" borderId="43" numFmtId="49" xfId="0" applyNumberFormat="1" applyFont="1" applyBorder="1">
      <alignment horizontal="left" indent="1" vertical="center"/>
    </xf>
    <xf fontId="94" fillId="0" borderId="14" numFmtId="49" xfId="0" applyNumberFormat="1" applyFont="1" applyBorder="1">
      <alignment horizontal="left" indent="1" vertical="center"/>
    </xf>
    <xf fontId="94" fillId="0" borderId="15" numFmtId="49" xfId="0" applyNumberFormat="1" applyFont="1" applyBorder="1">
      <alignment horizontal="left" indent="1" vertical="center"/>
    </xf>
    <xf fontId="94" fillId="0" borderId="15" numFmtId="49" xfId="0" applyNumberFormat="1" applyFont="1" applyBorder="1">
      <alignment vertical="top" wrapText="1"/>
    </xf>
    <xf fontId="94" fillId="0" borderId="13" numFmtId="49" xfId="0" applyNumberFormat="1" applyFont="1" applyBorder="1">
      <alignment vertical="top" wrapText="1"/>
    </xf>
    <xf fontId="125" fillId="0" borderId="0" numFmtId="49" xfId="0" applyNumberFormat="1" applyFont="1">
      <alignment horizontal="center" vertical="top" wrapText="1"/>
    </xf>
    <xf fontId="94" fillId="0" borderId="12" numFmtId="0" xfId="0" applyFont="1" applyBorder="1">
      <alignment horizontal="center" vertical="center"/>
    </xf>
    <xf fontId="94" fillId="0" borderId="12" numFmtId="0" xfId="0" applyFont="1" applyBorder="1">
      <alignment horizontal="left" indent="1" vertical="center" wrapText="1"/>
    </xf>
    <xf fontId="46" fillId="0" borderId="31" numFmtId="4" xfId="0" applyNumberFormat="1" applyFont="1" applyBorder="1">
      <alignment horizontal="right" vertical="center" wrapText="1"/>
    </xf>
    <xf fontId="46" fillId="0" borderId="15" numFmtId="49" xfId="0" applyNumberFormat="1" applyFont="1" applyBorder="1">
      <alignment horizontal="left" indent="1" vertical="center"/>
    </xf>
    <xf fontId="94" fillId="0" borderId="52" numFmtId="49" xfId="0" applyNumberFormat="1" applyFont="1" applyBorder="1">
      <alignment vertical="top" wrapText="1"/>
    </xf>
    <xf fontId="94" fillId="0" borderId="52" numFmtId="49" xfId="0" applyNumberFormat="1" applyFont="1" applyBorder="1">
      <alignment horizontal="left" indent="1" vertical="center"/>
    </xf>
    <xf fontId="0" fillId="40" borderId="36" numFmtId="49" xfId="0" applyNumberFormat="1" applyFont="1" applyFill="1" applyBorder="1">
      <alignment horizontal="left" vertical="center" wrapText="1"/>
    </xf>
    <xf fontId="22" fillId="0" borderId="12" numFmtId="49" xfId="0" applyNumberFormat="1" applyFont="1" applyBorder="1">
      <alignment horizontal="center" vertical="center" wrapText="1"/>
    </xf>
    <xf fontId="126" fillId="0" borderId="12" numFmtId="49" xfId="0" applyNumberFormat="1" applyFont="1" applyBorder="1">
      <alignment horizontal="center" vertical="center" wrapText="1"/>
    </xf>
    <xf fontId="126" fillId="0" borderId="17" numFmtId="49" xfId="0" applyNumberFormat="1" applyFont="1" applyBorder="1">
      <alignment horizontal="center" vertical="center" wrapText="1"/>
    </xf>
    <xf fontId="22" fillId="54" borderId="12" numFmtId="0" xfId="60" applyFont="1" applyFill="1" applyBorder="1">
      <alignment vertical="center"/>
    </xf>
    <xf fontId="46" fillId="55" borderId="12" numFmtId="0" xfId="0" applyFont="1" applyFill="1" applyBorder="1">
      <alignment horizontal="left" vertical="center" wrapText="1"/>
    </xf>
    <xf fontId="91" fillId="0" borderId="0" numFmtId="0" xfId="0" applyFont="1">
      <alignment horizontal="center" vertical="center" wrapText="1"/>
    </xf>
    <xf fontId="22" fillId="0" borderId="0" numFmtId="49" xfId="0" applyNumberFormat="1" applyFont="1">
      <alignment vertical="center" wrapText="1"/>
    </xf>
    <xf fontId="0" fillId="7" borderId="12" numFmtId="49" xfId="0" applyNumberFormat="1" applyFont="1" applyFill="1" applyBorder="1">
      <alignment horizontal="center" vertical="center" wrapText="1"/>
    </xf>
    <xf fontId="22" fillId="0" borderId="0" numFmtId="49" xfId="0" applyNumberFormat="1" applyFont="1">
      <alignment vertical="center" wrapText="1"/>
    </xf>
    <xf fontId="0" fillId="7" borderId="12" numFmtId="49" xfId="0" applyNumberFormat="1" applyFont="1" applyFill="1" applyBorder="1">
      <alignment horizontal="center" vertical="center" wrapText="1"/>
    </xf>
    <xf fontId="35" fillId="0" borderId="0" numFmtId="49" xfId="0" applyNumberFormat="1" applyFont="1">
      <alignment horizontal="center" vertical="center" wrapText="1"/>
    </xf>
    <xf fontId="22" fillId="0" borderId="14"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7" numFmtId="0" xfId="0" applyFont="1" applyBorder="1">
      <alignment horizontal="left" vertical="center" wrapText="1"/>
    </xf>
    <xf fontId="0" fillId="0" borderId="14" numFmtId="0" xfId="0" applyFont="1" applyBorder="1">
      <alignment horizontal="center" vertical="center" wrapText="1"/>
    </xf>
    <xf fontId="0"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22" fillId="0" borderId="19" numFmtId="0" xfId="0" applyFont="1" applyBorder="1">
      <alignment horizontal="right" indent="1" vertical="center" wrapText="1"/>
    </xf>
    <xf fontId="22" fillId="39" borderId="37" numFmtId="4" xfId="0" applyNumberFormat="1" applyFont="1" applyFill="1" applyBorder="1">
      <alignment horizontal="right" vertical="center" wrapText="1"/>
      <protection locked="0"/>
    </xf>
    <xf fontId="22" fillId="39" borderId="14" numFmtId="3" xfId="0" applyNumberFormat="1" applyFont="1" applyFill="1" applyBorder="1">
      <alignment horizontal="right" vertical="center" wrapText="1"/>
      <protection locked="0"/>
    </xf>
    <xf fontId="46" fillId="37" borderId="15" numFmtId="0" xfId="0" applyFont="1" applyFill="1" applyBorder="1">
      <alignment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4" numFmtId="0" xfId="0" applyFont="1" applyBorder="1">
      <alignment horizontal="left" vertical="center" wrapText="1"/>
    </xf>
    <xf fontId="22" fillId="0" borderId="23" numFmtId="0" xfId="0" applyFont="1" applyBorder="1">
      <alignment horizontal="center" vertical="center" wrapText="1"/>
    </xf>
    <xf fontId="22" fillId="0" borderId="14" numFmtId="0" xfId="0" applyFont="1" applyBorder="1">
      <alignment horizontal="left" indent="1" vertical="center" wrapText="1"/>
    </xf>
    <xf fontId="22" fillId="0" borderId="14" numFmtId="0" xfId="0" applyFont="1" applyBorder="1">
      <alignment horizontal="left" indent="2" vertical="center" wrapText="1"/>
    </xf>
    <xf fontId="102" fillId="0" borderId="0" numFmtId="0" xfId="0" applyFont="1">
      <alignment vertical="center" wrapText="1"/>
    </xf>
    <xf fontId="102" fillId="0" borderId="0" numFmtId="0" xfId="0" applyFont="1">
      <alignment vertical="center"/>
    </xf>
    <xf fontId="45" fillId="56" borderId="63" numFmtId="0" xfId="0" applyFont="1" applyFill="1" applyBorder="1">
      <alignment horizontal="center" vertical="center" wrapText="1"/>
    </xf>
    <xf fontId="45" fillId="56" borderId="64" numFmtId="0" xfId="0" applyFont="1" applyFill="1" applyBorder="1">
      <alignment horizontal="center" vertical="center" wrapText="1"/>
    </xf>
    <xf fontId="45" fillId="56" borderId="65" numFmtId="0" xfId="0" applyFont="1" applyFill="1" applyBorder="1">
      <alignment horizontal="center" vertical="center" wrapText="1"/>
    </xf>
    <xf fontId="45" fillId="46" borderId="38" numFmtId="0" xfId="0" applyFont="1" applyFill="1" applyBorder="1">
      <alignment horizontal="right" indent="1" vertical="center" wrapText="1"/>
    </xf>
    <xf fontId="45" fillId="46" borderId="66" numFmtId="0" xfId="0" applyFont="1" applyFill="1" applyBorder="1">
      <alignment horizontal="right" indent="1" vertical="center" wrapText="1"/>
    </xf>
    <xf fontId="45" fillId="46" borderId="0" numFmtId="0" xfId="0" applyFont="1" applyFill="1">
      <alignment horizontal="right" indent="1" vertical="center" wrapText="1"/>
    </xf>
    <xf fontId="120" fillId="0" borderId="38" numFmtId="0" xfId="0" applyFont="1" applyBorder="1">
      <alignment vertical="center" wrapText="1"/>
    </xf>
    <xf fontId="120" fillId="0" borderId="0" numFmtId="0" xfId="0" applyFont="1">
      <alignment vertical="center" wrapText="1"/>
    </xf>
    <xf fontId="120" fillId="0" borderId="38" numFmtId="0" xfId="0" applyFont="1" applyBorder="1">
      <alignment horizontal="left" vertical="center" wrapText="1"/>
    </xf>
    <xf fontId="120" fillId="0" borderId="0" numFmtId="0" xfId="0" applyFont="1">
      <alignment horizontal="left" vertical="center" wrapText="1"/>
    </xf>
    <xf fontId="45" fillId="46" borderId="60" numFmtId="0" xfId="0" applyFont="1" applyFill="1" applyBorder="1">
      <alignment horizontal="right" indent="1" vertical="center" wrapText="1"/>
    </xf>
    <xf fontId="45" fillId="46" borderId="67" numFmtId="0" xfId="0" applyFont="1" applyFill="1" applyBorder="1">
      <alignment horizontal="right" indent="1" vertical="center" wrapText="1"/>
    </xf>
    <xf fontId="45" fillId="46" borderId="62" numFmtId="0" xfId="0" applyFont="1" applyFill="1" applyBorder="1">
      <alignment horizontal="right" indent="1" vertical="center" wrapText="1"/>
    </xf>
    <xf fontId="45" fillId="46" borderId="39" numFmtId="0" xfId="0" applyFont="1" applyFill="1" applyBorder="1">
      <alignment horizontal="right" indent="1" vertical="center" wrapText="1"/>
    </xf>
    <xf fontId="120" fillId="0" borderId="0" numFmtId="0" xfId="0" applyFont="1">
      <alignment vertical="top" wrapText="1"/>
    </xf>
    <xf fontId="66" fillId="0" borderId="0" numFmtId="49" xfId="0" applyNumberFormat="1" applyFont="1">
      <alignment vertical="top" wrapText="1"/>
    </xf>
    <xf fontId="22" fillId="0" borderId="13" numFmtId="0" xfId="0" applyFont="1" applyBorder="1">
      <alignment horizontal="center" vertical="center" wrapText="1"/>
    </xf>
    <xf fontId="22" fillId="0" borderId="14" numFmtId="0" xfId="0" applyFont="1" applyBorder="1">
      <alignment horizontal="center" vertical="center" wrapText="1"/>
    </xf>
    <xf fontId="96" fillId="0" borderId="0" numFmtId="0" xfId="0" applyFont="1">
      <alignment horizontal="left" vertical="center" wrapText="1"/>
    </xf>
    <xf fontId="93" fillId="0" borderId="12" numFmtId="14" xfId="0" applyNumberFormat="1" applyFont="1" applyBorder="1">
      <alignment horizontal="center" vertical="center" wrapText="1"/>
    </xf>
    <xf fontId="22" fillId="0" borderId="0" numFmtId="0" xfId="0" applyFont="1">
      <alignment horizontal="center" vertical="center" wrapText="1"/>
    </xf>
    <xf fontId="22" fillId="0" borderId="15" numFmtId="0" xfId="0" applyFont="1" applyBorder="1">
      <alignment horizontal="left" indent="1" vertical="center" wrapText="1"/>
    </xf>
    <xf fontId="22" fillId="0" borderId="14" numFmtId="0" xfId="0" applyFont="1" applyBorder="1">
      <alignment horizontal="center" vertical="center" wrapText="1"/>
    </xf>
    <xf fontId="22" fillId="0" borderId="15" numFmtId="0" xfId="0" applyFont="1" applyBorder="1">
      <alignment horizontal="center" vertical="center" wrapText="1"/>
    </xf>
    <xf fontId="22" fillId="0" borderId="13" numFmtId="0" xfId="0" applyFont="1" applyBorder="1">
      <alignment horizontal="center" vertical="center" wrapText="1"/>
    </xf>
    <xf fontId="22" fillId="0" borderId="12" numFmtId="4" xfId="0" applyNumberFormat="1" applyFont="1" applyBorder="1">
      <alignment horizontal="center" vertical="center" wrapText="1"/>
    </xf>
    <xf fontId="22" fillId="40" borderId="17" numFmtId="0" xfId="0" applyFont="1" applyFill="1" applyBorder="1">
      <alignment horizontal="left" indent="1" vertical="center" wrapText="1"/>
    </xf>
    <xf fontId="22" fillId="40" borderId="23" numFmtId="0" xfId="0" applyFont="1" applyFill="1" applyBorder="1">
      <alignment horizontal="left" indent="1" vertical="center" wrapText="1"/>
    </xf>
    <xf fontId="22" fillId="40" borderId="12" numFmtId="49" xfId="0" applyNumberFormat="1" applyFont="1" applyFill="1" applyBorder="1">
      <alignment horizontal="center" vertical="center" wrapText="1"/>
    </xf>
    <xf fontId="22" fillId="0" borderId="12" numFmtId="49" xfId="0" applyNumberFormat="1" applyFont="1" applyBorder="1">
      <alignment horizontal="center" vertical="center" wrapText="1"/>
    </xf>
    <xf fontId="22" fillId="40" borderId="17" numFmtId="0" xfId="0" applyFont="1" applyFill="1" applyBorder="1">
      <alignment horizontal="left" indent="2" vertical="center" wrapText="1"/>
    </xf>
    <xf fontId="22" fillId="40" borderId="36" numFmtId="0" xfId="0" applyFont="1" applyFill="1" applyBorder="1">
      <alignment horizontal="left" indent="2" vertical="center" wrapText="1"/>
    </xf>
    <xf fontId="22" fillId="40" borderId="23" numFmtId="0" xfId="0" applyFont="1" applyFill="1" applyBorder="1">
      <alignment horizontal="left" indent="2" vertical="center" wrapText="1"/>
    </xf>
    <xf fontId="22" fillId="40" borderId="23" numFmtId="49" xfId="0" applyNumberFormat="1" applyFont="1" applyFill="1" applyBorder="1">
      <alignment horizontal="center" vertical="center" wrapText="1"/>
    </xf>
    <xf fontId="81" fillId="0" borderId="68" numFmtId="14" xfId="0" applyNumberFormat="1" applyFont="1" applyBorder="1">
      <alignment horizontal="center" vertical="center" wrapText="1"/>
    </xf>
    <xf fontId="22" fillId="0" borderId="68" numFmtId="0" xfId="0" applyFont="1" applyBorder="1">
      <alignment horizontal="center" vertical="center" wrapText="1"/>
    </xf>
    <xf fontId="35" fillId="0" borderId="69" numFmtId="49" xfId="0" applyNumberFormat="1" applyFont="1" applyBorder="1">
      <alignment horizontal="center" vertical="center" wrapText="1"/>
    </xf>
    <xf fontId="35" fillId="0" borderId="70" numFmtId="49" xfId="0" applyNumberFormat="1" applyFont="1" applyBorder="1">
      <alignment horizontal="center" vertical="center" wrapText="1"/>
    </xf>
    <xf fontId="35" fillId="0" borderId="14" numFmtId="49" xfId="0" applyNumberFormat="1" applyFont="1" applyBorder="1">
      <alignment horizontal="center" vertical="center" wrapText="1"/>
    </xf>
    <xf fontId="35" fillId="0" borderId="13" numFmtId="49" xfId="0" applyNumberFormat="1" applyFont="1" applyBorder="1">
      <alignment horizontal="center" vertical="center" wrapText="1"/>
    </xf>
    <xf fontId="22" fillId="0" borderId="20" numFmtId="0" xfId="0" applyFont="1" applyBorder="1">
      <alignment horizontal="left" indent="1" vertical="center" wrapText="1"/>
    </xf>
    <xf fontId="22" fillId="0" borderId="17" numFmtId="0" xfId="0" applyFont="1" applyBorder="1">
      <alignment horizontal="left" indent="1" vertical="center" wrapText="1"/>
    </xf>
    <xf fontId="22" fillId="0" borderId="37" numFmtId="0" xfId="0" applyFont="1" applyBorder="1">
      <alignment horizontal="left" indent="1" vertical="center" wrapText="1"/>
    </xf>
    <xf fontId="22" fillId="0" borderId="29" numFmtId="0" xfId="0" applyFont="1" applyBorder="1">
      <alignment horizontal="left" indent="1" vertical="center"/>
    </xf>
    <xf fontId="22" fillId="0" borderId="23" numFmtId="0" xfId="0" applyFont="1" applyBorder="1">
      <alignment horizontal="left" indent="1" vertical="center"/>
    </xf>
    <xf fontId="22" fillId="0" borderId="30" numFmtId="0" xfId="0" applyFont="1" applyBorder="1">
      <alignment horizontal="left" indent="1" vertical="center"/>
    </xf>
    <xf fontId="22" fillId="0" borderId="0" numFmtId="0" xfId="0" applyFont="1">
      <alignment horizontal="center" vertical="center" wrapText="1"/>
    </xf>
    <xf fontId="22" fillId="42" borderId="0" numFmtId="0" xfId="0" applyFont="1" applyFill="1">
      <alignment horizontal="center" vertical="center" wrapText="1"/>
    </xf>
    <xf fontId="22" fillId="0" borderId="12" numFmtId="0" xfId="0" applyFont="1" applyBorder="1">
      <alignment horizontal="center" vertical="center" wrapText="1"/>
    </xf>
    <xf fontId="75" fillId="0" borderId="37" numFmtId="0" xfId="0" applyFont="1" applyBorder="1">
      <alignment horizontal="center" vertical="center" wrapText="1"/>
    </xf>
    <xf fontId="75" fillId="0" borderId="19" numFmtId="0" xfId="0" applyFont="1" applyBorder="1">
      <alignment horizontal="center" vertical="center" wrapText="1"/>
    </xf>
    <xf fontId="0" fillId="0" borderId="0" numFmtId="0" xfId="0" applyFont="1">
      <alignment horizontal="left" indent="2" vertical="center" wrapText="1"/>
    </xf>
    <xf fontId="0" fillId="0" borderId="0" numFmtId="0" xfId="0" applyFont="1">
      <alignment horizontal="left" indent="2" vertical="center"/>
    </xf>
    <xf fontId="75" fillId="0" borderId="12" numFmtId="0" xfId="0" applyFont="1" applyBorder="1">
      <alignment horizontal="center" vertical="center" wrapText="1"/>
    </xf>
    <xf fontId="22" fillId="0" borderId="71" numFmtId="0" xfId="0" applyFont="1" applyBorder="1">
      <alignment horizontal="center" vertical="center" wrapText="1"/>
    </xf>
    <xf fontId="22" fillId="0" borderId="72" numFmtId="0" xfId="0" applyFont="1" applyBorder="1">
      <alignment horizontal="center" vertical="center" wrapText="1"/>
    </xf>
    <xf fontId="0" fillId="0" borderId="12" numFmtId="0" xfId="0" applyFont="1" applyBorder="1">
      <alignment horizontal="center" vertical="top"/>
    </xf>
    <xf fontId="0" fillId="0" borderId="12" numFmtId="49" xfId="0" applyNumberFormat="1" applyFont="1" applyBorder="1">
      <alignment vertical="top"/>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0" xfId="0" applyFont="1" applyBorder="1">
      <alignment horizontal="left" vertical="center" wrapText="1"/>
    </xf>
    <xf fontId="0" fillId="0" borderId="0" numFmtId="0" xfId="0" applyFont="1">
      <alignment horizontal="left" vertical="center" wrapText="1"/>
    </xf>
    <xf fontId="0" fillId="0" borderId="0" numFmtId="49" xfId="0" applyNumberFormat="1" applyFont="1">
      <alignment horizontal="left" vertical="center" wrapText="1"/>
    </xf>
    <xf fontId="0" fillId="0" borderId="19" numFmtId="49" xfId="0" applyNumberFormat="1" applyFont="1" applyBorder="1">
      <alignment horizontal="left" vertical="center" wrapText="1"/>
    </xf>
    <xf fontId="22" fillId="0" borderId="12" numFmtId="0" xfId="0" applyFont="1" applyBorder="1">
      <alignment horizontal="left" vertical="top" wrapText="1"/>
    </xf>
    <xf fontId="0" fillId="0" borderId="12" numFmtId="49" xfId="0" applyNumberFormat="1" applyFont="1" applyBorder="1">
      <alignment horizontal="left" vertical="top"/>
    </xf>
    <xf fontId="22" fillId="40" borderId="17" numFmtId="0" xfId="0" applyFont="1" applyFill="1" applyBorder="1">
      <alignment horizontal="center" vertical="top" wrapText="1"/>
    </xf>
    <xf fontId="22" fillId="40" borderId="36" numFmtId="0" xfId="0" applyFont="1" applyFill="1" applyBorder="1">
      <alignment horizontal="center" vertical="top" wrapText="1"/>
    </xf>
    <xf fontId="22" fillId="40" borderId="23" numFmtId="0" xfId="0" applyFont="1" applyFill="1" applyBorder="1">
      <alignment horizontal="center" vertical="top" wrapText="1"/>
    </xf>
    <xf fontId="0" fillId="0" borderId="37" numFmtId="0" xfId="0" applyFont="1" applyBorder="1">
      <alignment horizontal="center" vertical="center"/>
    </xf>
    <xf fontId="0" fillId="0" borderId="22" numFmtId="0" xfId="0" applyFont="1" applyBorder="1">
      <alignment horizontal="center" vertical="center"/>
    </xf>
    <xf fontId="0" fillId="0" borderId="19" numFmtId="0" xfId="0" applyFont="1" applyBorder="1">
      <alignment horizontal="center" vertical="center"/>
    </xf>
    <xf fontId="0" fillId="0" borderId="0" numFmtId="0" xfId="0" applyFont="1">
      <alignment horizontal="center" vertical="center"/>
    </xf>
    <xf fontId="22" fillId="0" borderId="19" numFmtId="49" xfId="0" applyNumberFormat="1" applyFont="1" applyBorder="1">
      <alignment horizontal="left" vertical="center" wrapText="1"/>
    </xf>
    <xf fontId="22" fillId="0" borderId="0" numFmtId="49" xfId="0" applyNumberFormat="1" applyFont="1">
      <alignment horizontal="left" vertical="center" wrapText="1"/>
    </xf>
    <xf fontId="0" fillId="0" borderId="0" numFmtId="49" xfId="0" applyNumberFormat="1" applyFont="1">
      <alignment horizontal="left" vertical="top"/>
    </xf>
    <xf fontId="0" fillId="0" borderId="12" numFmtId="0" xfId="0" applyFont="1" applyBorder="1">
      <alignment horizontal="center" vertical="center" wrapText="1"/>
    </xf>
    <xf fontId="47" fillId="35" borderId="27" numFmtId="49" xfId="0" applyNumberFormat="1" applyFont="1" applyFill="1" applyBorder="1">
      <alignment horizontal="center" vertical="center" wrapText="1"/>
    </xf>
    <xf fontId="22" fillId="0" borderId="20" numFmtId="0" xfId="0" applyFont="1" applyBorder="1">
      <alignment horizontal="left" indent="1" vertical="top" wrapText="1"/>
    </xf>
    <xf fontId="22" fillId="0" borderId="17" numFmtId="0" xfId="0" applyFont="1" applyBorder="1">
      <alignment horizontal="left" indent="1" vertical="top" wrapText="1"/>
    </xf>
    <xf fontId="22" fillId="0" borderId="37" numFmtId="0" xfId="0" applyFont="1" applyBorder="1">
      <alignment horizontal="left" indent="1" vertical="top" wrapText="1"/>
    </xf>
    <xf fontId="72" fillId="0" borderId="24" numFmtId="0" xfId="0" applyFont="1" applyBorder="1">
      <alignment horizontal="left" indent="1" vertical="center" wrapText="1"/>
    </xf>
    <xf fontId="72" fillId="0" borderId="36" numFmtId="0" xfId="0" applyFont="1" applyBorder="1">
      <alignment horizontal="left" indent="1" vertical="center" wrapText="1"/>
    </xf>
    <xf fontId="72" fillId="0" borderId="22" numFmtId="0" xfId="0" applyFont="1" applyBorder="1">
      <alignment horizontal="left" indent="1" vertical="center" wrapText="1"/>
    </xf>
    <xf fontId="22" fillId="0" borderId="27" numFmtId="0" xfId="0" applyFont="1" applyBorder="1">
      <alignment horizontal="left" indent="1" vertical="center"/>
    </xf>
    <xf fontId="22" fillId="39" borderId="12" numFmtId="0" xfId="0" applyFont="1" applyFill="1" applyBorder="1">
      <alignment horizontal="left" vertical="top" wrapText="1"/>
      <protection locked="0"/>
    </xf>
    <xf fontId="0" fillId="39" borderId="12" numFmtId="0" xfId="0" applyFont="1" applyFill="1" applyBorder="1">
      <alignment horizontal="left" vertical="top"/>
      <protection locked="0"/>
    </xf>
    <xf fontId="0" fillId="0" borderId="17" numFmtId="0" xfId="0" applyFont="1" applyBorder="1">
      <alignment horizontal="center" vertical="top"/>
    </xf>
    <xf fontId="0" fillId="0" borderId="36" numFmtId="0" xfId="0" applyFont="1" applyBorder="1">
      <alignment horizontal="center" vertical="top"/>
    </xf>
    <xf fontId="0" fillId="0" borderId="23" numFmtId="0" xfId="0" applyFont="1" applyBorder="1">
      <alignment horizontal="center" vertical="top"/>
    </xf>
    <xf fontId="22" fillId="0" borderId="17" numFmtId="0" xfId="0" applyFont="1" applyBorder="1">
      <alignment horizontal="left" vertical="top" wrapText="1"/>
    </xf>
    <xf fontId="22" fillId="0" borderId="36" numFmtId="0" xfId="0" applyFont="1" applyBorder="1">
      <alignment horizontal="left" vertical="top" wrapText="1"/>
    </xf>
    <xf fontId="22" fillId="0" borderId="23" numFmtId="0" xfId="0" applyFont="1" applyBorder="1">
      <alignment horizontal="left" vertical="top" wrapText="1"/>
    </xf>
    <xf fontId="0" fillId="0" borderId="0" numFmtId="0" xfId="0" applyFont="1" quotePrefix="1">
      <alignment horizontal="left" indent="1" vertical="top" wrapText="1"/>
    </xf>
    <xf fontId="0" fillId="0" borderId="0" numFmtId="0" xfId="0" applyFont="1">
      <alignment horizontal="left" indent="1" vertical="top" wrapText="1"/>
    </xf>
    <xf fontId="0" fillId="0" borderId="0" numFmtId="0" xfId="0" applyFont="1">
      <alignment horizontal="left" vertical="top" wrapText="1"/>
    </xf>
    <xf fontId="22" fillId="0" borderId="17" numFmtId="0" xfId="0" applyFont="1" applyBorder="1">
      <alignment horizontal="center" vertical="center" wrapText="1"/>
    </xf>
    <xf fontId="22" fillId="0" borderId="27" numFmtId="0" xfId="0" applyFont="1" applyBorder="1">
      <alignment horizontal="left" indent="1" vertical="center" wrapText="1"/>
    </xf>
    <xf fontId="39" fillId="0" borderId="0" numFmtId="0" xfId="0" applyFont="1">
      <alignment horizontal="left" vertical="center"/>
    </xf>
    <xf fontId="39" fillId="0" borderId="24" numFmtId="0" xfId="0" applyFont="1" applyBorder="1">
      <alignment horizontal="left" vertical="center"/>
    </xf>
    <xf fontId="22" fillId="0" borderId="12" numFmtId="0" xfId="0" applyFont="1" applyBorder="1">
      <alignment horizontal="left" vertical="center" wrapText="1"/>
    </xf>
    <xf fontId="22" fillId="0" borderId="37" numFmtId="0" xfId="0" applyFont="1" applyBorder="1">
      <alignment horizontal="left" vertical="center" wrapText="1"/>
    </xf>
    <xf fontId="22" fillId="0" borderId="19" numFmtId="0" xfId="0" applyFont="1" applyBorder="1">
      <alignment horizontal="center" vertical="center"/>
    </xf>
    <xf fontId="22" fillId="0" borderId="0" numFmtId="0" xfId="0" applyFont="1">
      <alignment horizontal="center" vertical="center"/>
    </xf>
    <xf fontId="22" fillId="0" borderId="12" numFmtId="49" xfId="0" applyNumberFormat="1" applyFont="1" applyBorder="1">
      <alignment horizontal="center" vertical="center"/>
    </xf>
    <xf fontId="22" fillId="0" borderId="14" numFmtId="0" xfId="0" applyFont="1" applyBorder="1">
      <alignment horizontal="left" vertical="center" wrapText="1"/>
    </xf>
    <xf fontId="22" fillId="40" borderId="17" numFmtId="49" xfId="0" applyNumberFormat="1" applyFont="1" applyFill="1" applyBorder="1">
      <alignment horizontal="center" vertical="center" wrapText="1"/>
    </xf>
    <xf fontId="22" fillId="40" borderId="36" numFmtId="49" xfId="0" applyNumberFormat="1" applyFont="1" applyFill="1" applyBorder="1">
      <alignment horizontal="center" vertical="center" wrapText="1"/>
    </xf>
    <xf fontId="39" fillId="0" borderId="27" numFmtId="0" xfId="0" applyFont="1" applyBorder="1">
      <alignment horizontal="left" vertical="center"/>
    </xf>
    <xf fontId="39" fillId="0" borderId="29" numFmtId="0" xfId="0" applyFont="1" applyBorder="1">
      <alignment horizontal="left" vertical="center"/>
    </xf>
    <xf fontId="22" fillId="0" borderId="17" numFmtId="49" xfId="0" applyNumberFormat="1" applyFont="1" applyBorder="1">
      <alignment horizontal="center" vertical="center"/>
    </xf>
    <xf fontId="22" fillId="0" borderId="17" numFmtId="0" xfId="0" applyFont="1" applyBorder="1">
      <alignment horizontal="left" vertical="center" wrapText="1"/>
    </xf>
    <xf fontId="22" fillId="0" borderId="19" numFmtId="0" xfId="0" applyFont="1" applyBorder="1">
      <alignment horizontal="left" indent="1" vertical="center" wrapText="1"/>
    </xf>
    <xf fontId="22" fillId="0" borderId="37" numFmtId="0" xfId="0" applyFont="1" applyBorder="1">
      <alignment horizontal="center" vertical="center" wrapText="1"/>
    </xf>
    <xf fontId="22" fillId="0" borderId="20" numFmtId="0" xfId="0" applyFont="1" applyBorder="1">
      <alignment horizontal="center" vertical="center" wrapText="1"/>
    </xf>
    <xf fontId="22" fillId="0" borderId="22" numFmtId="0" xfId="0" applyFont="1" applyBorder="1">
      <alignment horizontal="center" vertical="center" wrapText="1"/>
    </xf>
    <xf fontId="22" fillId="0" borderId="24"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center" vertical="center" wrapText="1"/>
    </xf>
    <xf fontId="22" fillId="0" borderId="12" numFmtId="0" xfId="0" applyFont="1" applyBorder="1">
      <alignment horizontal="center" vertical="center" wrapText="1"/>
    </xf>
    <xf fontId="22" fillId="0" borderId="36" numFmtId="0" xfId="0" applyFont="1" applyBorder="1">
      <alignment horizontal="center" vertical="center" wrapText="1"/>
    </xf>
    <xf fontId="22" fillId="0" borderId="30" numFmtId="0" xfId="0" applyFont="1" applyBorder="1">
      <alignment horizontal="center" vertical="center" wrapText="1"/>
    </xf>
    <xf fontId="22" fillId="0" borderId="29" numFmtId="0" xfId="0" applyFont="1" applyBorder="1">
      <alignment horizontal="center" vertical="center" wrapText="1"/>
    </xf>
    <xf fontId="22" fillId="35" borderId="0" numFmtId="49" xfId="0" applyNumberFormat="1" applyFont="1" applyFill="1">
      <alignment horizontal="center" vertical="center" wrapText="1"/>
    </xf>
    <xf fontId="44" fillId="0" borderId="0" numFmtId="0" xfId="0" applyFont="1">
      <alignment horizontal="right" vertical="top" wrapText="1"/>
    </xf>
    <xf fontId="0" fillId="35" borderId="12" numFmtId="49" xfId="0" applyNumberFormat="1" applyFont="1" applyFill="1" applyBorder="1">
      <alignment horizontal="center" vertical="center" wrapText="1"/>
    </xf>
    <xf fontId="22" fillId="35" borderId="12" numFmtId="49" xfId="0" applyNumberFormat="1" applyFont="1" applyFill="1" applyBorder="1">
      <alignment horizontal="center" vertical="center" wrapText="1"/>
    </xf>
    <xf fontId="44" fillId="0" borderId="0" numFmtId="0" xfId="0" applyFont="1">
      <alignment horizontal="left" indent="1" vertical="top" wrapText="1"/>
    </xf>
    <xf fontId="93" fillId="35" borderId="0" numFmtId="0" xfId="0" applyFont="1" applyFill="1">
      <alignment horizontal="left" vertical="center" wrapText="1"/>
    </xf>
    <xf fontId="0" fillId="35" borderId="12" numFmtId="0" xfId="0" applyFont="1" applyFill="1" applyBorder="1">
      <alignment horizontal="center" vertical="center" wrapText="1"/>
    </xf>
    <xf fontId="22" fillId="35" borderId="12" numFmtId="0" xfId="0" applyFont="1" applyFill="1" applyBorder="1">
      <alignment horizontal="center" vertical="center" wrapText="1"/>
    </xf>
    <xf fontId="22" fillId="35" borderId="17" numFmtId="0" xfId="0" applyFont="1" applyFill="1" applyBorder="1">
      <alignment horizontal="left" vertical="top" wrapText="1"/>
    </xf>
    <xf fontId="22" fillId="35" borderId="36" numFmtId="0" xfId="0" applyFont="1" applyFill="1" applyBorder="1">
      <alignment horizontal="left" vertical="top" wrapText="1"/>
    </xf>
    <xf fontId="22" fillId="35" borderId="23" numFmtId="0" xfId="0" applyFont="1" applyFill="1" applyBorder="1">
      <alignment horizontal="left" vertical="top" wrapText="1"/>
    </xf>
    <xf fontId="22" fillId="35" borderId="24" numFmtId="0" xfId="0" applyFont="1" applyFill="1" applyBorder="1">
      <alignment horizontal="center" vertical="center" wrapText="1"/>
    </xf>
    <xf fontId="22" fillId="0" borderId="29" numFmtId="0" xfId="0" applyFont="1" applyBorder="1">
      <alignment horizontal="left" indent="1" vertical="center" wrapText="1"/>
    </xf>
    <xf fontId="22" fillId="0" borderId="23" numFmtId="0" xfId="0" applyFont="1" applyBorder="1">
      <alignment horizontal="left" indent="1" vertical="center" wrapText="1"/>
    </xf>
    <xf fontId="22" fillId="0" borderId="30" numFmtId="0" xfId="0" applyFont="1" applyBorder="1">
      <alignment horizontal="left" indent="1" vertical="center" wrapText="1"/>
    </xf>
    <xf fontId="46" fillId="0" borderId="0" numFmtId="0" xfId="0" applyFont="1">
      <alignment horizontal="center" vertical="center" wrapText="1"/>
    </xf>
    <xf fontId="0" fillId="0" borderId="14" numFmtId="0" xfId="0" applyFont="1" applyBorder="1">
      <alignment horizontal="center" vertical="center" wrapText="1"/>
    </xf>
    <xf fontId="0" fillId="0" borderId="15" numFmtId="0" xfId="0" applyFont="1" applyBorder="1">
      <alignment horizontal="center" vertical="center" wrapText="1"/>
    </xf>
    <xf fontId="0" fillId="0" borderId="13" numFmtId="0" xfId="0" applyFont="1" applyBorder="1">
      <alignment horizontal="center" vertical="center" wrapText="1"/>
    </xf>
    <xf fontId="0" fillId="0" borderId="17" numFmtId="0" xfId="0" applyFont="1" applyBorder="1">
      <alignment horizontal="left" vertical="top" wrapText="1"/>
    </xf>
    <xf fontId="0" fillId="0" borderId="23" numFmtId="0" xfId="0" applyFont="1" applyBorder="1">
      <alignment horizontal="left" vertical="top" wrapText="1"/>
    </xf>
    <xf fontId="0" fillId="0" borderId="12"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37" numFmtId="0" xfId="0" applyFont="1" applyBorder="1">
      <alignment horizontal="center" vertical="center" wrapText="1"/>
    </xf>
    <xf fontId="0" fillId="0" borderId="30"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20" numFmtId="0" xfId="0" applyFont="1" applyBorder="1">
      <alignment horizontal="center" vertical="center" wrapText="1"/>
    </xf>
    <xf fontId="0" fillId="0" borderId="29" numFmtId="0" xfId="0" applyFont="1" applyBorder="1">
      <alignment horizontal="center" vertical="center" wrapText="1"/>
    </xf>
    <xf fontId="22" fillId="0" borderId="23" numFmtId="0" xfId="0" applyFont="1" applyBorder="1">
      <alignment horizontal="center" vertical="center" wrapText="1"/>
    </xf>
    <xf fontId="0" fillId="0" borderId="37" numFmtId="49" xfId="0" applyNumberFormat="1" applyFont="1" applyBorder="1">
      <alignment horizontal="center" vertical="center" wrapText="1"/>
    </xf>
    <xf fontId="0" fillId="0" borderId="30" numFmtId="49" xfId="0" applyNumberFormat="1" applyFont="1" applyBorder="1">
      <alignment horizontal="center" vertical="center" wrapText="1"/>
    </xf>
    <xf fontId="22" fillId="40" borderId="19" numFmtId="0" xfId="0" applyFont="1" applyFill="1" applyBorder="1">
      <alignment horizontal="left" vertical="center" wrapText="1"/>
    </xf>
    <xf fontId="22" fillId="40" borderId="27" numFmtId="0" xfId="0" applyFont="1" applyFill="1" applyBorder="1">
      <alignment horizontal="left" vertical="center" wrapText="1"/>
    </xf>
    <xf fontId="22" fillId="0" borderId="19" numFmtId="0" xfId="0" applyFont="1" applyBorder="1">
      <alignment horizontal="left" indent="1" vertical="top" wrapText="1"/>
    </xf>
    <xf fontId="22" fillId="0" borderId="20" numFmtId="0" xfId="0" applyFont="1" applyBorder="1">
      <alignment horizontal="left" indent="1" vertical="center" wrapText="1"/>
    </xf>
    <xf fontId="22" fillId="0" borderId="17" numFmtId="0" xfId="0" applyFont="1" applyBorder="1">
      <alignment horizontal="left" indent="1" vertical="center" wrapText="1"/>
    </xf>
    <xf fontId="22" fillId="0" borderId="37" numFmtId="0" xfId="0" applyFont="1" applyBorder="1">
      <alignment horizontal="left" indent="1" vertical="center" wrapText="1"/>
    </xf>
    <xf fontId="0" fillId="0" borderId="36" numFmtId="0" xfId="0" applyFont="1" applyBorder="1">
      <alignment horizontal="left" vertical="top" wrapText="1"/>
    </xf>
    <xf fontId="22" fillId="34" borderId="14" numFmtId="0" xfId="0" applyFont="1" applyFill="1" applyBorder="1">
      <alignment horizontal="left" vertical="center" wrapText="1"/>
    </xf>
    <xf fontId="22" fillId="34" borderId="15" numFmtId="0" xfId="0" applyFont="1" applyFill="1" applyBorder="1">
      <alignment horizontal="left" vertical="center" wrapText="1"/>
    </xf>
    <xf fontId="22" fillId="34" borderId="13" numFmtId="0" xfId="0" applyFont="1" applyFill="1" applyBorder="1">
      <alignment horizontal="left" vertical="center" wrapText="1"/>
    </xf>
    <xf fontId="22" fillId="40" borderId="14" numFmtId="0" xfId="0" applyFont="1" applyFill="1" applyBorder="1">
      <alignment horizontal="left" vertical="center" wrapText="1"/>
    </xf>
    <xf fontId="22" fillId="40" borderId="15" numFmtId="0" xfId="0" applyFont="1" applyFill="1" applyBorder="1">
      <alignment horizontal="left" vertical="center" wrapText="1"/>
    </xf>
    <xf fontId="22" fillId="40" borderId="13" numFmtId="0" xfId="0" applyFont="1" applyFill="1" applyBorder="1">
      <alignment horizontal="left" vertical="center" wrapText="1"/>
    </xf>
    <xf fontId="22" fillId="0" borderId="19" numFmtId="0" xfId="0" applyFont="1" applyBorder="1">
      <alignment horizontal="left" indent="1" vertical="top" wrapText="1"/>
    </xf>
    <xf fontId="22" fillId="0" borderId="27" numFmtId="0" xfId="0" applyFont="1" applyBorder="1">
      <alignment horizontal="left" indent="1" vertical="center" wrapText="1"/>
    </xf>
    <xf fontId="0" fillId="35" borderId="12" numFmtId="0" xfId="0" applyFont="1" applyFill="1" applyBorder="1">
      <alignment horizontal="right" indent="1" vertical="center" wrapText="1"/>
    </xf>
    <xf fontId="22" fillId="34" borderId="12" numFmtId="0" xfId="0" applyFont="1" applyFill="1" applyBorder="1">
      <alignment horizontal="left" indent="1" vertical="center" wrapText="1"/>
    </xf>
    <xf fontId="36" fillId="0" borderId="27" numFmtId="0" xfId="0" applyFont="1" applyBorder="1">
      <alignment horizontal="center" vertical="center" wrapText="1"/>
    </xf>
    <xf fontId="44" fillId="0" borderId="17" numFmtId="0" xfId="0" applyFont="1" applyBorder="1">
      <alignment horizontal="left" vertical="top" wrapText="1"/>
    </xf>
    <xf fontId="44" fillId="0" borderId="36" numFmtId="0" xfId="0" applyFont="1" applyBorder="1">
      <alignment horizontal="left" vertical="top" wrapText="1"/>
    </xf>
    <xf fontId="44" fillId="0" borderId="23" numFmtId="0" xfId="0" applyFont="1" applyBorder="1">
      <alignment horizontal="left" vertical="top" wrapText="1"/>
    </xf>
    <xf fontId="46" fillId="0" borderId="12" numFmtId="0" xfId="0" applyFont="1" applyBorder="1">
      <alignment horizontal="center" vertical="center" wrapText="1"/>
    </xf>
    <xf fontId="47" fillId="0" borderId="0" numFmtId="0" xfId="0" applyFont="1">
      <alignment horizontal="center" vertical="center" wrapText="1"/>
    </xf>
    <xf fontId="46" fillId="0" borderId="12" numFmtId="0" xfId="0" applyFont="1" applyBorder="1">
      <alignment horizontal="center" vertical="center"/>
    </xf>
    <xf fontId="46" fillId="0" borderId="14" numFmtId="0" xfId="0" applyFont="1" applyBorder="1">
      <alignment horizontal="center" vertical="center"/>
    </xf>
    <xf fontId="22" fillId="0" borderId="17" numFmtId="0" xfId="0" applyFont="1" applyBorder="1">
      <alignment horizontal="center" vertical="center" wrapText="1"/>
    </xf>
    <xf fontId="22" fillId="0" borderId="23" numFmtId="0" xfId="0" applyFont="1" applyBorder="1">
      <alignment horizontal="center" vertical="center" wrapText="1"/>
    </xf>
    <xf fontId="22" fillId="0" borderId="14" numFmtId="0" xfId="0" applyFont="1" applyBorder="1">
      <alignment horizontal="center" vertical="center" wrapText="1"/>
    </xf>
    <xf fontId="22" fillId="0" borderId="13" numFmtId="0" xfId="0" applyFont="1" applyBorder="1">
      <alignment horizontal="center" vertical="center" wrapText="1"/>
    </xf>
    <xf fontId="22" fillId="34" borderId="12" numFmtId="179" xfId="0" applyNumberFormat="1" applyFont="1" applyFill="1" applyBorder="1">
      <alignment horizontal="left" indent="1" vertical="center" wrapText="1"/>
    </xf>
    <xf fontId="0" fillId="39" borderId="12" numFmtId="179" xfId="0" applyNumberFormat="1" applyFont="1" applyFill="1" applyBorder="1">
      <alignment horizontal="center" vertical="center" wrapText="1"/>
      <protection locked="0"/>
    </xf>
    <xf fontId="0" fillId="39" borderId="12" numFmtId="49" xfId="0" applyNumberFormat="1" applyFont="1" applyFill="1" applyBorder="1">
      <alignment horizontal="center" vertical="center" wrapText="1"/>
      <protection locked="0"/>
    </xf>
    <xf fontId="46" fillId="0" borderId="12" numFmtId="179" xfId="0" applyNumberFormat="1" applyFont="1" applyBorder="1">
      <alignment horizontal="center" vertical="center" wrapText="1"/>
    </xf>
    <xf fontId="46" fillId="0" borderId="12" numFmtId="49" xfId="0" applyNumberFormat="1" applyFont="1" applyBorder="1">
      <alignment horizontal="center" vertical="center" wrapText="1"/>
    </xf>
    <xf fontId="22" fillId="0" borderId="15" numFmtId="0" xfId="0" applyFont="1" applyBorder="1">
      <alignment horizontal="center" vertical="center" wrapText="1"/>
    </xf>
    <xf fontId="0" fillId="0" borderId="14" numFmtId="0" xfId="0" applyFont="1" applyBorder="1">
      <alignment horizontal="center" vertical="center" wrapText="1"/>
    </xf>
    <xf fontId="0" fillId="0" borderId="13" numFmtId="0" xfId="0" applyFont="1" applyBorder="1">
      <alignment horizontal="center" vertical="center" wrapText="1"/>
    </xf>
    <xf fontId="80" fillId="35" borderId="19" numFmtId="0" xfId="0" applyFont="1" applyFill="1" applyBorder="1">
      <alignment horizontal="center" vertical="center" wrapText="1"/>
    </xf>
    <xf fontId="22" fillId="35" borderId="12" numFmtId="0" xfId="0" applyFont="1" applyFill="1" applyBorder="1">
      <alignment horizontal="left" vertical="center" wrapText="1"/>
    </xf>
    <xf fontId="0" fillId="35" borderId="14" numFmtId="0" xfId="0" applyFont="1" applyFill="1" applyBorder="1">
      <alignment horizontal="center" vertical="center" wrapText="1"/>
    </xf>
    <xf fontId="0" fillId="35" borderId="15" numFmtId="0" xfId="0" applyFont="1" applyFill="1" applyBorder="1">
      <alignment horizontal="center" vertical="center" wrapText="1"/>
    </xf>
    <xf fontId="0" fillId="35" borderId="13" numFmtId="0" xfId="0" applyFont="1" applyFill="1" applyBorder="1">
      <alignment horizontal="center" vertical="center" wrapText="1"/>
    </xf>
    <xf fontId="22" fillId="35" borderId="17" numFmtId="0" xfId="0" applyFont="1" applyFill="1" applyBorder="1">
      <alignment horizontal="center" vertical="center" wrapText="1"/>
    </xf>
    <xf fontId="22" fillId="35" borderId="36" numFmtId="0" xfId="0" applyFont="1" applyFill="1" applyBorder="1">
      <alignment horizontal="center" vertical="center" wrapText="1"/>
    </xf>
    <xf fontId="22" fillId="35" borderId="23" numFmtId="0" xfId="0" applyFont="1" applyFill="1" applyBorder="1">
      <alignment horizontal="center" vertical="center" wrapText="1"/>
    </xf>
    <xf fontId="39" fillId="37" borderId="17" numFmtId="49" xfId="0" applyNumberFormat="1" applyFont="1" applyFill="1" applyBorder="1">
      <alignment horizontal="center" textRotation="90" vertical="center" wrapText="1"/>
    </xf>
    <xf fontId="39" fillId="37" borderId="36" numFmtId="49" xfId="0" applyNumberFormat="1" applyFont="1" applyFill="1" applyBorder="1">
      <alignment horizontal="center" textRotation="90" vertical="center" wrapText="1"/>
    </xf>
    <xf fontId="39" fillId="37" borderId="23" numFmtId="49" xfId="0" applyNumberFormat="1" applyFont="1" applyFill="1" applyBorder="1">
      <alignment horizontal="center" textRotation="90" vertical="center" wrapText="1"/>
    </xf>
    <xf fontId="46" fillId="0" borderId="17" numFmtId="0" xfId="0" applyFont="1" applyBorder="1">
      <alignment horizontal="center" vertical="center" wrapText="1"/>
    </xf>
    <xf fontId="46" fillId="0" borderId="23" numFmtId="0" xfId="0" applyFont="1" applyBorder="1">
      <alignment horizontal="center" vertical="center" wrapText="1"/>
    </xf>
    <xf fontId="22" fillId="0" borderId="0" numFmtId="0" xfId="0" applyFont="1">
      <alignment horizontal="left" vertical="top" wrapText="1"/>
    </xf>
    <xf fontId="46" fillId="0" borderId="14" numFmtId="0" xfId="0" applyFont="1" applyBorder="1">
      <alignment horizontal="center" vertical="center" wrapText="1"/>
    </xf>
    <xf fontId="0" fillId="39" borderId="17" numFmtId="179" xfId="0" applyNumberFormat="1" applyFont="1" applyFill="1" applyBorder="1">
      <alignment horizontal="center" vertical="center" wrapText="1"/>
      <protection locked="0"/>
    </xf>
    <xf fontId="0" fillId="39" borderId="23" numFmtId="49" xfId="0" applyNumberFormat="1" applyFont="1" applyFill="1" applyBorder="1">
      <alignment horizontal="center" vertical="center" wrapText="1"/>
      <protection locked="0"/>
    </xf>
    <xf fontId="22" fillId="0" borderId="12" numFmtId="0" xfId="0" applyFont="1" applyBorder="1">
      <alignment horizontal="center" vertical="center"/>
    </xf>
    <xf fontId="22" fillId="0" borderId="14" numFmtId="0" xfId="0" applyFont="1" applyBorder="1">
      <alignment horizontal="center" vertical="center"/>
    </xf>
    <xf fontId="0" fillId="35" borderId="19" numFmtId="0" xfId="0" applyFont="1" applyFill="1" applyBorder="1">
      <alignment horizontal="center" vertical="center" wrapText="1"/>
    </xf>
    <xf fontId="47" fillId="0" borderId="17" numFmtId="0" xfId="0" applyFont="1" applyBorder="1">
      <alignment horizontal="center" vertical="center" wrapText="1"/>
    </xf>
    <xf fontId="47" fillId="0" borderId="23" numFmtId="0" xfId="0" applyFont="1" applyBorder="1">
      <alignment horizontal="center" vertical="center" wrapText="1"/>
    </xf>
    <xf fontId="22" fillId="0" borderId="37" numFmtId="0" xfId="0" applyFont="1" applyBorder="1">
      <alignment horizontal="center" vertical="center" wrapText="1"/>
    </xf>
    <xf fontId="22" fillId="0" borderId="30" numFmtId="0" xfId="0" applyFont="1" applyBorder="1">
      <alignment horizontal="center" vertical="center" wrapText="1"/>
    </xf>
    <xf fontId="47" fillId="0" borderId="14" numFmtId="0" xfId="0" applyFont="1" applyBorder="1">
      <alignment horizontal="left" vertical="center" wrapText="1"/>
    </xf>
    <xf fontId="47" fillId="0" borderId="15" numFmtId="0" xfId="0" applyFont="1" applyBorder="1">
      <alignment horizontal="left" vertical="center" wrapText="1"/>
    </xf>
    <xf fontId="47" fillId="0" borderId="13" numFmtId="0" xfId="0" applyFont="1" applyBorder="1">
      <alignment horizontal="left" vertical="center" wrapText="1"/>
    </xf>
    <xf fontId="0" fillId="0" borderId="0" numFmtId="0" xfId="0" applyFont="1">
      <alignment horizontal="left" vertical="top" wrapText="1"/>
    </xf>
    <xf fontId="22" fillId="34" borderId="37" numFmtId="0" xfId="0" applyFont="1" applyFill="1" applyBorder="1">
      <alignment horizontal="left" vertical="center" wrapText="1"/>
    </xf>
    <xf fontId="22" fillId="34" borderId="19" numFmtId="0" xfId="0" applyFont="1" applyFill="1" applyBorder="1">
      <alignment horizontal="left" vertical="center" wrapText="1"/>
    </xf>
    <xf fontId="22" fillId="34" borderId="20" numFmtId="0" xfId="0" applyFont="1" applyFill="1" applyBorder="1">
      <alignment horizontal="left" vertical="center" wrapText="1"/>
    </xf>
    <xf fontId="22" fillId="34" borderId="12" numFmtId="0" xfId="0" applyFont="1" applyFill="1" applyBorder="1">
      <alignment horizontal="left" vertical="center" wrapText="1"/>
    </xf>
    <xf fontId="47" fillId="0" borderId="12" numFmtId="0" xfId="0" applyFont="1" applyBorder="1">
      <alignment horizontal="left" vertical="center" wrapText="1"/>
    </xf>
    <xf fontId="22" fillId="40" borderId="12" numFmtId="0" xfId="0" applyFont="1" applyFill="1" applyBorder="1">
      <alignment horizontal="left" vertical="center" wrapText="1"/>
    </xf>
    <xf fontId="0" fillId="39" borderId="23" numFmtId="179" xfId="0" applyNumberFormat="1" applyFont="1" applyFill="1" applyBorder="1">
      <alignment horizontal="center" vertical="center" wrapText="1"/>
      <protection locked="0"/>
    </xf>
    <xf fontId="22" fillId="0" borderId="19" numFmtId="0" xfId="0" applyFont="1" applyBorder="1">
      <alignment horizontal="left" indent="1" vertical="center" wrapText="1"/>
    </xf>
    <xf fontId="22" fillId="40" borderId="20" numFmtId="0" xfId="0" applyFont="1" applyFill="1" applyBorder="1">
      <alignment horizontal="left" vertical="center" wrapText="1"/>
    </xf>
    <xf fontId="0" fillId="39" borderId="12" numFmtId="49" xfId="0" applyNumberFormat="1" applyFont="1" applyFill="1" applyBorder="1">
      <alignment horizontal="center" vertical="center" wrapText="1"/>
      <protection locked="0"/>
    </xf>
    <xf fontId="22" fillId="0" borderId="12" numFmtId="0" xfId="0" applyFont="1" applyBorder="1">
      <alignment horizontal="center" vertical="center"/>
    </xf>
    <xf fontId="22" fillId="0" borderId="14" numFmtId="0" xfId="0" applyFont="1" applyBorder="1">
      <alignment horizontal="center" vertical="center"/>
    </xf>
    <xf fontId="22" fillId="0" borderId="12" numFmtId="0" xfId="0" applyFont="1" applyBorder="1">
      <alignment horizontal="center" vertical="center" wrapText="1"/>
    </xf>
    <xf fontId="22" fillId="0" borderId="19" numFmtId="0" xfId="0" applyFont="1" applyBorder="1">
      <alignment horizontal="center" vertical="center" wrapText="1"/>
    </xf>
    <xf fontId="22" fillId="0" borderId="20" numFmtId="0" xfId="0" applyFont="1" applyBorder="1">
      <alignment horizontal="center" vertical="center" wrapText="1"/>
    </xf>
    <xf fontId="22" fillId="0" borderId="27" numFmtId="0" xfId="0" applyFont="1" applyBorder="1">
      <alignment horizontal="center" vertical="center" wrapText="1"/>
    </xf>
    <xf fontId="22" fillId="0" borderId="29" numFmtId="0" xfId="0" applyFont="1" applyBorder="1">
      <alignment horizontal="center" vertical="center" wrapText="1"/>
    </xf>
    <xf fontId="0" fillId="0" borderId="17" numFmtId="0" xfId="0" applyFont="1" applyBorder="1">
      <alignment horizontal="center" vertical="center" wrapText="1"/>
    </xf>
    <xf fontId="0" fillId="0" borderId="36" numFmtId="0" xfId="0" applyFont="1" applyBorder="1">
      <alignment horizontal="center" vertical="center" wrapText="1"/>
    </xf>
    <xf fontId="0" fillId="0" borderId="23" numFmtId="0" xfId="0" applyFont="1" applyBorder="1">
      <alignment horizontal="center" vertical="center" wrapText="1"/>
    </xf>
    <xf fontId="0" fillId="0" borderId="15" numFmtId="0" xfId="0" applyFont="1" applyBorder="1">
      <alignment horizontal="center" vertical="center" wrapText="1"/>
    </xf>
    <xf fontId="0" fillId="0" borderId="37" numFmtId="0" xfId="0" applyFont="1" applyBorder="1">
      <alignment horizontal="center" vertical="center" wrapText="1"/>
    </xf>
    <xf fontId="0" fillId="0" borderId="20" numFmtId="0" xfId="0" applyFont="1" applyBorder="1">
      <alignment horizontal="center" vertical="center" wrapText="1"/>
    </xf>
    <xf fontId="0" fillId="0" borderId="30" numFmtId="0" xfId="0" applyFont="1" applyBorder="1">
      <alignment horizontal="center" vertical="center" wrapText="1"/>
    </xf>
    <xf fontId="0" fillId="0" borderId="29" numFmtId="0" xfId="0" applyFont="1" applyBorder="1">
      <alignment horizontal="center" vertical="center" wrapText="1"/>
    </xf>
    <xf fontId="22" fillId="0" borderId="22" numFmtId="0" xfId="0" applyFont="1" applyBorder="1">
      <alignment horizontal="center" vertical="center" wrapText="1"/>
    </xf>
    <xf fontId="36"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0" fillId="35" borderId="37" numFmtId="0" xfId="0" applyFont="1" applyFill="1" applyBorder="1">
      <alignment horizontal="center" vertical="center" wrapText="1"/>
    </xf>
    <xf fontId="0" fillId="35" borderId="20" numFmtId="0" xfId="0" applyFont="1" applyFill="1" applyBorder="1">
      <alignment horizontal="center" vertical="center" wrapText="1"/>
    </xf>
    <xf fontId="0" fillId="35" borderId="22" numFmtId="0" xfId="0" applyFont="1" applyFill="1" applyBorder="1">
      <alignment horizontal="center" vertical="center" wrapText="1"/>
    </xf>
    <xf fontId="0" fillId="35" borderId="0" numFmtId="0" xfId="0" applyFont="1" applyFill="1">
      <alignment horizontal="center" vertical="center" wrapText="1"/>
    </xf>
    <xf fontId="0" fillId="35" borderId="24" numFmtId="0" xfId="0" applyFont="1" applyFill="1" applyBorder="1">
      <alignment horizontal="center" vertical="center" wrapText="1"/>
    </xf>
    <xf fontId="0" fillId="35" borderId="30" numFmtId="0" xfId="0" applyFont="1" applyFill="1" applyBorder="1">
      <alignment horizontal="center" vertical="center" wrapText="1"/>
    </xf>
    <xf fontId="0" fillId="35" borderId="27" numFmtId="0" xfId="0" applyFont="1" applyFill="1" applyBorder="1">
      <alignment horizontal="center" vertical="center" wrapText="1"/>
    </xf>
    <xf fontId="0" fillId="35" borderId="29" numFmtId="0" xfId="0" applyFont="1" applyFill="1" applyBorder="1">
      <alignment horizontal="center" vertical="center" wrapText="1"/>
    </xf>
    <xf fontId="22" fillId="35" borderId="37" numFmtId="0" xfId="0" applyFont="1" applyFill="1" applyBorder="1">
      <alignment horizontal="center" vertical="center" wrapText="1"/>
    </xf>
    <xf fontId="22" fillId="35" borderId="22" numFmtId="0" xfId="0" applyFont="1" applyFill="1" applyBorder="1">
      <alignment horizontal="center" vertical="center" wrapText="1"/>
    </xf>
    <xf fontId="22" fillId="35" borderId="30" numFmtId="0" xfId="0" applyFont="1" applyFill="1" applyBorder="1">
      <alignment horizontal="center" vertical="center" wrapText="1"/>
    </xf>
    <xf fontId="22" fillId="39" borderId="12" numFmtId="0" xfId="0" applyFont="1" applyFill="1" applyBorder="1">
      <alignment horizontal="center" vertical="center" wrapText="1"/>
      <protection locked="0"/>
    </xf>
    <xf fontId="22" fillId="34" borderId="12" numFmtId="0" xfId="0" applyFont="1" applyFill="1" applyBorder="1">
      <alignment horizontal="center" vertical="center" wrapText="1"/>
    </xf>
    <xf fontId="22" fillId="35" borderId="17" numFmtId="0" xfId="0" applyFont="1" applyFill="1" applyBorder="1">
      <alignment horizontal="left" vertical="center" wrapText="1"/>
    </xf>
    <xf fontId="22" fillId="35" borderId="36" numFmtId="0" xfId="0" applyFont="1" applyFill="1" applyBorder="1">
      <alignment horizontal="left" vertical="center" wrapText="1"/>
    </xf>
    <xf fontId="22" fillId="35" borderId="23" numFmtId="0" xfId="0" applyFont="1" applyFill="1" applyBorder="1">
      <alignment horizontal="left" vertical="center" wrapText="1"/>
    </xf>
    <xf fontId="22" fillId="39" borderId="17" numFmtId="49" xfId="0" applyNumberFormat="1" applyFont="1" applyFill="1" applyBorder="1">
      <alignment horizontal="left" indent="6" vertical="center" wrapText="1"/>
      <protection locked="0"/>
    </xf>
    <xf fontId="22" fillId="39" borderId="36" numFmtId="49" xfId="0" applyNumberFormat="1" applyFont="1" applyFill="1" applyBorder="1">
      <alignment horizontal="left" indent="6" vertical="center" wrapText="1"/>
      <protection locked="0"/>
    </xf>
    <xf fontId="22" fillId="39" borderId="23" numFmtId="49" xfId="0" applyNumberFormat="1" applyFont="1" applyFill="1" applyBorder="1">
      <alignment horizontal="left" indent="6" vertical="center" wrapText="1"/>
      <protection locked="0"/>
    </xf>
    <xf fontId="47" fillId="0" borderId="24" numFmtId="0" xfId="0" applyFont="1" applyBorder="1">
      <alignment horizontal="center" vertical="top" wrapText="1"/>
    </xf>
    <xf fontId="22" fillId="0" borderId="12" numFmtId="49" xfId="0" applyNumberFormat="1" applyFont="1" applyBorder="1">
      <alignment horizontal="left" indent="1" vertical="center" wrapText="1"/>
    </xf>
    <xf fontId="44" fillId="0" borderId="12" numFmtId="0" xfId="0" applyFont="1" applyBorder="1">
      <alignment horizontal="left" vertical="top" wrapText="1"/>
    </xf>
    <xf fontId="22" fillId="36" borderId="14" numFmtId="0" xfId="0" applyFont="1" applyFill="1" applyBorder="1">
      <alignment horizontal="left" vertical="center" wrapText="1"/>
      <protection locked="0"/>
    </xf>
    <xf fontId="22" fillId="36" borderId="15" numFmtId="0" xfId="0" applyFont="1" applyFill="1" applyBorder="1">
      <alignment horizontal="left" vertical="center" wrapText="1"/>
      <protection locked="0"/>
    </xf>
    <xf fontId="22" fillId="36" borderId="13" numFmtId="0" xfId="0" applyFont="1" applyFill="1" applyBorder="1">
      <alignment horizontal="left" vertical="center" wrapText="1"/>
      <protection locked="0"/>
    </xf>
    <xf fontId="22" fillId="36" borderId="14" numFmtId="49" xfId="0" applyNumberFormat="1" applyFont="1" applyFill="1" applyBorder="1">
      <alignment horizontal="left" vertical="center" wrapText="1"/>
      <protection locked="0"/>
    </xf>
    <xf fontId="22" fillId="36" borderId="15" numFmtId="49" xfId="0" applyNumberFormat="1" applyFont="1" applyFill="1" applyBorder="1">
      <alignment horizontal="left" vertical="center" wrapText="1"/>
      <protection locked="0"/>
    </xf>
    <xf fontId="22" fillId="36" borderId="13" numFmtId="49" xfId="0" applyNumberFormat="1" applyFont="1" applyFill="1" applyBorder="1">
      <alignment horizontal="left" vertical="center" wrapText="1"/>
      <protection locked="0"/>
    </xf>
    <xf fontId="22" fillId="39" borderId="13" numFmtId="0" xfId="0" applyFont="1" applyFill="1" applyBorder="1">
      <alignment horizontal="center" vertical="center" wrapText="1"/>
      <protection locked="0"/>
    </xf>
    <xf fontId="22" fillId="39" borderId="12" numFmtId="4" xfId="0" applyNumberFormat="1" applyFont="1" applyFill="1" applyBorder="1">
      <alignment horizontal="center" vertical="center" wrapText="1"/>
      <protection locked="0"/>
    </xf>
    <xf fontId="22" fillId="40" borderId="20" numFmtId="49" xfId="0" applyNumberFormat="1" applyFont="1" applyFill="1" applyBorder="1">
      <alignment horizontal="center" vertical="center" wrapText="1"/>
    </xf>
    <xf fontId="22" fillId="40" borderId="29" numFmtId="49" xfId="0" applyNumberFormat="1" applyFont="1" applyFill="1" applyBorder="1">
      <alignment horizontal="center" vertical="center" wrapText="1"/>
    </xf>
    <xf fontId="22" fillId="36" borderId="17" numFmtId="49" xfId="0" applyNumberFormat="1" applyFont="1" applyFill="1" applyBorder="1">
      <alignment horizontal="left" indent="6" vertical="center" wrapText="1"/>
      <protection locked="0"/>
    </xf>
    <xf fontId="22" fillId="36" borderId="36" numFmtId="49" xfId="0" applyNumberFormat="1" applyFont="1" applyFill="1" applyBorder="1">
      <alignment horizontal="left" indent="6" vertical="center" wrapText="1"/>
      <protection locked="0"/>
    </xf>
    <xf fontId="22" fillId="36" borderId="23" numFmtId="49" xfId="0" applyNumberFormat="1" applyFont="1" applyFill="1" applyBorder="1">
      <alignment horizontal="left" indent="6" vertical="center" wrapText="1"/>
      <protection locked="0"/>
    </xf>
    <xf fontId="22" fillId="39" borderId="12" numFmtId="4" xfId="0" applyNumberFormat="1" applyFont="1" applyFill="1" applyBorder="1">
      <alignment horizontal="left" indent="1" vertical="center" wrapText="1"/>
      <protection locked="0"/>
    </xf>
    <xf fontId="47" fillId="0" borderId="19" numFmtId="0" xfId="0" applyFont="1" applyBorder="1">
      <alignment horizontal="left" vertical="center" wrapText="1"/>
    </xf>
    <xf fontId="22" fillId="35" borderId="12" numFmtId="49" xfId="59" applyNumberFormat="1" applyFont="1" applyFill="1" applyBorder="1">
      <alignment horizontal="center" vertical="center" wrapText="1"/>
    </xf>
    <xf fontId="22" fillId="0" borderId="12" numFmtId="0" xfId="0" applyFont="1" applyBorder="1">
      <alignment horizontal="center" vertical="center" wrapText="1"/>
    </xf>
    <xf fontId="22" fillId="0" borderId="15" numFmtId="0" xfId="0" applyFont="1" applyBorder="1">
      <alignment horizontal="right" indent="1" vertical="center" wrapText="1"/>
    </xf>
    <xf fontId="22" fillId="0" borderId="13" numFmtId="0" xfId="0" applyFont="1" applyBorder="1">
      <alignment horizontal="right" indent="1" vertical="center" wrapText="1"/>
    </xf>
    <xf fontId="22" fillId="0" borderId="14" numFmtId="0" xfId="0" applyFont="1" applyBorder="1">
      <alignment horizontal="right" vertical="center" wrapText="1"/>
    </xf>
    <xf fontId="22" fillId="0" borderId="15" numFmtId="0" xfId="0" applyFont="1" applyBorder="1">
      <alignment horizontal="right" vertical="center" wrapText="1"/>
    </xf>
    <xf fontId="91" fillId="46" borderId="0" numFmtId="49" xfId="0" applyNumberFormat="1" applyFont="1" applyFill="1">
      <alignment horizontal="center" textRotation="90" vertical="center" wrapText="1"/>
    </xf>
    <xf fontId="72" fillId="0" borderId="0" numFmtId="0" xfId="0" applyFont="1">
      <alignment horizontal="center" vertical="center" wrapText="1"/>
    </xf>
    <xf fontId="91" fillId="46" borderId="0" numFmtId="49" xfId="0" applyNumberFormat="1" applyFont="1" applyFill="1">
      <alignment horizontal="center" textRotation="90" vertical="center" wrapText="1"/>
    </xf>
    <xf fontId="47" fillId="0" borderId="0" numFmtId="0" xfId="0" applyFont="1">
      <alignment horizontal="center" vertical="center" wrapText="1"/>
    </xf>
    <xf fontId="46" fillId="0" borderId="0" numFmtId="0" xfId="0" applyFont="1">
      <alignment horizontal="center" vertical="top"/>
    </xf>
    <xf fontId="22" fillId="0" borderId="23" numFmtId="0" xfId="0" applyFont="1" applyBorder="1">
      <alignment horizontal="left" vertical="center" wrapText="1"/>
    </xf>
    <xf fontId="0" fillId="0" borderId="14" numFmtId="0" xfId="0" applyFont="1" applyBorder="1">
      <alignment horizontal="right" indent="1" vertical="center" wrapText="1"/>
    </xf>
    <xf fontId="0" fillId="0" borderId="15" numFmtId="0" xfId="0" applyFont="1" applyBorder="1">
      <alignment horizontal="right" indent="1" vertical="center" wrapText="1"/>
    </xf>
    <xf fontId="0" fillId="0" borderId="13" numFmtId="0" xfId="0" applyFont="1" applyBorder="1">
      <alignment horizontal="right" indent="1" vertical="center" wrapText="1"/>
    </xf>
    <xf fontId="47" fillId="0" borderId="17" numFmtId="49" xfId="0" applyNumberFormat="1" applyFont="1" applyBorder="1">
      <alignment horizontal="center" vertical="center" wrapText="1"/>
    </xf>
    <xf fontId="47" fillId="0" borderId="36" numFmtId="49" xfId="0" applyNumberFormat="1" applyFont="1" applyBorder="1">
      <alignment horizontal="center" vertical="center" wrapText="1"/>
    </xf>
    <xf fontId="47" fillId="0" borderId="23" numFmtId="49" xfId="0" applyNumberFormat="1" applyFont="1" applyBorder="1">
      <alignment horizontal="center" vertical="center" wrapText="1"/>
    </xf>
    <xf fontId="0" fillId="34" borderId="12" numFmtId="0" xfId="0" applyFont="1" applyFill="1" applyBorder="1">
      <alignment horizontal="left" indent="1" vertical="center" wrapText="1"/>
    </xf>
    <xf fontId="44" fillId="0" borderId="0" numFmtId="0" xfId="0" applyFont="1">
      <alignment horizontal="left" vertical="top" wrapText="1"/>
    </xf>
    <xf fontId="22" fillId="0" borderId="0" numFmtId="0" xfId="0" applyFont="1">
      <alignment horizontal="left" vertical="top" wrapText="1"/>
    </xf>
    <xf fontId="22" fillId="35" borderId="14" numFmtId="0" xfId="0" applyFont="1" applyFill="1" applyBorder="1">
      <alignment horizontal="center" vertical="center" wrapText="1"/>
    </xf>
    <xf fontId="22" fillId="35" borderId="15" numFmtId="0" xfId="0" applyFont="1" applyFill="1" applyBorder="1">
      <alignment horizontal="center" vertical="center" wrapText="1"/>
    </xf>
    <xf fontId="22" fillId="35" borderId="20" numFmtId="0" xfId="0" applyFont="1" applyFill="1" applyBorder="1">
      <alignment horizontal="center" vertical="center" wrapText="1"/>
    </xf>
    <xf fontId="22" fillId="35" borderId="12" numFmtId="0" xfId="0" applyFont="1" applyFill="1" applyBorder="1">
      <alignment horizontal="center" vertical="center"/>
    </xf>
    <xf fontId="47" fillId="0" borderId="15" numFmtId="0" xfId="0" applyFont="1" applyBorder="1">
      <alignment horizontal="right" indent="1" vertical="center" wrapText="1"/>
    </xf>
    <xf fontId="47" fillId="0" borderId="13" numFmtId="0" xfId="0" applyFont="1" applyBorder="1">
      <alignment horizontal="right" indent="1" vertical="center" wrapText="1"/>
    </xf>
    <xf fontId="22" fillId="57" borderId="0" numFmtId="49" xfId="0" applyNumberFormat="1" applyFont="1" applyFill="1">
      <alignment horizontal="center" textRotation="90" vertical="center" wrapText="1"/>
    </xf>
    <xf fontId="22" fillId="34" borderId="14" numFmtId="0" xfId="0" applyFont="1" applyFill="1" applyBorder="1">
      <alignment horizontal="left" vertical="top" wrapText="1"/>
    </xf>
    <xf fontId="22" fillId="34" borderId="13" numFmtId="0" xfId="0" applyFont="1" applyFill="1" applyBorder="1">
      <alignment horizontal="left" vertical="top" wrapText="1"/>
    </xf>
    <xf fontId="22" fillId="34" borderId="14" numFmtId="0" xfId="0" applyFont="1" applyFill="1" applyBorder="1">
      <alignment horizontal="left" indent="1" vertical="top" wrapText="1"/>
    </xf>
    <xf fontId="22" fillId="34" borderId="13" numFmtId="0" xfId="0" applyFont="1" applyFill="1" applyBorder="1">
      <alignment horizontal="left" indent="1" vertical="top" wrapText="1"/>
    </xf>
    <xf fontId="22" fillId="0" borderId="0" numFmtId="49" xfId="0" applyNumberFormat="1" applyFont="1">
      <alignment vertical="center" wrapText="1"/>
    </xf>
    <xf fontId="35" fillId="0" borderId="24" numFmtId="0" xfId="0" applyFont="1" applyBorder="1">
      <alignment horizontal="center" vertical="center" wrapText="1"/>
    </xf>
    <xf fontId="0" fillId="35" borderId="14" numFmtId="0" xfId="0" applyFont="1" applyFill="1" applyBorder="1">
      <alignment horizontal="center" vertical="center" wrapText="1"/>
    </xf>
    <xf fontId="0" fillId="35" borderId="15" numFmtId="0" xfId="0" applyFont="1" applyFill="1" applyBorder="1">
      <alignment horizontal="center" vertical="center" wrapText="1"/>
    </xf>
    <xf fontId="0" fillId="35" borderId="13" numFmtId="0" xfId="0" applyFont="1" applyFill="1" applyBorder="1">
      <alignment horizontal="center" vertical="center" wrapText="1"/>
    </xf>
    <xf fontId="0" fillId="0" borderId="12" numFmtId="49" xfId="0" applyNumberFormat="1" applyFont="1" applyBorder="1">
      <alignment horizontal="center" vertical="center" wrapText="1"/>
    </xf>
    <xf fontId="0" fillId="0" borderId="12" numFmtId="0" xfId="0" applyFont="1" applyBorder="1">
      <alignment horizontal="left" indent="1" vertical="center" wrapText="1"/>
    </xf>
    <xf fontId="22" fillId="0" borderId="12" numFmtId="49" xfId="0" applyNumberFormat="1" applyFont="1" applyBorder="1">
      <alignment horizontal="left" vertical="center" wrapText="1"/>
    </xf>
    <xf fontId="22" fillId="0" borderId="14" numFmtId="49" xfId="0" applyNumberFormat="1" applyFont="1" applyBorder="1">
      <alignment horizontal="center" vertical="center" wrapText="1"/>
    </xf>
    <xf fontId="47" fillId="0" borderId="12" numFmtId="49" xfId="0" applyNumberFormat="1" applyFont="1" applyBorder="1">
      <alignment horizontal="center" vertical="center" wrapText="1"/>
    </xf>
    <xf fontId="22" fillId="0" borderId="0" numFmtId="0" xfId="0" applyFont="1">
      <alignment horizontal="left" vertical="center" wrapText="1"/>
    </xf>
    <xf fontId="22" fillId="35" borderId="12" numFmtId="0" xfId="0" applyFont="1" applyFill="1" applyBorder="1">
      <alignment horizontal="center" vertical="center" wrapText="1"/>
    </xf>
    <xf fontId="22" fillId="35" borderId="37" numFmtId="0" xfId="0" applyFont="1" applyFill="1" applyBorder="1">
      <alignment horizontal="center" vertical="center" wrapText="1"/>
    </xf>
    <xf fontId="22" fillId="35" borderId="20" numFmtId="0" xfId="0" applyFont="1" applyFill="1" applyBorder="1">
      <alignment horizontal="center" vertical="center" wrapText="1"/>
    </xf>
    <xf fontId="22" fillId="35" borderId="22" numFmtId="0" xfId="0" applyFont="1" applyFill="1" applyBorder="1">
      <alignment horizontal="center" vertical="center" wrapText="1"/>
    </xf>
    <xf fontId="22" fillId="35" borderId="24" numFmtId="0" xfId="0" applyFont="1" applyFill="1" applyBorder="1">
      <alignment horizontal="center" vertical="center" wrapText="1"/>
    </xf>
    <xf fontId="22" fillId="35" borderId="30" numFmtId="0" xfId="0" applyFont="1" applyFill="1" applyBorder="1">
      <alignment horizontal="center" vertical="center" wrapText="1"/>
    </xf>
    <xf fontId="22" fillId="35" borderId="29" numFmtId="0" xfId="0" applyFont="1" applyFill="1" applyBorder="1">
      <alignment horizontal="center" vertical="center" wrapText="1"/>
    </xf>
    <xf fontId="22" fillId="0" borderId="60" numFmtId="0" xfId="0" applyFont="1" applyBorder="1">
      <alignment horizontal="center" vertical="center"/>
    </xf>
    <xf fontId="22" fillId="0" borderId="61" numFmtId="0" xfId="0" applyFont="1" applyBorder="1">
      <alignment horizontal="center" vertical="center"/>
    </xf>
    <xf fontId="22" fillId="0" borderId="67" numFmtId="0" xfId="0" applyFont="1" applyBorder="1">
      <alignment horizontal="center" vertical="center"/>
    </xf>
    <xf fontId="0" fillId="0" borderId="12" numFmtId="0" xfId="0" applyFont="1" applyBorder="1">
      <alignment horizontal="center" vertical="center" wrapText="1"/>
    </xf>
    <xf fontId="22" fillId="0" borderId="73" numFmtId="0" xfId="0" applyFont="1" applyBorder="1">
      <alignment horizontal="center" vertical="center"/>
    </xf>
    <xf fontId="22" fillId="0" borderId="43" numFmtId="0" xfId="0" applyFont="1" applyBorder="1">
      <alignment horizontal="center" vertical="center"/>
    </xf>
    <xf fontId="0" fillId="0" borderId="12" numFmtId="49" xfId="0" applyNumberFormat="1" applyFont="1" applyBorder="1">
      <alignment vertical="center" wrapText="1"/>
    </xf>
    <xf fontId="0" fillId="0" borderId="12" numFmtId="49" xfId="0" applyNumberFormat="1" applyFont="1" applyBorder="1">
      <alignment horizontal="left" vertical="center" wrapText="1"/>
    </xf>
    <xf fontId="0" fillId="0" borderId="17" numFmtId="49" xfId="0" applyNumberFormat="1" applyFont="1" applyBorder="1">
      <alignment horizontal="center" vertical="center" wrapText="1"/>
    </xf>
    <xf fontId="0" fillId="0" borderId="36" numFmtId="49" xfId="0" applyNumberFormat="1" applyFont="1" applyBorder="1">
      <alignment horizontal="center" vertical="center" wrapText="1"/>
    </xf>
    <xf fontId="0" fillId="0" borderId="23" numFmtId="49" xfId="0" applyNumberFormat="1" applyFont="1" applyBorder="1">
      <alignment horizontal="center" vertical="center" wrapText="1"/>
    </xf>
    <xf fontId="0" fillId="0" borderId="12" numFmtId="49" xfId="0" applyNumberFormat="1" applyFont="1" applyBorder="1">
      <alignment horizontal="center" vertical="center" wrapText="1"/>
    </xf>
    <xf fontId="0" fillId="34" borderId="12" numFmtId="0" xfId="0" applyFont="1" applyFill="1" applyBorder="1">
      <alignment horizontal="center" vertical="center" wrapText="1"/>
    </xf>
    <xf fontId="0" fillId="0" borderId="12" numFmtId="49" xfId="0" applyNumberFormat="1" applyFont="1" applyBorder="1">
      <alignment horizontal="center" vertical="center"/>
    </xf>
    <xf fontId="22" fillId="0" borderId="14" numFmtId="49" xfId="0" applyNumberFormat="1" applyFont="1" applyBorder="1">
      <alignment horizontal="center" vertical="center" wrapText="1"/>
    </xf>
    <xf fontId="22" fillId="0" borderId="15" numFmtId="49" xfId="0" applyNumberFormat="1" applyFont="1" applyBorder="1">
      <alignment horizontal="center" vertical="center" wrapText="1"/>
    </xf>
    <xf fontId="22" fillId="0" borderId="13" numFmtId="49" xfId="0" applyNumberFormat="1" applyFont="1" applyBorder="1">
      <alignment horizontal="center" vertical="center" wrapText="1"/>
    </xf>
    <xf fontId="22" fillId="0" borderId="20" numFmtId="0" xfId="0" applyFont="1" applyBorder="1">
      <alignment horizontal="left" vertical="top" wrapText="1"/>
    </xf>
    <xf fontId="22" fillId="35" borderId="13" numFmtId="0" xfId="0" applyFont="1" applyFill="1" applyBorder="1">
      <alignment horizontal="center" vertical="center" wrapText="1"/>
    </xf>
    <xf fontId="22" fillId="41" borderId="12" numFmtId="0" xfId="0" applyFont="1" applyFill="1" applyBorder="1">
      <alignment horizontal="center" vertical="center" wrapText="1"/>
    </xf>
    <xf fontId="22" fillId="35" borderId="29" numFmtId="0" xfId="0" applyFont="1" applyFill="1" applyBorder="1">
      <alignment horizontal="center" vertical="center" wrapText="1"/>
    </xf>
    <xf fontId="22" fillId="41" borderId="13" numFmtId="0" xfId="0" applyFont="1" applyFill="1" applyBorder="1">
      <alignment horizontal="center" vertical="center" wrapText="1"/>
    </xf>
    <xf fontId="22" fillId="35" borderId="12" numFmtId="49" xfId="0" applyNumberFormat="1" applyFont="1" applyFill="1" applyBorder="1">
      <alignment horizontal="center" vertical="center" wrapText="1"/>
    </xf>
    <xf fontId="22" fillId="41" borderId="12" numFmtId="49" xfId="0" applyNumberFormat="1" applyFont="1" applyFill="1" applyBorder="1">
      <alignment horizontal="center" vertical="center" wrapText="1"/>
    </xf>
    <xf fontId="46" fillId="47" borderId="14" numFmtId="49" xfId="0" applyNumberFormat="1" applyFont="1" applyFill="1" applyBorder="1">
      <alignment horizontal="center" vertical="center" wrapText="1"/>
    </xf>
    <xf fontId="46" fillId="47" borderId="15" numFmtId="49" xfId="0" applyNumberFormat="1" applyFont="1" applyFill="1" applyBorder="1">
      <alignment horizontal="center" vertical="center" wrapText="1"/>
    </xf>
    <xf fontId="46" fillId="47" borderId="13" numFmtId="49" xfId="0" applyNumberFormat="1" applyFont="1" applyFill="1" applyBorder="1">
      <alignment horizontal="center" vertical="center" wrapText="1"/>
    </xf>
    <xf fontId="46" fillId="50" borderId="14" numFmtId="49" xfId="0" applyNumberFormat="1" applyFont="1" applyFill="1" applyBorder="1">
      <alignment horizontal="center" vertical="center" wrapText="1"/>
    </xf>
    <xf fontId="46" fillId="50" borderId="15" numFmtId="49" xfId="0" applyNumberFormat="1" applyFont="1" applyFill="1" applyBorder="1">
      <alignment horizontal="center" vertical="center" wrapText="1"/>
    </xf>
    <xf fontId="46" fillId="50" borderId="13" numFmtId="49" xfId="0" applyNumberFormat="1" applyFont="1" applyFill="1" applyBorder="1">
      <alignment horizontal="center" vertical="center" wrapText="1"/>
    </xf>
    <xf fontId="22" fillId="51" borderId="14" numFmtId="49" xfId="0" applyNumberFormat="1" applyFont="1" applyFill="1" applyBorder="1">
      <alignment horizontal="center" vertical="center" wrapText="1"/>
    </xf>
    <xf fontId="22" fillId="51" borderId="15" numFmtId="49" xfId="0" applyNumberFormat="1" applyFont="1" applyFill="1" applyBorder="1">
      <alignment horizontal="center" vertical="center" wrapText="1"/>
    </xf>
    <xf fontId="22" fillId="41" borderId="19" numFmtId="49" xfId="0" applyNumberFormat="1" applyFont="1" applyFill="1" applyBorder="1">
      <alignment horizontal="center" vertical="center" wrapText="1"/>
    </xf>
    <xf fontId="22" fillId="41" borderId="0" numFmtId="49" xfId="0" applyNumberFormat="1" applyFont="1" applyFill="1">
      <alignment horizontal="center" vertical="center" wrapText="1"/>
    </xf>
    <xf fontId="22" fillId="41" borderId="27" numFmtId="49" xfId="0" applyNumberFormat="1" applyFont="1" applyFill="1" applyBorder="1">
      <alignment horizontal="center" vertical="center" wrapText="1"/>
    </xf>
    <xf fontId="22" fillId="49" borderId="14" numFmtId="0" xfId="0" applyFont="1" applyFill="1" applyBorder="1">
      <alignment horizontal="center" vertical="center" wrapText="1"/>
    </xf>
    <xf fontId="22" fillId="49" borderId="15" numFmtId="0" xfId="0" applyFont="1" applyFill="1" applyBorder="1">
      <alignment horizontal="center" vertical="center" wrapText="1"/>
    </xf>
    <xf fontId="22" fillId="49" borderId="13" numFmtId="0" xfId="0" applyFont="1" applyFill="1" applyBorder="1">
      <alignment horizontal="center" vertical="center" wrapText="1"/>
    </xf>
    <xf fontId="22" fillId="41" borderId="14" numFmtId="0" xfId="0" applyFont="1" applyFill="1" applyBorder="1">
      <alignment horizontal="center" vertical="center" wrapText="1"/>
    </xf>
    <xf fontId="22" fillId="0" borderId="20" numFmtId="0" xfId="0" applyFont="1" applyBorder="1">
      <alignment horizontal="left" indent="1" vertical="top" wrapText="1"/>
    </xf>
    <xf fontId="22" fillId="0" borderId="17" numFmtId="0" xfId="0" applyFont="1" applyBorder="1">
      <alignment horizontal="left" indent="1" vertical="top" wrapText="1"/>
    </xf>
    <xf fontId="22" fillId="0" borderId="37" numFmtId="0" xfId="0" applyFont="1" applyBorder="1">
      <alignment horizontal="left" indent="1" vertical="top" wrapText="1"/>
    </xf>
    <xf fontId="22" fillId="0" borderId="29" numFmtId="0" xfId="0" applyFont="1" applyBorder="1">
      <alignment horizontal="left" indent="1" vertical="center" wrapText="1"/>
    </xf>
    <xf fontId="22" fillId="0" borderId="23" numFmtId="0" xfId="0" applyFont="1" applyBorder="1">
      <alignment horizontal="left" indent="1" vertical="center" wrapText="1"/>
    </xf>
    <xf fontId="22" fillId="0" borderId="30" numFmtId="0" xfId="0" applyFont="1" applyBorder="1">
      <alignment horizontal="left" indent="1" vertical="center" wrapText="1"/>
    </xf>
    <xf fontId="0" fillId="0" borderId="12" numFmtId="0" xfId="0" applyFont="1" applyBorder="1">
      <alignment horizontal="left" vertical="center" wrapText="1"/>
    </xf>
    <xf fontId="0" fillId="0" borderId="12" numFmtId="0" xfId="0" applyFont="1" applyBorder="1">
      <alignment horizontal="left" vertical="center" wrapText="1"/>
    </xf>
    <xf fontId="38" fillId="35" borderId="24" numFmtId="0" xfId="0" applyFont="1" applyFill="1" applyBorder="1">
      <alignment horizontal="center" vertical="top" wrapText="1"/>
    </xf>
    <xf fontId="0" fillId="35" borderId="23" numFmtId="49" xfId="0" applyNumberFormat="1" applyFont="1" applyFill="1" applyBorder="1">
      <alignment horizontal="center" vertical="center" wrapText="1"/>
    </xf>
    <xf fontId="0" fillId="34" borderId="23" numFmtId="0" xfId="0" applyFont="1" applyFill="1" applyBorder="1">
      <alignment horizontal="left" indent="1" vertical="center" wrapText="1"/>
    </xf>
    <xf fontId="22" fillId="0" borderId="15" numFmtId="0" xfId="0" applyFont="1" applyBorder="1">
      <alignment horizontal="left" indent="1" vertical="top" wrapText="1"/>
    </xf>
    <xf fontId="38" fillId="35" borderId="0" numFmtId="0" xfId="0" applyFont="1" applyFill="1">
      <alignment horizontal="center" vertical="top" wrapText="1"/>
    </xf>
    <xf fontId="35" fillId="35" borderId="19" numFmtId="49" xfId="0" applyNumberFormat="1" applyFont="1" applyFill="1" applyBorder="1">
      <alignment horizontal="center" vertical="center" wrapText="1"/>
    </xf>
    <xf fontId="0" fillId="0" borderId="17" numFmtId="0" xfId="0" applyFont="1" applyBorder="1">
      <alignment horizontal="left" vertical="center" wrapText="1"/>
    </xf>
    <xf fontId="0" fillId="0" borderId="17" numFmtId="0" xfId="0" applyFont="1" applyBorder="1">
      <alignment horizontal="left" vertical="center" wrapText="1"/>
    </xf>
    <xf fontId="0" fillId="34" borderId="14" numFmtId="0" xfId="0" applyFont="1" applyFill="1" applyBorder="1">
      <alignment horizontal="left" indent="1" vertical="center" wrapText="1"/>
    </xf>
    <xf fontId="0" fillId="35" borderId="17" numFmtId="0" xfId="0" applyFont="1" applyFill="1" applyBorder="1">
      <alignment horizontal="left" vertical="top" wrapText="1"/>
    </xf>
    <xf fontId="0" fillId="35" borderId="36" numFmtId="0" xfId="0" applyFont="1" applyFill="1" applyBorder="1">
      <alignment horizontal="left" vertical="top" wrapText="1"/>
    </xf>
    <xf fontId="0" fillId="35" borderId="23" numFmtId="0" xfId="0" applyFont="1" applyFill="1" applyBorder="1">
      <alignment horizontal="left" vertical="top" wrapText="1"/>
    </xf>
    <xf fontId="22" fillId="0" borderId="17" numFmtId="4" xfId="0" applyNumberFormat="1" applyFont="1" applyBorder="1">
      <alignment horizontal="center" vertical="center" wrapText="1"/>
    </xf>
    <xf fontId="22" fillId="0" borderId="23" numFmtId="4" xfId="0" applyNumberFormat="1" applyFont="1" applyBorder="1">
      <alignment horizontal="center" vertical="center" wrapText="1"/>
    </xf>
    <xf fontId="22" fillId="0" borderId="36" numFmtId="4" xfId="0" applyNumberFormat="1" applyFont="1" applyBorder="1">
      <alignment horizontal="center" vertical="center" wrapText="1"/>
    </xf>
    <xf fontId="22" fillId="0" borderId="29" numFmtId="0" xfId="0" applyFont="1" applyBorder="1">
      <alignment horizontal="left" vertical="top" wrapText="1"/>
    </xf>
    <xf fontId="22" fillId="0" borderId="17" numFmtId="180" xfId="0" applyNumberFormat="1" applyFont="1" applyBorder="1">
      <alignment horizontal="center" vertical="center" wrapText="1"/>
    </xf>
    <xf fontId="22" fillId="0" borderId="23" numFmtId="180" xfId="0" applyNumberFormat="1" applyFont="1" applyBorder="1">
      <alignment horizontal="center" vertical="center" wrapText="1"/>
    </xf>
    <xf fontId="22" fillId="0" borderId="14" numFmtId="180" xfId="0" applyNumberFormat="1" applyFont="1" applyBorder="1">
      <alignment horizontal="center" vertical="center" wrapText="1"/>
    </xf>
    <xf fontId="22" fillId="0" borderId="15" numFmtId="180" xfId="0" applyNumberFormat="1" applyFont="1" applyBorder="1">
      <alignment horizontal="center" vertical="center" wrapText="1"/>
    </xf>
    <xf fontId="22" fillId="0" borderId="13" numFmtId="180" xfId="0" applyNumberFormat="1" applyFont="1" applyBorder="1">
      <alignment horizontal="center" vertical="center" wrapText="1"/>
    </xf>
    <xf fontId="22" fillId="40" borderId="12" numFmtId="14" xfId="0" applyNumberFormat="1" applyFont="1" applyFill="1" applyBorder="1">
      <alignment horizontal="left" vertical="center" wrapText="1"/>
    </xf>
    <xf fontId="22" fillId="40" borderId="14" numFmtId="49" xfId="0" applyNumberFormat="1" applyFont="1" applyFill="1" applyBorder="1">
      <alignment horizontal="left" vertical="center" wrapText="1"/>
    </xf>
    <xf fontId="22" fillId="40" borderId="12" numFmtId="49" xfId="0" applyNumberFormat="1" applyFont="1" applyFill="1" applyBorder="1">
      <alignment horizontal="left" vertical="center" wrapText="1"/>
    </xf>
    <xf fontId="22" fillId="34" borderId="29" numFmtId="0" xfId="0" applyFont="1" applyFill="1" applyBorder="1">
      <alignment horizontal="left" vertical="center" wrapText="1"/>
    </xf>
    <xf fontId="22" fillId="40" borderId="23" numFmtId="14" xfId="0" applyNumberFormat="1" applyFont="1" applyFill="1" applyBorder="1">
      <alignment horizontal="left" vertical="center" wrapText="1"/>
    </xf>
    <xf fontId="22" fillId="0" borderId="12" numFmtId="49" xfId="0" applyNumberFormat="1" applyFont="1" applyBorder="1">
      <alignment horizontal="left" vertical="top" wrapText="1"/>
    </xf>
    <xf fontId="127" fillId="0" borderId="12" numFmtId="49" xfId="0" applyNumberFormat="1" applyFont="1" applyBorder="1">
      <alignment horizontal="left" vertical="top" wrapText="1"/>
    </xf>
    <xf fontId="22" fillId="0" borderId="15" numFmtId="0" xfId="0" applyFont="1" applyBorder="1">
      <alignment horizontal="left" vertical="center" wrapText="1"/>
    </xf>
    <xf fontId="22" fillId="0" borderId="36" numFmtId="180" xfId="0" applyNumberFormat="1" applyFont="1" applyBorder="1">
      <alignment horizontal="center" vertical="center" wrapText="1"/>
    </xf>
    <xf fontId="22" fillId="0" borderId="12" numFmtId="180" xfId="0" applyNumberFormat="1" applyFont="1" applyBorder="1">
      <alignment horizontal="center" vertical="center" wrapText="1"/>
    </xf>
    <xf fontId="44" fillId="0" borderId="19" numFmtId="180" xfId="0" applyNumberFormat="1" applyFont="1" applyBorder="1">
      <alignment horizontal="center" vertical="center" wrapText="1"/>
    </xf>
    <xf fontId="22" fillId="40" borderId="30" numFmtId="49" xfId="0" applyNumberFormat="1" applyFont="1" applyFill="1" applyBorder="1">
      <alignment horizontal="left" vertical="center" wrapText="1"/>
    </xf>
    <xf fontId="22" fillId="40" borderId="23" numFmtId="49" xfId="0" applyNumberFormat="1" applyFont="1" applyFill="1" applyBorder="1">
      <alignment horizontal="left" vertical="center" wrapText="1"/>
    </xf>
    <xf fontId="22" fillId="0" borderId="0" numFmtId="49" xfId="0" applyNumberFormat="1" applyFont="1">
      <alignment horizontal="left" vertical="top" wrapText="1"/>
    </xf>
    <xf fontId="22" fillId="0" borderId="13" numFmtId="0" xfId="0" applyFont="1" applyBorder="1">
      <alignment horizontal="left" indent="1" vertical="center" wrapText="1"/>
    </xf>
    <xf fontId="22" fillId="0" borderId="14" numFmtId="0" xfId="0" applyFont="1" applyBorder="1">
      <alignment horizontal="left" indent="1" vertical="center" wrapText="1"/>
    </xf>
    <xf fontId="22" fillId="0" borderId="0" numFmtId="49" xfId="0" applyNumberFormat="1" applyFont="1">
      <alignment horizontal="left" vertical="top" wrapText="1"/>
    </xf>
    <xf fontId="0" fillId="0" borderId="15" numFmtId="49" xfId="0" applyNumberFormat="1" applyFont="1" applyBorder="1">
      <alignment horizontal="left" indent="1" vertical="center"/>
    </xf>
    <xf fontId="22" fillId="36" borderId="12" numFmtId="49" xfId="0" applyNumberFormat="1" applyFont="1" applyFill="1" applyBorder="1">
      <alignment horizontal="left" vertical="center" wrapText="1"/>
      <protection locked="0"/>
    </xf>
    <xf fontId="0" fillId="39" borderId="12" numFmtId="49" xfId="0" applyNumberFormat="1" applyFont="1" applyFill="1" applyBorder="1">
      <alignment horizontal="left" vertical="center" wrapText="1"/>
      <protection locked="0"/>
    </xf>
    <xf fontId="0" fillId="0" borderId="12" numFmtId="49" xfId="0" applyNumberFormat="1" applyFont="1" applyBorder="1">
      <alignment vertical="top"/>
    </xf>
    <xf fontId="0" fillId="40" borderId="12" numFmtId="0" xfId="0" applyFont="1" applyFill="1" applyBorder="1">
      <alignment horizontal="left" vertical="center" wrapText="1"/>
    </xf>
    <xf fontId="0" fillId="40" borderId="12" numFmtId="49" xfId="0" applyNumberFormat="1" applyFont="1" applyFill="1" applyBorder="1">
      <alignment horizontal="left" vertical="center" wrapText="1"/>
    </xf>
    <xf fontId="22" fillId="39" borderId="12" numFmtId="3" xfId="0" applyNumberFormat="1" applyFont="1" applyFill="1" applyBorder="1">
      <alignment horizontal="center" vertical="center" wrapText="1"/>
      <protection locked="0"/>
    </xf>
    <xf fontId="22" fillId="40" borderId="14" numFmtId="49" xfId="0" applyNumberFormat="1" applyFont="1" applyFill="1" applyBorder="1">
      <alignment horizontal="center" vertical="center" wrapText="1"/>
    </xf>
    <xf fontId="123" fillId="0" borderId="12" numFmtId="49" xfId="0" applyNumberFormat="1" applyFont="1" applyBorder="1">
      <alignment horizontal="center" vertical="center" wrapText="1"/>
    </xf>
    <xf fontId="44" fillId="0" borderId="13" numFmtId="0" xfId="0" applyFont="1" applyBorder="1">
      <alignment horizontal="center" vertical="center"/>
    </xf>
    <xf fontId="22" fillId="40" borderId="17" numFmtId="49" xfId="0" applyNumberFormat="1" applyFont="1" applyFill="1" applyBorder="1">
      <alignment horizontal="left" indent="1" vertical="center" wrapText="1"/>
    </xf>
    <xf fontId="22" fillId="40" borderId="36" numFmtId="49" xfId="0" applyNumberFormat="1" applyFont="1" applyFill="1" applyBorder="1">
      <alignment horizontal="left" indent="1" vertical="center" wrapText="1"/>
    </xf>
    <xf fontId="22" fillId="40" borderId="23" numFmtId="49" xfId="0" applyNumberFormat="1" applyFont="1" applyFill="1" applyBorder="1">
      <alignment horizontal="left" indent="1" vertical="center" wrapText="1"/>
    </xf>
    <xf fontId="22" fillId="0" borderId="12" numFmtId="49" xfId="0" applyNumberFormat="1" applyFont="1" applyBorder="1">
      <alignment horizontal="left" vertical="center" wrapText="1"/>
    </xf>
    <xf fontId="22" fillId="34" borderId="12" numFmtId="49" xfId="0" applyNumberFormat="1" applyFont="1" applyFill="1" applyBorder="1">
      <alignment horizontal="left" vertical="center" wrapText="1"/>
    </xf>
    <xf fontId="22" fillId="0" borderId="13" numFmtId="49" xfId="0" applyNumberFormat="1" applyFont="1" applyBorder="1">
      <alignment horizontal="center" vertical="center" wrapText="1"/>
    </xf>
    <xf fontId="22" fillId="40" borderId="13" numFmtId="49" xfId="0" applyNumberFormat="1" applyFont="1" applyFill="1" applyBorder="1">
      <alignment horizontal="left" vertical="center" wrapText="1"/>
    </xf>
    <xf fontId="22" fillId="39" borderId="12" numFmtId="49" xfId="0" applyNumberFormat="1" applyFont="1" applyFill="1" applyBorder="1">
      <alignment horizontal="left" vertical="center" wrapText="1"/>
      <protection locked="0"/>
    </xf>
    <xf fontId="39" fillId="37" borderId="15" numFmtId="0" xfId="0" applyFont="1" applyFill="1" applyBorder="1">
      <alignment horizontal="left" vertical="center"/>
    </xf>
    <xf fontId="39" fillId="37" borderId="13" numFmtId="0" xfId="0" applyFont="1" applyFill="1" applyBorder="1">
      <alignment horizontal="left" vertical="center"/>
    </xf>
    <xf fontId="39" fillId="37" borderId="19" numFmtId="0" xfId="0" applyFont="1" applyFill="1" applyBorder="1">
      <alignment horizontal="left" vertical="center"/>
    </xf>
    <xf fontId="39" fillId="37" borderId="20" numFmtId="0" xfId="0" applyFont="1" applyFill="1" applyBorder="1">
      <alignment horizontal="left" vertical="center"/>
    </xf>
    <xf fontId="22" fillId="39" borderId="17" numFmtId="49" xfId="0" applyNumberFormat="1" applyFont="1" applyFill="1" applyBorder="1">
      <alignment horizontal="left" vertical="center" wrapText="1"/>
      <protection locked="0"/>
    </xf>
    <xf fontId="22" fillId="0" borderId="36" numFmtId="49" xfId="0" applyNumberFormat="1" applyFont="1" applyBorder="1">
      <alignment horizontal="center" vertical="center"/>
    </xf>
    <xf fontId="22" fillId="40" borderId="17" numFmtId="0" xfId="0" applyFont="1" applyFill="1" applyBorder="1">
      <alignment horizontal="left" vertical="center" wrapText="1"/>
    </xf>
    <xf fontId="22" fillId="40" borderId="36" numFmtId="0" xfId="0" applyFont="1" applyFill="1" applyBorder="1">
      <alignment horizontal="left" vertical="center" wrapText="1"/>
    </xf>
    <xf fontId="22" fillId="40" borderId="17" numFmtId="49" xfId="0" applyNumberFormat="1" applyFont="1" applyFill="1" applyBorder="1">
      <alignment horizontal="left" vertical="center" wrapText="1"/>
    </xf>
    <xf fontId="22" fillId="0" borderId="24" numFmtId="0" xfId="0" applyFont="1" applyBorder="1">
      <alignment horizontal="center" vertical="center"/>
    </xf>
    <xf fontId="22" fillId="36" borderId="17" numFmtId="49" xfId="0" applyNumberFormat="1" applyFont="1" applyFill="1" applyBorder="1">
      <alignment horizontal="left" vertical="center" wrapText="1"/>
      <protection locked="0"/>
    </xf>
    <xf fontId="0" fillId="0" borderId="12" numFmtId="0" xfId="0" applyFont="1" applyBorder="1">
      <alignment horizontal="center" vertical="center"/>
    </xf>
    <xf fontId="0" fillId="0" borderId="12" numFmtId="49" xfId="0" applyNumberFormat="1" applyFont="1" applyBorder="1">
      <alignment horizontal="left" vertical="top"/>
    </xf>
    <xf fontId="22" fillId="40" borderId="12" numFmtId="0" xfId="0" applyFont="1" applyFill="1" applyBorder="1">
      <alignment horizontal="left" vertical="top" wrapText="1"/>
    </xf>
    <xf fontId="0" fillId="40" borderId="12" numFmtId="49" xfId="0" applyNumberFormat="1" applyFont="1" applyFill="1" applyBorder="1">
      <alignment horizontal="left" vertical="top"/>
    </xf>
    <xf fontId="0" fillId="36" borderId="12" numFmtId="49" xfId="0" applyNumberFormat="1" applyFont="1" applyFill="1" applyBorder="1">
      <alignment horizontal="left" vertical="top"/>
      <protection locked="0"/>
    </xf>
    <xf fontId="46" fillId="0" borderId="14" numFmtId="49" xfId="0" applyNumberFormat="1" applyFont="1" applyBorder="1">
      <alignment horizontal="center" vertical="center" wrapText="1"/>
    </xf>
    <xf fontId="39" fillId="37" borderId="51" numFmtId="49" xfId="0" applyNumberFormat="1" applyFont="1" applyFill="1" applyBorder="1">
      <alignment horizontal="left" indent="1" vertical="center"/>
    </xf>
    <xf fontId="22" fillId="34" borderId="12" numFmtId="49" xfId="0" applyNumberFormat="1" applyFont="1" applyFill="1" applyBorder="1">
      <alignment horizontal="center" vertical="center" wrapText="1"/>
    </xf>
    <xf fontId="22" fillId="34" borderId="74" numFmtId="49" xfId="0" applyNumberFormat="1" applyFont="1" applyFill="1" applyBorder="1">
      <alignment horizontal="center" vertical="center" wrapText="1"/>
    </xf>
    <xf fontId="46" fillId="0" borderId="12" numFmtId="3" xfId="0" applyNumberFormat="1" applyFont="1" applyBorder="1">
      <alignment horizontal="center" vertical="center" wrapText="1"/>
    </xf>
    <xf fontId="46" fillId="0" borderId="12" numFmtId="49" xfId="0" applyNumberFormat="1" applyFont="1" applyBorder="1">
      <alignment horizontal="left" vertical="center" wrapText="1"/>
    </xf>
    <xf fontId="46" fillId="0" borderId="13" numFmtId="49" xfId="0" applyNumberFormat="1" applyFont="1" applyBorder="1">
      <alignment horizontal="center" vertical="center" wrapText="1"/>
    </xf>
    <xf fontId="46" fillId="0" borderId="13" numFmtId="49" xfId="0" applyNumberFormat="1" applyFont="1" applyBorder="1">
      <alignment horizontal="left" vertical="center" wrapText="1"/>
    </xf>
    <xf fontId="46" fillId="0" borderId="12" numFmtId="49" xfId="0" applyNumberFormat="1" applyFont="1" applyBorder="1">
      <alignment horizontal="left" vertical="center" wrapText="1"/>
    </xf>
    <xf fontId="125" fillId="0" borderId="13" numFmtId="49" xfId="0" applyNumberFormat="1" applyFont="1" applyBorder="1">
      <alignment horizontal="center" vertical="center" wrapText="1"/>
    </xf>
    <xf fontId="94" fillId="0" borderId="12" numFmtId="0" xfId="0" applyFont="1" applyBorder="1">
      <alignment horizontal="center" vertical="center"/>
    </xf>
    <xf fontId="22" fillId="40" borderId="12" numFmtId="49" xfId="0" applyNumberFormat="1" applyFont="1" applyFill="1" applyBorder="1">
      <alignment horizontal="center" vertical="top" wrapText="1"/>
    </xf>
    <xf fontId="22" fillId="40" borderId="14" numFmtId="49" xfId="0" applyNumberFormat="1" applyFont="1" applyFill="1" applyBorder="1">
      <alignment horizontal="center" vertical="top" wrapText="1"/>
    </xf>
    <xf fontId="22" fillId="36" borderId="12" numFmtId="0" xfId="0" applyFont="1" applyFill="1" applyBorder="1">
      <alignment horizontal="left" vertical="top" wrapText="1"/>
      <protection locked="0"/>
    </xf>
    <xf fontId="0" fillId="36" borderId="12" numFmtId="179" xfId="0" applyNumberFormat="1" applyFont="1" applyFill="1" applyBorder="1">
      <alignment horizontal="center" vertical="top" wrapText="1"/>
      <protection locked="0"/>
    </xf>
    <xf fontId="0" fillId="36" borderId="12" numFmtId="49" xfId="0" applyNumberFormat="1" applyFont="1" applyFill="1" applyBorder="1">
      <alignment horizontal="center" vertical="top" wrapText="1"/>
      <protection locked="0"/>
    </xf>
    <xf fontId="22" fillId="39" borderId="12" numFmtId="49" xfId="0" applyNumberFormat="1" applyFont="1" applyFill="1" applyBorder="1">
      <alignment horizontal="left" vertical="top" wrapText="1"/>
      <protection locked="0"/>
    </xf>
    <xf fontId="0" fillId="34" borderId="12" numFmtId="49" xfId="0" applyNumberFormat="1" applyFont="1" applyFill="1" applyBorder="1">
      <alignment horizontal="center" vertical="top" wrapText="1"/>
    </xf>
    <xf fontId="22" fillId="34" borderId="12" numFmtId="0" xfId="0" applyFont="1" applyFill="1" applyBorder="1">
      <alignment horizontal="center" vertical="top" wrapText="1"/>
    </xf>
    <xf fontId="0" fillId="0" borderId="12" numFmtId="0" xfId="0" applyFont="1" applyBorder="1">
      <alignment horizontal="center" vertical="center"/>
    </xf>
    <xf fontId="0" fillId="0" borderId="37" numFmtId="0" xfId="0" applyFont="1" applyBorder="1">
      <alignment horizontal="center" vertical="center"/>
    </xf>
    <xf fontId="0" fillId="0" borderId="22" numFmtId="0" xfId="0" applyFont="1" applyBorder="1">
      <alignment horizontal="center" vertical="center"/>
    </xf>
    <xf fontId="0" fillId="0" borderId="0" numFmtId="49" xfId="0" applyNumberFormat="1" applyFont="1">
      <alignment horizontal="left" vertical="top"/>
    </xf>
    <xf fontId="81" fillId="0" borderId="17" numFmtId="14" xfId="0" applyNumberFormat="1" applyFont="1" applyBorder="1">
      <alignment horizontal="center" vertical="center" wrapText="1"/>
    </xf>
    <xf fontId="81" fillId="0" borderId="36" numFmtId="14" xfId="0" applyNumberFormat="1" applyFont="1" applyBorder="1">
      <alignment horizontal="center" vertical="center" wrapText="1"/>
    </xf>
    <xf fontId="75" fillId="0" borderId="12" numFmtId="0" xfId="0" applyFont="1" applyBorder="1">
      <alignment horizontal="left" indent="1" vertical="center" wrapText="1"/>
    </xf>
    <xf fontId="75" fillId="0" borderId="12" numFmtId="0" xfId="0" applyFont="1" applyBorder="1">
      <alignment horizontal="left" indent="1" vertical="top"/>
    </xf>
    <xf fontId="35" fillId="0" borderId="12" numFmtId="0" xfId="0" applyFont="1" applyBorder="1">
      <alignment horizontal="center" vertical="center" wrapText="1"/>
    </xf>
    <xf fontId="22" fillId="40" borderId="12" numFmtId="0" xfId="0" applyFont="1" applyFill="1" applyBorder="1">
      <alignment horizontal="left" indent="1" vertical="center" wrapText="1"/>
    </xf>
    <xf fontId="0" fillId="0" borderId="19" numFmtId="49" xfId="0" applyNumberFormat="1" applyFont="1" applyBorder="1">
      <alignment horizontal="left" vertical="center" wrapText="1"/>
    </xf>
    <xf fontId="0" fillId="0" borderId="0" numFmtId="49" xfId="0" applyNumberFormat="1" applyFont="1">
      <alignment horizontal="left" vertical="center" wrapText="1"/>
    </xf>
    <xf fontId="0" fillId="0" borderId="19" numFmtId="0" xfId="0" applyFont="1" applyBorder="1">
      <alignment horizontal="left" vertical="center" wrapText="1"/>
    </xf>
    <xf fontId="0" fillId="0" borderId="0" numFmtId="0" xfId="0" applyFont="1">
      <alignment horizontal="left" vertical="center" wrapText="1"/>
    </xf>
    <xf fontId="0" fillId="0" borderId="19" numFmtId="0" xfId="0" applyFont="1" applyBorder="1">
      <alignment horizontal="center" vertical="center"/>
    </xf>
    <xf fontId="0" fillId="0" borderId="0" numFmtId="0" xfId="0" applyFont="1">
      <alignment horizontal="center" vertical="center"/>
    </xf>
    <xf fontId="0" fillId="39" borderId="12" numFmtId="0" xfId="0" applyFont="1" applyFill="1" applyBorder="1">
      <alignment horizontal="left" vertical="center" wrapText="1"/>
      <protection locked="0"/>
    </xf>
    <xf fontId="0" fillId="39" borderId="14" numFmtId="49" xfId="0" applyNumberFormat="1" applyFont="1" applyFill="1" applyBorder="1">
      <alignment horizontal="left" vertical="center" wrapText="1"/>
      <protection locked="0"/>
    </xf>
    <xf fontId="0" fillId="39" borderId="12" numFmtId="49" xfId="0" applyNumberFormat="1" applyFont="1" applyFill="1" applyBorder="1">
      <alignment horizontal="left" vertical="center" wrapText="1"/>
      <protection locked="0"/>
    </xf>
    <xf fontId="36" fillId="0" borderId="17" numFmtId="49" xfId="0" applyNumberFormat="1" applyFont="1" applyBorder="1">
      <alignment horizontal="center" vertical="top" wrapText="1"/>
    </xf>
    <xf fontId="22" fillId="0" borderId="36" numFmtId="49" xfId="0" applyNumberFormat="1" applyFont="1" applyBorder="1">
      <alignment horizontal="center" vertical="top" wrapText="1"/>
    </xf>
    <xf fontId="22" fillId="0" borderId="23" numFmtId="49" xfId="0" applyNumberFormat="1" applyFont="1" applyBorder="1">
      <alignment horizontal="center" vertical="top" wrapText="1"/>
    </xf>
    <xf fontId="22" fillId="39" borderId="14" numFmtId="49" xfId="0" applyNumberFormat="1" applyFont="1" applyFill="1" applyBorder="1">
      <alignment horizontal="left" indent="1" vertical="center" wrapText="1"/>
      <protection locked="0"/>
    </xf>
    <xf fontId="22" fillId="39" borderId="12" numFmtId="49" xfId="0" applyNumberFormat="1" applyFont="1" applyFill="1" applyBorder="1">
      <alignment horizontal="left" indent="1" vertical="center" wrapText="1"/>
      <protection locked="0"/>
    </xf>
    <xf fontId="0" fillId="0" borderId="12" numFmtId="0" xfId="0" applyFont="1" applyBorder="1">
      <alignment horizontal="center" vertical="center" wrapText="1"/>
    </xf>
    <xf fontId="22" fillId="0" borderId="17" numFmtId="49" xfId="0" applyNumberFormat="1" applyFont="1" applyBorder="1">
      <alignment horizontal="center" vertical="center" wrapText="1"/>
    </xf>
    <xf fontId="22" fillId="0" borderId="36" numFmtId="49" xfId="0" applyNumberFormat="1" applyFont="1" applyBorder="1">
      <alignment horizontal="center" vertical="center" wrapText="1"/>
    </xf>
    <xf fontId="22" fillId="0" borderId="23" numFmtId="49" xfId="0" applyNumberFormat="1" applyFont="1" applyBorder="1">
      <alignment horizontal="center" vertical="center" wrapText="1"/>
    </xf>
    <xf fontId="22" fillId="0" borderId="12" numFmtId="49" xfId="0" applyNumberFormat="1" applyFont="1" applyBorder="1">
      <alignment horizontal="center" vertical="top" wrapText="1"/>
    </xf>
    <xf fontId="0" fillId="34" borderId="12" numFmtId="0" xfId="0" applyFont="1" applyFill="1" applyBorder="1">
      <alignment horizontal="left" indent="1" vertical="top" wrapText="1"/>
    </xf>
    <xf fontId="22" fillId="40" borderId="17" numFmtId="49" xfId="0" applyNumberFormat="1" applyFont="1" applyFill="1" applyBorder="1">
      <alignment horizontal="center" vertical="top" wrapText="1"/>
    </xf>
    <xf fontId="22" fillId="40" borderId="23" numFmtId="49" xfId="0" applyNumberFormat="1" applyFont="1" applyFill="1" applyBorder="1">
      <alignment horizontal="center" vertical="top" wrapText="1"/>
    </xf>
    <xf fontId="0" fillId="39" borderId="12" numFmtId="179" xfId="0" applyNumberFormat="1" applyFont="1" applyFill="1" applyBorder="1">
      <alignment horizontal="center" vertical="top" wrapText="1"/>
      <protection locked="0"/>
    </xf>
    <xf fontId="0" fillId="39" borderId="12" numFmtId="49" xfId="0" applyNumberFormat="1" applyFont="1" applyFill="1" applyBorder="1">
      <alignment horizontal="center" vertical="top" wrapText="1"/>
      <protection locked="0"/>
    </xf>
    <xf fontId="22" fillId="40" borderId="12" numFmtId="49" xfId="0" applyNumberFormat="1" applyFont="1" applyFill="1" applyBorder="1">
      <alignment horizontal="left" vertical="top" wrapText="1"/>
    </xf>
    <xf fontId="46" fillId="0" borderId="17" numFmtId="49" xfId="0" applyNumberFormat="1" applyFont="1" applyBorder="1">
      <alignment horizontal="left" indent="1" vertical="center" wrapText="1"/>
    </xf>
    <xf fontId="46" fillId="0" borderId="36" numFmtId="49" xfId="0" applyNumberFormat="1" applyFont="1" applyBorder="1">
      <alignment horizontal="left" indent="1" vertical="center" wrapText="1"/>
    </xf>
    <xf fontId="46" fillId="0" borderId="23" numFmtId="49" xfId="0" applyNumberFormat="1" applyFont="1" applyBorder="1">
      <alignment horizontal="left" indent="1" vertical="center" wrapText="1"/>
    </xf>
    <xf fontId="44" fillId="0" borderId="12" numFmtId="0" xfId="0" applyFont="1" applyBorder="1">
      <alignment horizontal="center" vertical="center"/>
    </xf>
    <xf fontId="95" fillId="0" borderId="12" numFmtId="49" xfId="0" applyNumberFormat="1" applyFont="1" applyBorder="1">
      <alignment horizontal="center" vertical="top" wrapText="1"/>
    </xf>
    <xf fontId="95" fillId="41" borderId="12" numFmtId="0" xfId="0" applyFont="1" applyFill="1" applyBorder="1">
      <alignment horizontal="center" vertical="center" wrapText="1"/>
    </xf>
    <xf fontId="95" fillId="0" borderId="37" numFmtId="49" xfId="0" applyNumberFormat="1" applyFont="1" applyBorder="1">
      <alignment horizontal="center" vertical="top" wrapText="1"/>
    </xf>
    <xf fontId="95" fillId="0" borderId="30" numFmtId="49" xfId="0" applyNumberFormat="1" applyFont="1" applyBorder="1">
      <alignment horizontal="center" vertical="top" wrapText="1"/>
    </xf>
    <xf fontId="95" fillId="0" borderId="14" numFmtId="49" xfId="0" applyNumberFormat="1" applyFont="1" applyBorder="1">
      <alignment horizontal="center" vertical="top" wrapText="1"/>
    </xf>
    <xf fontId="95" fillId="0" borderId="15" numFmtId="49" xfId="0" applyNumberFormat="1" applyFont="1" applyBorder="1">
      <alignment horizontal="center" vertical="top" wrapText="1"/>
    </xf>
    <xf fontId="95" fillId="0" borderId="13" numFmtId="49" xfId="0" applyNumberFormat="1" applyFont="1" applyBorder="1">
      <alignment horizontal="center" vertical="top" wrapText="1"/>
    </xf>
    <xf fontId="95" fillId="0" borderId="17" numFmtId="49" xfId="0" applyNumberFormat="1" applyFont="1" applyBorder="1">
      <alignment horizontal="center" vertical="top" wrapText="1"/>
    </xf>
    <xf fontId="95" fillId="0" borderId="36" numFmtId="49" xfId="0" applyNumberFormat="1" applyFont="1" applyBorder="1">
      <alignment horizontal="center" vertical="top" wrapText="1"/>
    </xf>
    <xf fontId="95" fillId="0" borderId="23" numFmtId="49" xfId="0" applyNumberFormat="1" applyFont="1" applyBorder="1">
      <alignment horizontal="center" vertical="top" wrapText="1"/>
    </xf>
    <xf fontId="0" fillId="39" borderId="12" numFmtId="179" xfId="0" applyNumberFormat="1" applyFont="1" applyFill="1" applyBorder="1">
      <alignment horizontal="center" vertical="center" wrapText="1"/>
      <protection locked="0"/>
    </xf>
    <xf fontId="45" fillId="0" borderId="19" numFmtId="0" xfId="0" applyFont="1" applyBorder="1">
      <alignment horizontal="left" indent="1" vertical="center" wrapText="1"/>
    </xf>
    <xf fontId="45" fillId="0" borderId="27" numFmtId="0" xfId="0" applyFont="1" applyBorder="1">
      <alignment horizontal="left" indent="1" vertical="center" wrapText="1"/>
    </xf>
    <xf fontId="22" fillId="0" borderId="0" numFmtId="0" xfId="0" applyFont="1">
      <alignment horizontal="right" vertical="center" wrapText="1"/>
    </xf>
    <xf fontId="22" fillId="34" borderId="12" numFmtId="4" xfId="0" applyNumberFormat="1" applyFont="1" applyFill="1" applyBorder="1">
      <alignment horizontal="left" vertical="center" wrapText="1"/>
    </xf>
    <xf fontId="46" fillId="0" borderId="0" numFmtId="0" xfId="0" applyFont="1">
      <alignment horizontal="center" vertical="center" wrapText="1"/>
    </xf>
    <xf fontId="0" fillId="0" borderId="12" numFmtId="49" xfId="0" applyNumberFormat="1" applyFont="1" applyBorder="1">
      <alignment horizontal="center" vertical="top"/>
    </xf>
    <xf fontId="0" fillId="0" borderId="14" numFmtId="49" xfId="0" applyNumberFormat="1" applyFont="1" applyBorder="1">
      <alignment horizontal="center" vertical="top"/>
    </xf>
    <xf fontId="46" fillId="0" borderId="17" numFmtId="0" xfId="0" applyFont="1" applyBorder="1">
      <alignment horizontal="center" vertical="center" wrapText="1"/>
    </xf>
    <xf fontId="22" fillId="0" borderId="19" numFmtId="0" xfId="0" applyFont="1" applyBorder="1">
      <alignment horizontal="center" vertical="center" wrapText="1"/>
    </xf>
    <xf fontId="22" fillId="0" borderId="27" numFmtId="0" xfId="0" applyFont="1" applyBorder="1">
      <alignment horizontal="center" vertical="center" wrapText="1"/>
    </xf>
    <xf fontId="0" fillId="0" borderId="15" numFmtId="49" xfId="0" applyNumberFormat="1" applyFont="1" applyBorder="1">
      <alignment horizontal="left" indent="1" vertical="center"/>
    </xf>
    <xf fontId="0" fillId="0" borderId="25" numFmtId="49" xfId="0" applyNumberFormat="1" applyFont="1" applyBorder="1">
      <alignment horizontal="center" vertical="center"/>
    </xf>
    <xf fontId="0" fillId="0" borderId="12" numFmtId="49" xfId="61" applyNumberFormat="1" applyFont="1" applyBorder="1">
      <alignment vertical="top"/>
    </xf>
    <xf fontId="0" fillId="0" borderId="14" numFmtId="49" xfId="61" applyNumberFormat="1" applyFont="1" applyBorder="1">
      <alignment vertical="top"/>
    </xf>
    <xf fontId="0" fillId="0" borderId="12" numFmtId="49" xfId="61" applyNumberFormat="1" applyFont="1" applyBorder="1">
      <alignment horizontal="center" vertical="top"/>
    </xf>
    <xf fontId="0" fillId="0" borderId="14" numFmtId="49" xfId="61" applyNumberFormat="1" applyFont="1" applyBorder="1">
      <alignment horizontal="center" vertical="top"/>
    </xf>
    <xf fontId="0" fillId="43" borderId="17" numFmtId="49" xfId="61" applyNumberFormat="1" applyFont="1" applyFill="1" applyBorder="1">
      <alignment vertical="top"/>
    </xf>
    <xf fontId="0" fillId="44" borderId="12" numFmtId="49" xfId="61" applyNumberFormat="1" applyFont="1" applyFill="1" applyBorder="1">
      <alignment vertical="top"/>
    </xf>
    <xf fontId="0" fillId="0" borderId="15" numFmtId="49" xfId="61" applyNumberFormat="1" applyFont="1" applyBorder="1">
      <alignment horizontal="center" vertical="top"/>
    </xf>
    <xf fontId="0" fillId="3" borderId="12" numFmtId="49" xfId="61" applyNumberFormat="1" applyFont="1" applyFill="1" applyBorder="1">
      <alignment vertical="top"/>
    </xf>
    <xf fontId="0" fillId="45" borderId="12" numFmtId="49" xfId="61" applyNumberFormat="1" applyFont="1" applyFill="1" applyBorder="1">
      <alignment vertical="top"/>
    </xf>
    <xf fontId="0" fillId="16" borderId="17" numFmtId="49" xfId="61" applyNumberFormat="1" applyFont="1" applyFill="1" applyBorder="1">
      <alignment vertical="top"/>
    </xf>
    <xf fontId="0" fillId="5" borderId="14" numFmtId="49" xfId="61" applyNumberFormat="1" applyFont="1" applyFill="1" applyBorder="1">
      <alignment vertical="top"/>
    </xf>
    <xf fontId="0" fillId="5" borderId="12" numFmtId="49" xfId="61" applyNumberFormat="1" applyFont="1" applyFill="1" applyBorder="1">
      <alignment vertical="top"/>
    </xf>
    <xf fontId="0" fillId="16" borderId="12" numFmtId="49" xfId="61" applyNumberFormat="1" applyFont="1" applyFill="1" applyBorder="1">
      <alignment vertical="top"/>
    </xf>
    <xf fontId="29" fillId="0" borderId="0" numFmtId="0" xfId="0" applyFont="1"/>
    <xf fontId="22" fillId="35" borderId="17" numFmtId="0" xfId="0" applyFont="1" applyFill="1" applyBorder="1">
      <alignment horizontal="left" indent="1" vertical="center" wrapText="1"/>
    </xf>
    <xf fontId="22" fillId="35" borderId="23" numFmtId="0" xfId="0" applyFont="1" applyFill="1" applyBorder="1">
      <alignment horizontal="left" indent="1" vertical="center" wrapText="1"/>
    </xf>
    <xf fontId="0" fillId="0" borderId="12" numFmtId="49" xfId="0" applyNumberFormat="1" applyFont="1" applyBorder="1">
      <alignment horizontal="left" vertical="center" wrapText="1"/>
    </xf>
    <xf fontId="0" fillId="0" borderId="12" numFmtId="179" xfId="0" applyNumberFormat="1" applyFont="1" applyBorder="1">
      <alignment horizontal="left" indent="1" vertical="center" wrapText="1"/>
    </xf>
    <xf fontId="22" fillId="35" borderId="14" numFmtId="49" xfId="0" applyNumberFormat="1" applyFont="1" applyFill="1" applyBorder="1">
      <alignment horizontal="left" vertical="center" wrapText="1"/>
    </xf>
    <xf fontId="53" fillId="35" borderId="12" numFmtId="49" xfId="0" applyNumberFormat="1" applyFont="1" applyFill="1" applyBorder="1">
      <alignment horizontal="left" vertical="center" wrapText="1"/>
    </xf>
    <xf fontId="0" fillId="35" borderId="12" numFmtId="179" xfId="0" applyNumberFormat="1" applyFont="1" applyFill="1" applyBorder="1">
      <alignment horizontal="left" indent="1" vertical="center" wrapText="1"/>
    </xf>
    <xf fontId="22" fillId="36" borderId="14" numFmtId="49" xfId="0" applyNumberFormat="1" applyFont="1" applyFill="1" applyBorder="1">
      <alignment horizontal="left" vertical="center" wrapText="1"/>
      <protection locked="0"/>
    </xf>
    <xf fontId="29" fillId="0" borderId="0" numFmtId="0" xfId="0" applyFont="1"/>
    <xf fontId="29" fillId="0" borderId="0" numFmtId="0" xfId="0" applyFont="1"/>
    <xf fontId="29" fillId="0" borderId="0" numFmt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Relationships xmlns="http://schemas.openxmlformats.org/package/2006/relationships"><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4" Type="http://schemas.openxmlformats.org/officeDocument/2006/relationships/worksheet" Target="worksheets/sheet84.xml"/><Relationship  Id="rId82" Type="http://schemas.openxmlformats.org/officeDocument/2006/relationships/worksheet" Target="worksheets/sheet82.xml"/><Relationship  Id="rId81" Type="http://schemas.openxmlformats.org/officeDocument/2006/relationships/worksheet" Target="worksheets/sheet81.xml"/><Relationship  Id="rId75" Type="http://schemas.openxmlformats.org/officeDocument/2006/relationships/worksheet" Target="worksheets/sheet75.xml"/><Relationship  Id="rId71" Type="http://schemas.openxmlformats.org/officeDocument/2006/relationships/worksheet" Target="worksheets/sheet71.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85" Type="http://schemas.openxmlformats.org/officeDocument/2006/relationships/worksheet" Target="worksheets/sheet85.xml"/><Relationship  Id="rId66" Type="http://schemas.openxmlformats.org/officeDocument/2006/relationships/worksheet" Target="worksheets/sheet66.xml"/><Relationship  Id="rId65" Type="http://schemas.openxmlformats.org/officeDocument/2006/relationships/worksheet" Target="worksheets/sheet65.xml"/><Relationship  Id="rId60" Type="http://schemas.openxmlformats.org/officeDocument/2006/relationships/worksheet" Target="worksheets/sheet60.xml"/><Relationship  Id="rId83" Type="http://schemas.openxmlformats.org/officeDocument/2006/relationships/worksheet" Target="worksheets/sheet83.xml"/><Relationship  Id="rId59" Type="http://schemas.openxmlformats.org/officeDocument/2006/relationships/worksheet" Target="worksheets/sheet59.xml"/><Relationship  Id="rId63" Type="http://schemas.openxmlformats.org/officeDocument/2006/relationships/worksheet" Target="worksheets/sheet63.xml"/><Relationship  Id="rId57" Type="http://schemas.openxmlformats.org/officeDocument/2006/relationships/worksheet" Target="worksheets/sheet57.xml"/><Relationship  Id="rId56" Type="http://schemas.openxmlformats.org/officeDocument/2006/relationships/worksheet" Target="worksheets/sheet56.xml"/><Relationship  Id="rId91" Type="http://schemas.openxmlformats.org/officeDocument/2006/relationships/sharedStrings" Target="sharedStrings.xml"/><Relationship  Id="rId51" Type="http://schemas.openxmlformats.org/officeDocument/2006/relationships/worksheet" Target="worksheets/sheet51.xml"/><Relationship  Id="rId48" Type="http://schemas.openxmlformats.org/officeDocument/2006/relationships/worksheet" Target="worksheets/sheet48.xml"/><Relationship  Id="rId55" Type="http://schemas.openxmlformats.org/officeDocument/2006/relationships/worksheet" Target="worksheets/sheet55.xml"/><Relationship  Id="rId78" Type="http://schemas.openxmlformats.org/officeDocument/2006/relationships/worksheet" Target="worksheets/sheet78.xml"/><Relationship  Id="rId47" Type="http://schemas.openxmlformats.org/officeDocument/2006/relationships/worksheet" Target="worksheets/sheet47.xml"/><Relationship  Id="rId45" Type="http://schemas.openxmlformats.org/officeDocument/2006/relationships/worksheet" Target="worksheets/sheet45.xml"/><Relationship  Id="rId64" Type="http://schemas.openxmlformats.org/officeDocument/2006/relationships/worksheet" Target="worksheets/sheet64.xml"/><Relationship  Id="rId44" Type="http://schemas.openxmlformats.org/officeDocument/2006/relationships/worksheet" Target="worksheets/sheet44.xml"/><Relationship  Id="rId74" Type="http://schemas.openxmlformats.org/officeDocument/2006/relationships/worksheet" Target="worksheets/sheet74.xml"/><Relationship  Id="rId70" Type="http://schemas.openxmlformats.org/officeDocument/2006/relationships/worksheet" Target="worksheets/sheet70.xml"/><Relationship  Id="rId62" Type="http://schemas.openxmlformats.org/officeDocument/2006/relationships/worksheet" Target="worksheets/sheet62.xml"/><Relationship  Id="rId43" Type="http://schemas.openxmlformats.org/officeDocument/2006/relationships/worksheet" Target="worksheets/sheet43.xml"/><Relationship  Id="rId49" Type="http://schemas.openxmlformats.org/officeDocument/2006/relationships/worksheet" Target="worksheets/sheet49.xml"/><Relationship  Id="rId42" Type="http://schemas.openxmlformats.org/officeDocument/2006/relationships/worksheet" Target="worksheets/sheet42.xml"/><Relationship  Id="rId90" Type="http://schemas.openxmlformats.org/officeDocument/2006/relationships/theme" Target="theme/theme1.xml"/><Relationship  Id="rId40" Type="http://schemas.openxmlformats.org/officeDocument/2006/relationships/worksheet" Target="worksheets/sheet40.xml"/><Relationship  Id="rId79" Type="http://schemas.openxmlformats.org/officeDocument/2006/relationships/worksheet" Target="worksheets/sheet79.xml"/><Relationship  Id="rId39" Type="http://schemas.openxmlformats.org/officeDocument/2006/relationships/worksheet" Target="worksheets/sheet39.xml"/><Relationship  Id="rId38" Type="http://schemas.openxmlformats.org/officeDocument/2006/relationships/worksheet" Target="worksheets/sheet38.xml"/><Relationship  Id="rId54" Type="http://schemas.openxmlformats.org/officeDocument/2006/relationships/worksheet" Target="worksheets/sheet54.xml"/><Relationship  Id="rId41" Type="http://schemas.openxmlformats.org/officeDocument/2006/relationships/worksheet" Target="worksheets/sheet41.xml"/><Relationship  Id="rId36" Type="http://schemas.openxmlformats.org/officeDocument/2006/relationships/worksheet" Target="worksheets/sheet36.xml"/><Relationship  Id="rId80" Type="http://schemas.openxmlformats.org/officeDocument/2006/relationships/worksheet" Target="worksheets/sheet80.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58" Type="http://schemas.openxmlformats.org/officeDocument/2006/relationships/worksheet" Target="worksheets/sheet58.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3" Type="http://schemas.openxmlformats.org/officeDocument/2006/relationships/worksheet" Target="worksheets/sheet23.xml"/><Relationship  Id="rId52" Type="http://schemas.openxmlformats.org/officeDocument/2006/relationships/worksheet" Target="worksheets/sheet52.xml"/><Relationship  Id="rId61" Type="http://schemas.openxmlformats.org/officeDocument/2006/relationships/worksheet" Target="worksheets/sheet61.xml"/><Relationship  Id="rId76" Type="http://schemas.openxmlformats.org/officeDocument/2006/relationships/worksheet" Target="worksheets/sheet76.xml"/><Relationship  Id="rId22" Type="http://schemas.openxmlformats.org/officeDocument/2006/relationships/worksheet" Target="worksheets/sheet22.xml"/><Relationship  Id="rId21" Type="http://schemas.openxmlformats.org/officeDocument/2006/relationships/worksheet" Target="worksheets/sheet21.xml"/><Relationship  Id="rId25" Type="http://schemas.openxmlformats.org/officeDocument/2006/relationships/worksheet" Target="worksheets/sheet25.xml"/><Relationship  Id="rId13" Type="http://schemas.openxmlformats.org/officeDocument/2006/relationships/worksheet" Target="worksheets/sheet13.xml"/><Relationship  Id="rId50" Type="http://schemas.openxmlformats.org/officeDocument/2006/relationships/worksheet" Target="worksheets/sheet50.xml"/><Relationship  Id="rId24" Type="http://schemas.openxmlformats.org/officeDocument/2006/relationships/worksheet" Target="worksheets/sheet24.xml"/><Relationship  Id="rId11" Type="http://schemas.openxmlformats.org/officeDocument/2006/relationships/worksheet" Target="worksheets/sheet11.xml"/><Relationship  Id="rId17" Type="http://schemas.openxmlformats.org/officeDocument/2006/relationships/worksheet" Target="worksheets/sheet17.xml"/><Relationship  Id="rId10" Type="http://schemas.openxmlformats.org/officeDocument/2006/relationships/worksheet" Target="worksheets/sheet10.xml"/><Relationship  Id="rId18" Type="http://schemas.openxmlformats.org/officeDocument/2006/relationships/worksheet" Target="worksheets/sheet18.xml"/><Relationship  Id="rId26" Type="http://schemas.openxmlformats.org/officeDocument/2006/relationships/worksheet" Target="worksheets/sheet26.xml"/><Relationship  Id="rId86" Type="http://schemas.openxmlformats.org/officeDocument/2006/relationships/worksheet" Target="worksheets/sheet86.xml"/><Relationship  Id="rId53" Type="http://schemas.openxmlformats.org/officeDocument/2006/relationships/worksheet" Target="worksheets/sheet53.xml"/><Relationship  Id="rId15" Type="http://schemas.openxmlformats.org/officeDocument/2006/relationships/worksheet" Target="worksheets/sheet15.xml"/><Relationship  Id="rId9" Type="http://schemas.openxmlformats.org/officeDocument/2006/relationships/worksheet" Target="worksheets/sheet9.xml"/><Relationship  Id="rId20" Type="http://schemas.openxmlformats.org/officeDocument/2006/relationships/worksheet" Target="worksheets/sheet20.xml"/><Relationship  Id="rId8" Type="http://schemas.openxmlformats.org/officeDocument/2006/relationships/worksheet" Target="worksheets/sheet8.xml"/><Relationship  Id="rId31" Type="http://schemas.openxmlformats.org/officeDocument/2006/relationships/worksheet" Target="worksheets/sheet31.xml"/><Relationship  Id="rId19" Type="http://schemas.openxmlformats.org/officeDocument/2006/relationships/worksheet" Target="worksheets/sheet19.xml"/><Relationship  Id="rId37" Type="http://schemas.openxmlformats.org/officeDocument/2006/relationships/worksheet" Target="worksheets/sheet37.xml"/><Relationship  Id="rId46" Type="http://schemas.openxmlformats.org/officeDocument/2006/relationships/worksheet" Target="worksheets/sheet46.xml"/><Relationship  Id="rId7" Type="http://schemas.openxmlformats.org/officeDocument/2006/relationships/worksheet" Target="worksheets/sheet7.xml"/><Relationship  Id="rId73" Type="http://schemas.openxmlformats.org/officeDocument/2006/relationships/worksheet" Target="worksheets/sheet73.xml"/><Relationship  Id="rId14" Type="http://schemas.openxmlformats.org/officeDocument/2006/relationships/worksheet" Target="worksheets/sheet14.xml"/><Relationship  Id="rId77" Type="http://schemas.openxmlformats.org/officeDocument/2006/relationships/worksheet" Target="worksheets/sheet77.xml"/><Relationship  Id="rId6" Type="http://schemas.openxmlformats.org/officeDocument/2006/relationships/worksheet" Target="worksheets/sheet6.xml"/><Relationship  Id="rId5" Type="http://schemas.openxmlformats.org/officeDocument/2006/relationships/worksheet" Target="worksheets/sheet5.xml"/><Relationship  Id="rId16" Type="http://schemas.openxmlformats.org/officeDocument/2006/relationships/worksheet" Target="worksheets/sheet16.xml"/><Relationship  Id="rId4" Type="http://schemas.openxmlformats.org/officeDocument/2006/relationships/worksheet" Target="worksheets/sheet4.xml"/><Relationship  Id="rId12" Type="http://schemas.openxmlformats.org/officeDocument/2006/relationships/worksheet" Target="worksheets/sheet12.xml"/><Relationship  Id="rId72" Type="http://schemas.openxmlformats.org/officeDocument/2006/relationships/worksheet" Target="worksheets/sheet72.xml"/><Relationship  Id="rId32" Type="http://schemas.openxmlformats.org/officeDocument/2006/relationships/worksheet" Target="worksheets/sheet32.xml"/><Relationship  Id="rId30" Type="http://schemas.openxmlformats.org/officeDocument/2006/relationships/worksheet" Target="worksheets/sheet30.xml"/><Relationship  Id="rId3" Type="http://schemas.openxmlformats.org/officeDocument/2006/relationships/worksheet" Target="worksheets/sheet3.xml"/><Relationship  Id="rId2" Type="http://schemas.openxmlformats.org/officeDocument/2006/relationships/worksheet" Target="worksheets/sheet2.xml"/><Relationship  Id="rId92"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jp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g"/></Relationships>
</file>

<file path=xl/drawings/_rels/drawing2.xml.rels><?xml version="1.0" encoding="UTF-8" standalone="yes"?><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Relationships xmlns="http://schemas.openxmlformats.org/package/2006/relationships"><Relationship Id="rId1"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s>
</file>

<file path=xl/drawings/_rels/drawing5.xml.rels><?xml version="1.0" encoding="UTF-8" standalone="yes"?><Relationships xmlns="http://schemas.openxmlformats.org/package/2006/relationships"><Relationship Id="rId1"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s>
</file>

<file path=xl/drawings/_rels/drawing7.xml.rels><?xml version="1.0" encoding="UTF-8" standalone="yes"?><Relationships xmlns="http://schemas.openxmlformats.org/package/2006/relationships"><Relationship Id="rId1" Type="http://schemas.openxmlformats.org/officeDocument/2006/relationships/image" Target="../media/image12.png"/></Relationships>
</file>

<file path=xl/drawings/_rels/drawing8.xml.rels><?xml version="1.0" encoding="UTF-8" standalone="yes"?><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r:embed="rId2"/>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r:embed="rId3"/>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r:embed="rId4"/>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r:embed="rId5"/>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r:embed="rId2"/>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13</xdr:row>
      <xdr:rowOff>0</xdr:rowOff>
    </xdr:from>
    <xdr:to>
      <xdr:col>3</xdr:col>
      <xdr:colOff>0</xdr:colOff>
      <xdr:row>13</xdr:row>
      <xdr:rowOff>247649</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4</xdr:row>
      <xdr:rowOff>0</xdr:rowOff>
    </xdr:from>
    <xdr:to>
      <xdr:col>3</xdr:col>
      <xdr:colOff>0</xdr:colOff>
      <xdr:row>4</xdr:row>
      <xdr:rowOff>247649</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63.xml.rels><?xml version="1.0" encoding="UTF-8" standalone="yes"?><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topLeftCell="A1" workbookViewId="0">
      <selection activeCell="A1" sqref="A1"/>
    </sheetView>
  </sheetViews>
  <sheetFormatPr defaultColWidth="11.00390625" defaultRowHeight="12.75" customHeight="1"/>
  <cols>
    <col customWidth="1" min="1" max="1" style="2639" width="5.421875"/>
    <col customWidth="1" min="2" max="2" style="2639" width="9.140625"/>
    <col customWidth="1" min="3" max="3" style="2639" width="16.421875"/>
    <col customWidth="1" min="4" max="25" style="2639" width="6.28125"/>
    <col min="26" max="28" style="2639" width="11.00390625"/>
  </cols>
  <sheetData>
    <row r="1" ht="15.75" customHeight="1">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r="2" ht="17.25" customHeight="1">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r="3" ht="15.75" customHeight="1">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r="4" ht="17.25" customHeight="1">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r="5" ht="22.5" customHeight="1">
      <c r="A5" s="1710"/>
      <c r="B5" s="2081" t="str">
        <f>IF(TEMPLATE_SPHERE="","Информация, подлежащая раскрытию регулируемыми организациями",Титульный!E5)</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r="6" ht="15" customHeight="1">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r="7" ht="15" customHeight="1">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r="8" ht="15" customHeight="1">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r="9" ht="15" customHeight="1">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r="10" ht="30" customHeight="1">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r="11" ht="19.5" customHeight="1">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r="12" ht="69" customHeight="1">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r="13" ht="15" customHeight="1">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r="14" ht="57" customHeight="1">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r="15" ht="16.5" customHeight="1">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r="16" ht="95.25" customHeight="1">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r="17" ht="14.25" customHeight="1">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r="18" ht="14.25" customHeight="1">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r="19" ht="14.25" customHeight="1">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r="20" ht="14.25" customHeight="1">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r="21" ht="14.25" customHeight="1">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autoFilter="0" deleteColumns="0" deleteRows="0" formatColumns="0" formatRows="0" insertColumns="1" insertRows="0" sort="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10.57421875" defaultRowHeight="14.25" customHeight="1"/>
  <cols>
    <col customWidth="1" hidden="1" min="1" max="1" style="1634" width="9.140625"/>
    <col customWidth="1" hidden="1" min="2" max="3" style="1637" width="9.140625"/>
    <col customWidth="1" min="4" max="4" style="1844" width="3.00390625"/>
    <col customWidth="1" min="5" max="5" style="1637" width="6.00390625"/>
    <col customWidth="1" hidden="1" min="6" max="6" style="1637" width="1.7109375"/>
    <col customWidth="1" min="7" max="8" style="1637" width="30.00390625"/>
    <col customWidth="1" min="9" max="9" style="1637" width="8.00390625"/>
    <col customWidth="1" min="10" max="10" style="1637" width="12.140625"/>
    <col customWidth="1" min="11" max="11" style="1637" width="46.00390625"/>
    <col customWidth="1" min="12" max="12" style="1637" width="100.00390625"/>
    <col customWidth="1" min="13" max="13" style="1821" width="7.00390625"/>
    <col customWidth="1" min="14" max="22" style="1637" width="10.00390625"/>
    <col hidden="1" min="23" max="23" style="1637" width="10.57421875"/>
  </cols>
  <sheetData>
    <row r="1" s="1644" customFormat="1" ht="5.25" hidden="1" customHeight="1">
      <c r="C1" s="513"/>
      <c r="D1" s="496"/>
      <c r="F1" s="513"/>
      <c r="G1" s="491" t="s">
        <v>83</v>
      </c>
      <c r="H1" s="491" t="s">
        <v>84</v>
      </c>
      <c r="I1" s="491" t="s">
        <v>85</v>
      </c>
      <c r="P1" s="491" t="s">
        <v>83</v>
      </c>
      <c r="Q1" s="491" t="s">
        <v>84</v>
      </c>
      <c r="R1" s="491" t="s">
        <v>85</v>
      </c>
      <c r="W1" s="491" t="s">
        <v>14</v>
      </c>
    </row>
    <row r="2" s="1644" customFormat="1" ht="5.25" hidden="1" customHeight="1">
      <c r="C2" s="513"/>
      <c r="D2" s="496"/>
      <c r="F2" s="513"/>
      <c r="W2" s="491">
        <v>0</v>
      </c>
    </row>
    <row r="3" s="1614" customFormat="1" ht="5.25" customHeight="1">
      <c r="A3" s="481"/>
      <c r="D3" s="488"/>
      <c r="E3" s="483"/>
      <c r="F3" s="483"/>
      <c r="G3" s="483"/>
      <c r="H3" s="483"/>
      <c r="I3" s="484"/>
      <c r="J3" s="485"/>
      <c r="K3" s="485"/>
      <c r="L3" s="485"/>
      <c r="W3" s="482">
        <v>5</v>
      </c>
    </row>
    <row r="4" ht="23.25" customHeight="1">
      <c r="D4" s="452"/>
      <c r="E4" s="2240" t="s">
        <v>388</v>
      </c>
      <c r="F4" s="2240"/>
      <c r="G4" s="2241"/>
      <c r="H4" s="2241"/>
      <c r="I4" s="2242"/>
      <c r="J4" s="493"/>
      <c r="K4" s="455"/>
      <c r="L4" s="455"/>
      <c r="W4" s="449">
        <v>22</v>
      </c>
    </row>
    <row r="5" s="1637" customFormat="1" ht="18" customHeight="1">
      <c r="A5" s="761"/>
      <c r="D5" s="824"/>
      <c r="E5" s="2216" t="str">
        <f>IF(org=0,"Не определено",org)</f>
        <v xml:space="preserve">филиал ПАО "ОГК-2" - Рязанская ГРЭС</v>
      </c>
      <c r="F5" s="2216"/>
      <c r="G5" s="2217"/>
      <c r="H5" s="2217"/>
      <c r="I5" s="2218"/>
      <c r="J5" s="493"/>
      <c r="K5" s="455"/>
      <c r="L5" s="455"/>
      <c r="M5" s="509"/>
      <c r="W5" s="760">
        <v>17</v>
      </c>
    </row>
    <row r="6" s="1614" customFormat="1" ht="11.5" customHeight="1">
      <c r="A6" s="481"/>
      <c r="D6" s="488"/>
      <c r="E6" s="483"/>
      <c r="F6" s="483"/>
      <c r="G6" s="486"/>
      <c r="H6" s="486"/>
      <c r="I6" s="487"/>
      <c r="J6" s="487"/>
      <c r="K6" s="754"/>
      <c r="L6" s="487"/>
      <c r="W6" s="482">
        <v>11</v>
      </c>
    </row>
    <row r="7" ht="14.65" customHeight="1">
      <c r="D7" s="452"/>
      <c r="E7" s="2210" t="s">
        <v>300</v>
      </c>
      <c r="F7" s="2210"/>
      <c r="G7" s="2211"/>
      <c r="H7" s="2211"/>
      <c r="I7" s="2211"/>
      <c r="J7" s="2211"/>
      <c r="K7" s="2211"/>
      <c r="L7" s="2225" t="s">
        <v>301</v>
      </c>
      <c r="W7" s="449">
        <v>14</v>
      </c>
    </row>
    <row r="8" ht="48.25" customHeight="1">
      <c r="D8" s="452"/>
      <c r="E8" s="475" t="s">
        <v>88</v>
      </c>
      <c r="F8" s="825"/>
      <c r="G8" s="467" t="s">
        <v>86</v>
      </c>
      <c r="H8" s="467" t="s">
        <v>87</v>
      </c>
      <c r="I8" s="416" t="s">
        <v>85</v>
      </c>
      <c r="J8" s="416" t="s">
        <v>389</v>
      </c>
      <c r="K8" s="416" t="s">
        <v>390</v>
      </c>
      <c r="L8" s="2225"/>
      <c r="W8" s="449">
        <v>46</v>
      </c>
    </row>
    <row r="9" ht="12" hidden="1" customHeight="1">
      <c r="D9" s="489"/>
      <c r="E9" s="495"/>
      <c r="F9" s="832"/>
      <c r="G9" s="495"/>
      <c r="H9" s="495"/>
      <c r="I9" s="495"/>
      <c r="J9" s="495"/>
      <c r="K9" s="495"/>
      <c r="L9" s="495"/>
      <c r="M9" s="449"/>
      <c r="W9" s="449">
        <v>0</v>
      </c>
    </row>
    <row r="10" ht="14.25" hidden="1" customHeight="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r="11" ht="15" hidden="1" customHeight="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r="12" s="1614" customFormat="1" ht="15" customHeight="1">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r="13" ht="15.75" customHeight="1">
      <c r="A13" s="2101"/>
      <c r="B13" s="507"/>
      <c r="D13" s="508"/>
      <c r="E13" s="407"/>
      <c r="F13" s="531"/>
      <c r="G13" s="418" t="s">
        <v>103</v>
      </c>
      <c r="H13" s="406"/>
      <c r="I13" s="406"/>
      <c r="J13" s="406"/>
      <c r="K13" s="405"/>
      <c r="L13" s="2224"/>
      <c r="M13" s="511"/>
      <c r="N13" s="507"/>
      <c r="O13" s="507"/>
      <c r="P13" s="507"/>
      <c r="Q13" s="507"/>
      <c r="R13" s="507"/>
      <c r="S13" s="507"/>
      <c r="T13" s="507"/>
      <c r="U13" s="507"/>
      <c r="V13" s="507"/>
      <c r="W13" s="449">
        <v>15</v>
      </c>
    </row>
    <row r="14" ht="11.5" customHeight="1">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r="15" ht="14.65" customHeight="1">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r="16" ht="14.65" customHeight="1">
      <c r="W16" s="449">
        <v>14</v>
      </c>
    </row>
    <row r="17" ht="14.65" customHeight="1">
      <c r="W17" s="449">
        <v>14</v>
      </c>
    </row>
    <row r="18" ht="14.65" customHeight="1">
      <c r="G18" s="507"/>
      <c r="W18" s="449">
        <v>14</v>
      </c>
    </row>
    <row r="19" ht="22.5" hidden="1" customHeight="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autoFilter="0" deleteColumns="0" deleteRows="0" formatColumns="0" formatRows="0" insertColumns="1" insertRows="0" sort="0"/>
  <mergeCells count="6">
    <mergeCell ref="A11:A13"/>
    <mergeCell ref="E4:I4"/>
    <mergeCell ref="E7:K7"/>
    <mergeCell ref="L7:L8"/>
    <mergeCell ref="L10:L13"/>
    <mergeCell ref="E5:I5"/>
  </mergeCells>
  <dataValidations count="1">
    <dataValidation sqref="J12" allowBlank="1" prompt="Изменение значения по двойному щелчоку левой кнопки мыши"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2D004A-0046-4DBD-A7AF-0026006E00F4}" type="decimal" allowBlank="1" error="Допускается ввод только неотрицательных чисел!" errorTitle="Ошибка" showErrorMessage="1">
          <x14:formula1>
            <xm:f>0</xm:f>
          </x14:formula1>
          <x14:formula2>
            <xm:f>9.99999999999999E+23</xm:f>
          </x14:formula2>
          <xm:sqref>G10:K10</xm:sqref>
        </x14:dataValidation>
        <x14:dataValidation xr:uid="{005D0033-00F0-4784-A5F4-00E000CF00C8}"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K12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 xml:space="preserve">Источник тепловой энергии</v>
      </c>
      <c r="AQ5" s="502"/>
      <c r="AR5" s="502"/>
      <c r="AS5" s="1157">
        <v>0</v>
      </c>
    </row>
    <row r="6" ht="47.25" hidden="1" customHeight="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 xml:space="preserve">Схема подключения теплопотребляющей установки к коллектору источника тепловой энергии</v>
      </c>
      <c r="AQ6" s="502"/>
      <c r="AR6" s="502"/>
      <c r="AS6" s="1157">
        <v>0</v>
      </c>
    </row>
    <row r="7" ht="21" hidden="1" customHeight="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 xml:space="preserve">Добавить схему подключения</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P17" s="1313"/>
      <c r="AD17" s="1362"/>
      <c r="AE17" s="1362"/>
      <c r="AF17" s="1362"/>
      <c r="AG17" s="1363"/>
      <c r="AH17" s="2269"/>
      <c r="AI17" s="2270" t="s">
        <v>66</v>
      </c>
      <c r="AJ17" s="2269"/>
      <c r="AK17" s="2270" t="s">
        <v>66</v>
      </c>
      <c r="AS17" s="1157">
        <v>0</v>
      </c>
    </row>
    <row r="18" ht="14.25" hidden="1" customHeight="1">
      <c r="P18" s="1313"/>
      <c r="AD18" s="1362"/>
      <c r="AE18" s="1362"/>
      <c r="AF18" s="1362"/>
      <c r="AG18" s="330" t="str">
        <f>AH17&amp;"-"&amp;AJ17</f>
        <v>-</v>
      </c>
      <c r="AH18" s="2270"/>
      <c r="AI18" s="2270"/>
      <c r="AJ18" s="2270"/>
      <c r="AK18" s="2270"/>
      <c r="AS18" s="1157">
        <v>0</v>
      </c>
    </row>
    <row r="19" ht="14.25" hidden="1" customHeight="1">
      <c r="P19" s="1313"/>
      <c r="AK19" s="329"/>
      <c r="AS19" s="1157">
        <v>0</v>
      </c>
    </row>
    <row r="20" s="1368" customFormat="1" ht="22.5" hidden="1" customHeight="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r="23" ht="14.25" hidden="1" customHeight="1">
      <c r="O23" s="1366"/>
      <c r="P23" s="1313"/>
      <c r="AS23" s="1157">
        <v>0</v>
      </c>
    </row>
    <row r="24" ht="14.25" hidden="1" customHeight="1">
      <c r="O24" s="1366"/>
      <c r="P24" s="1313"/>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r="39" ht="14.65" customHeight="1">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r="40" ht="35.649999999999999" customHeight="1">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r="41" ht="35.649999999999999" customHeight="1">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r="43" ht="24" customHeight="1">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23</v>
      </c>
    </row>
    <row r="44" ht="24" customHeight="1">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 xml:space="preserve">Территория действия тарифа</v>
      </c>
      <c r="AQ44" s="502"/>
      <c r="AR44" s="502"/>
      <c r="AS44" s="1157">
        <v>23</v>
      </c>
    </row>
    <row r="45" ht="24" customHeight="1">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 xml:space="preserve">Наименование системы теплоснабжения</v>
      </c>
      <c r="AQ45" s="502"/>
      <c r="AR45" s="502"/>
      <c r="AS45" s="1157">
        <v>23</v>
      </c>
    </row>
    <row r="46" ht="24" customHeight="1">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 xml:space="preserve">Источник тепловой энергии</v>
      </c>
      <c r="AQ46" s="502"/>
      <c r="AR46" s="502"/>
      <c r="AS46" s="1157">
        <v>23</v>
      </c>
    </row>
    <row r="47" ht="49.5" customHeight="1">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 xml:space="preserve">Схема подключения теплопотребляющей установки к коллектору источника тепловой энергии</v>
      </c>
      <c r="AQ47" s="502"/>
      <c r="AR47" s="502"/>
      <c r="AS47" s="1157">
        <v>47</v>
      </c>
    </row>
    <row r="48" ht="24" customHeight="1">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 xml:space="preserve">Группа потребителей</v>
      </c>
      <c r="AQ48" s="502"/>
      <c r="AR48" s="502"/>
      <c r="AS48" s="1157">
        <v>23</v>
      </c>
    </row>
    <row r="49" ht="24" customHeight="1">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r="50" ht="1.05" customHeight="1">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14.65" customHeight="1">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 xml:space="preserve">Добавить схему подключения</v>
      </c>
      <c r="AQ53" s="502"/>
      <c r="AR53" s="502"/>
      <c r="AS53" s="1157">
        <v>14</v>
      </c>
    </row>
    <row r="54" s="1644" customFormat="1" ht="1.05" customHeight="1">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8.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r="60" ht="67.200000000000003" customHeight="1">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r="61" ht="14.65" customHeight="1">
      <c r="O61" s="539"/>
      <c r="AS61" s="1157">
        <v>14</v>
      </c>
    </row>
    <row r="62" ht="18.75" customHeight="1">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r="63" ht="18.75" customHeight="1">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r="64" ht="29.25" customHeight="1">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22.5" hidden="1" customHeight="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autoFilter="0" deleteColumns="0" deleteRows="0" formatColumns="0" formatRows="0" insertColumns="1" insertRows="0" sort="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4">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llowBlank="1" promptTitle="checkPeriodRange"/>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AF00B1-0096-4827-9A67-00F1007300AE}"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8700B5-0065-4692-945B-001500FB0020}"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E900BE-0085-4721-A261-003B00DB00D4}"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3D0036-0089-428F-ADCF-0056009F0054}"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 xml:space="preserve">Источник тепловой энергии</v>
      </c>
      <c r="AQ5" s="502"/>
      <c r="AR5" s="502"/>
      <c r="AS5" s="1157">
        <v>0</v>
      </c>
    </row>
    <row r="6" ht="47.25" hidden="1" customHeight="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 xml:space="preserve">Схема подключения теплопотребляющей установки к коллектору источника тепловой энергии</v>
      </c>
      <c r="AQ6" s="502"/>
      <c r="AR6" s="502"/>
      <c r="AS6" s="1157">
        <v>0</v>
      </c>
    </row>
    <row r="7" ht="21" hidden="1" customHeight="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 xml:space="preserve">Добавить схему подключения</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66</v>
      </c>
      <c r="AJ17" s="2269"/>
      <c r="AK17" s="2270" t="s">
        <v>66</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r="39" ht="14.65" customHeight="1">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r="40" ht="35.649999999999999" customHeight="1">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r="41" ht="35.649999999999999" customHeight="1">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 xml:space="preserve">Территория действия тарифа</v>
      </c>
      <c r="AQ44" s="502"/>
      <c r="AR44" s="502"/>
      <c r="AS44" s="1157">
        <v>21</v>
      </c>
    </row>
    <row r="45" ht="24" customHeight="1">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 xml:space="preserve">Наименование системы теплоснабжения</v>
      </c>
      <c r="AQ45" s="502"/>
      <c r="AR45" s="502"/>
      <c r="AS45" s="1157">
        <v>23</v>
      </c>
    </row>
    <row r="46" ht="22" customHeight="1">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 xml:space="preserve">Источник тепловой энергии</v>
      </c>
      <c r="AQ46" s="502"/>
      <c r="AR46" s="502"/>
      <c r="AS46" s="1157">
        <v>21</v>
      </c>
    </row>
    <row r="47" ht="49.5" customHeight="1">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 xml:space="preserve">Схема подключения теплопотребляющей установки к коллектору источника тепловой энергии</v>
      </c>
      <c r="AQ47" s="502"/>
      <c r="AR47" s="502"/>
      <c r="AS47" s="1157">
        <v>47</v>
      </c>
    </row>
    <row r="48" ht="22" customHeight="1">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 xml:space="preserve">Группа потребителей</v>
      </c>
      <c r="AQ48" s="502"/>
      <c r="AR48" s="502"/>
      <c r="AS48" s="1157">
        <v>21</v>
      </c>
    </row>
    <row r="49" ht="22" customHeight="1">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r="50" ht="1.05" customHeight="1">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14.65" customHeight="1">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 xml:space="preserve">Добавить схему подключения</v>
      </c>
      <c r="AQ53" s="502"/>
      <c r="AR53" s="502"/>
      <c r="AS53" s="1157">
        <v>14</v>
      </c>
    </row>
    <row r="54" s="1644" customFormat="1" ht="1.05" customHeight="1">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8.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r="60" ht="65.2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r="61" ht="14.65" customHeight="1">
      <c r="O61" s="539"/>
      <c r="AS61" s="1157">
        <v>14</v>
      </c>
    </row>
    <row r="62" ht="18.75" customHeight="1">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r="63" ht="18.75" customHeight="1">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r="64" ht="29.25" customHeight="1">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22.5" hidden="1" customHeight="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autoFilter="0" deleteColumns="0" deleteRows="0" formatColumns="0" formatRows="0" insertColumns="1" insertRows="0" sort="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DE00D3-00BE-4FBD-9120-000C002700FC}"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2200D2-00D7-444E-94DA-002100E800B9}"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E800BD-0072-4293-B2C5-00B3000E00B2}"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9900DE-00F7-429C-B5EC-00C100130011}"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637" width="10.57421875"/>
    <col customWidth="1" hidden="1" min="2" max="2" style="1637" width="11.00390625"/>
    <col hidden="1" min="3" max="3" style="1637" width="10.57421875"/>
    <col customWidth="1" hidden="1" min="4" max="4" style="1637" width="11.8515625"/>
    <col customWidth="1" hidden="1" min="5" max="5" style="1637" width="10.00390625"/>
    <col customWidth="1" hidden="1" min="6" max="6" style="1637" width="8.7109375"/>
    <col customWidth="1" hidden="1" min="7" max="7" style="1637" width="7.57421875"/>
    <col customWidth="1" hidden="1" min="8" max="8" style="1637" width="11.421875"/>
    <col customWidth="1" hidden="1" min="9" max="9" style="1637" width="12.00390625"/>
    <col customWidth="1" hidden="1" min="10" max="10" style="1637" width="9.8515625"/>
    <col customWidth="1" hidden="1" min="11" max="11" style="1637" width="11.421875"/>
    <col customWidth="1" hidden="1" min="12" max="12" style="2127" width="19.140625"/>
    <col customWidth="1" hidden="1" min="13" max="14" style="2399" width="12.28125"/>
    <col customWidth="1" hidden="1" min="15" max="15" style="2399" width="23.421875"/>
    <col customWidth="1" min="16" max="16" style="2399" width="3.0039062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AS1" s="1633" t="s">
        <v>14</v>
      </c>
    </row>
    <row r="2" ht="21" hidden="1" customHeight="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 xml:space="preserve">Наименование тарифа</v>
      </c>
      <c r="AQ2" s="1626"/>
      <c r="AR2" s="1626"/>
      <c r="AS2" s="1633">
        <v>0</v>
      </c>
    </row>
    <row r="3" ht="21" hidden="1" customHeight="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 xml:space="preserve">Территория действия тарифа</v>
      </c>
      <c r="AQ3" s="1626"/>
      <c r="AR3" s="1626"/>
      <c r="AS3" s="1633">
        <v>0</v>
      </c>
    </row>
    <row r="4" ht="23.25" hidden="1" customHeight="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 xml:space="preserve">Наименование системы теплоснабжения</v>
      </c>
      <c r="AQ4" s="1626"/>
      <c r="AR4" s="1626"/>
      <c r="AS4" s="1633">
        <v>0</v>
      </c>
    </row>
    <row r="5" ht="21" hidden="1" customHeight="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 xml:space="preserve">Источник тепловой энергии</v>
      </c>
      <c r="AQ5" s="1626"/>
      <c r="AR5" s="1626"/>
      <c r="AS5" s="1633">
        <v>0</v>
      </c>
    </row>
    <row r="6" ht="47.25" hidden="1" customHeight="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 xml:space="preserve">Схема подключения теплопотребляющей установки к коллектору источника тепловой энергии</v>
      </c>
      <c r="AQ6" s="1626"/>
      <c r="AR6" s="1626"/>
      <c r="AS6" s="1633">
        <v>0</v>
      </c>
    </row>
    <row r="7" ht="21" hidden="1" customHeight="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 xml:space="preserve">Группа потребителей</v>
      </c>
      <c r="AQ7" s="1626"/>
      <c r="AR7" s="1626"/>
      <c r="AS7" s="1633">
        <v>0</v>
      </c>
    </row>
    <row r="8" ht="21" hidden="1" customHeight="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r="9" ht="0.75" hidden="1" customHeight="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r="10" ht="15" hidden="1" customHeight="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 xml:space="preserve">Добавить вид теплоносителя (параметры теплоносителя)</v>
      </c>
      <c r="AQ10" s="1626"/>
      <c r="AR10" s="1626"/>
      <c r="AS10" s="1633">
        <v>0</v>
      </c>
    </row>
    <row r="11" ht="15" hidden="1" customHeight="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 xml:space="preserve">Добавить группу потребителей</v>
      </c>
      <c r="AQ11" s="1626"/>
      <c r="AR11" s="1626"/>
      <c r="AS11" s="1633">
        <v>0</v>
      </c>
    </row>
    <row r="12" ht="14.25" hidden="1" customHeight="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 xml:space="preserve">Добавить схему подключения</v>
      </c>
      <c r="AQ12" s="1626"/>
      <c r="AR12" s="1626"/>
      <c r="AS12" s="1633">
        <v>0</v>
      </c>
    </row>
    <row r="13" s="1644" customFormat="1" ht="0.75" hidden="1" customHeight="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 xml:space="preserve">Добавить источник для дифференциации</v>
      </c>
      <c r="AQ13" s="1253"/>
      <c r="AR13" s="1253"/>
      <c r="AS13" s="1644">
        <v>0</v>
      </c>
    </row>
    <row r="14" s="1644" customFormat="1" ht="0.75" hidden="1" customHeight="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 xml:space="preserve">Добавить централизованную систему для дифференциации</v>
      </c>
      <c r="AQ14" s="1253"/>
      <c r="AR14" s="1253"/>
      <c r="AS14" s="1644">
        <v>0</v>
      </c>
    </row>
    <row r="15" s="1644" customFormat="1" ht="0.75" hidden="1" customHeight="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 xml:space="preserve">Добавить территорию для дифференциации</v>
      </c>
      <c r="AQ15" s="1253"/>
      <c r="AR15" s="1253"/>
      <c r="AS15" s="1644">
        <v>0</v>
      </c>
    </row>
    <row r="16" ht="14.25" hidden="1" customHeight="1">
      <c r="AS16" s="1633">
        <v>0</v>
      </c>
    </row>
    <row r="17" ht="14.25" hidden="1" customHeight="1">
      <c r="AD17" s="1362"/>
      <c r="AE17" s="1362"/>
      <c r="AF17" s="1362"/>
      <c r="AG17" s="1363"/>
      <c r="AH17" s="2269"/>
      <c r="AI17" s="2270" t="s">
        <v>66</v>
      </c>
      <c r="AJ17" s="2269"/>
      <c r="AK17" s="2270" t="s">
        <v>66</v>
      </c>
      <c r="AS17" s="1633">
        <v>0</v>
      </c>
    </row>
    <row r="18" ht="14.25" hidden="1" customHeight="1">
      <c r="AD18" s="1362"/>
      <c r="AE18" s="1362"/>
      <c r="AF18" s="1362"/>
      <c r="AG18" s="330" t="str">
        <f>AH17&amp;"-"&amp;AJ17</f>
        <v>-</v>
      </c>
      <c r="AH18" s="2270"/>
      <c r="AI18" s="2270"/>
      <c r="AJ18" s="2270"/>
      <c r="AK18" s="2270"/>
      <c r="AS18" s="1633">
        <v>0</v>
      </c>
    </row>
    <row r="19" ht="14.25" hidden="1" customHeight="1">
      <c r="AS19" s="1633">
        <v>0</v>
      </c>
    </row>
    <row r="20" s="1368" customFormat="1" ht="14.25" hidden="1" customHeight="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r="21" s="1368" customFormat="1" ht="14.25" hidden="1" customHeight="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r="22" s="1368" customFormat="1" ht="14.25" hidden="1" customHeight="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r="23" ht="14.25" hidden="1" customHeight="1">
      <c r="O23" s="1312"/>
      <c r="AS23" s="1633">
        <v>0</v>
      </c>
    </row>
    <row r="24" ht="14.25" hidden="1" customHeight="1">
      <c r="O24" s="1312"/>
      <c r="AS24" s="1633">
        <v>0</v>
      </c>
    </row>
    <row r="25" ht="14.65" customHeight="1">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633">
        <v>14</v>
      </c>
    </row>
    <row r="28" ht="14.25" hidden="1" customHeight="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r="29" s="1855" customFormat="1" ht="25.5" hidden="1" customHeight="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r="30" s="1855" customFormat="1" ht="18.75" hidden="1" customHeight="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r="31" s="1855" customFormat="1" ht="18.75" hidden="1" customHeight="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r="32" s="1855" customFormat="1" ht="18.75" hidden="1" customHeight="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r="33" ht="14.25" hidden="1" customHeight="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r="34" s="1855" customFormat="1" ht="18.75" hidden="1" customHeight="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r="35" s="1855" customFormat="1" ht="18.75" hidden="1" customHeight="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r="36" s="1855" customFormat="1" ht="0" customHeight="1">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r="37" ht="14.65" customHeight="1">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r="39" ht="14.65" customHeight="1">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r="40" ht="35.649999999999999" customHeight="1">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r="41" ht="35.649999999999999" customHeight="1">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r="42" s="1643" customFormat="1" ht="11.25" hidden="1" customHeight="1">
      <c r="A42" s="1268"/>
      <c r="B42" s="1268"/>
      <c r="C42" s="1268"/>
      <c r="D42" s="1268"/>
      <c r="E42" s="1268"/>
      <c r="F42" s="1268"/>
      <c r="G42" s="1268"/>
      <c r="H42" s="1268"/>
      <c r="I42" s="1268"/>
      <c r="J42" s="1268"/>
      <c r="K42" s="1268"/>
      <c r="L42" s="1312"/>
      <c r="M42" s="1967"/>
      <c r="N42" s="1967"/>
      <c r="O42" s="1967"/>
      <c r="P42" s="1248"/>
      <c r="Q42" s="1249"/>
      <c r="R42" s="1256">
        <v>1</v>
      </c>
      <c r="S42" s="1279" t="s">
        <v>110</v>
      </c>
      <c r="T42" s="1257" t="s">
        <v>111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r="43" ht="22" customHeight="1">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 xml:space="preserve">Наименование тарифа</v>
      </c>
      <c r="AQ43" s="1626"/>
      <c r="AR43" s="1626"/>
      <c r="AS43" s="1633">
        <v>21</v>
      </c>
    </row>
    <row r="44" ht="22" customHeight="1">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 xml:space="preserve">Территория действия тарифа</v>
      </c>
      <c r="AQ44" s="1626"/>
      <c r="AR44" s="1626"/>
      <c r="AS44" s="1633">
        <v>21</v>
      </c>
    </row>
    <row r="45" ht="24" customHeight="1">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 xml:space="preserve">Наименование системы теплоснабжения</v>
      </c>
      <c r="AQ45" s="1626"/>
      <c r="AR45" s="1626"/>
      <c r="AS45" s="1633">
        <v>23</v>
      </c>
    </row>
    <row r="46" ht="22" customHeight="1">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 xml:space="preserve">Источник тепловой энергии</v>
      </c>
      <c r="AQ46" s="1626"/>
      <c r="AR46" s="1626"/>
      <c r="AS46" s="1633">
        <v>21</v>
      </c>
    </row>
    <row r="47" ht="49.5" customHeight="1">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 xml:space="preserve">Схема подключения теплопотребляющей установки к коллектору источника тепловой энергии</v>
      </c>
      <c r="AQ47" s="1626"/>
      <c r="AR47" s="1626"/>
      <c r="AS47" s="1633">
        <v>47</v>
      </c>
    </row>
    <row r="48" ht="22" customHeight="1">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 xml:space="preserve">Группа потребителей</v>
      </c>
      <c r="AQ48" s="1626"/>
      <c r="AR48" s="1626"/>
      <c r="AS48" s="1633">
        <v>21</v>
      </c>
    </row>
    <row r="49" ht="22" customHeight="1">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r="50" ht="1.05" customHeight="1">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r="51" ht="11.5" customHeight="1">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 xml:space="preserve">Добавить вид теплоносителя (параметры теплоносителя)</v>
      </c>
      <c r="AQ51" s="1626"/>
      <c r="AR51" s="1626"/>
      <c r="AS51" s="1633">
        <v>11</v>
      </c>
    </row>
    <row r="52" ht="11.5" customHeight="1">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 xml:space="preserve">Добавить группу потребителей</v>
      </c>
      <c r="AQ52" s="1626"/>
      <c r="AR52" s="1626"/>
      <c r="AS52" s="1633">
        <v>11</v>
      </c>
    </row>
    <row r="53" ht="14.65" customHeight="1">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 xml:space="preserve">Добавить схему подключения</v>
      </c>
      <c r="AQ53" s="1626"/>
      <c r="AR53" s="1626"/>
      <c r="AS53" s="1633">
        <v>14</v>
      </c>
    </row>
    <row r="54" s="1644" customFormat="1" ht="4.2000000000000002" customHeight="1">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 xml:space="preserve">Добавить источник для дифференциации</v>
      </c>
      <c r="AQ54" s="1253"/>
      <c r="AR54" s="1253"/>
      <c r="AS54" s="1644">
        <v>4</v>
      </c>
    </row>
    <row r="55" s="1644" customFormat="1" ht="4.2000000000000002" customHeight="1">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 xml:space="preserve">Добавить централизованную систему для дифференциации</v>
      </c>
      <c r="AQ55" s="1253"/>
      <c r="AR55" s="1253"/>
      <c r="AS55" s="1644">
        <v>4</v>
      </c>
    </row>
    <row r="56" s="1644" customFormat="1" ht="4.2000000000000002" customHeight="1">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 xml:space="preserve">Добавить территорию для дифференциации</v>
      </c>
      <c r="AQ56" s="1626"/>
      <c r="AR56" s="1626"/>
      <c r="AS56" s="1638">
        <v>4</v>
      </c>
    </row>
    <row r="57" s="1644" customFormat="1" ht="4.2000000000000002" customHeight="1">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 xml:space="preserve">Добавить наименование тарифа</v>
      </c>
      <c r="AQ57" s="1253"/>
      <c r="AR57" s="1253"/>
      <c r="AS57" s="1644">
        <v>4</v>
      </c>
    </row>
    <row r="58" ht="11.5" customHeight="1">
      <c r="M58" s="1633"/>
      <c r="N58" s="1633"/>
      <c r="O58" s="1637"/>
      <c r="P58" s="1633"/>
      <c r="Q58" s="1633"/>
      <c r="R58" s="1633"/>
      <c r="S58" s="1633"/>
      <c r="AN58" s="1633"/>
      <c r="AO58" s="1633"/>
      <c r="AP58" s="1633"/>
      <c r="AQ58" s="1633"/>
      <c r="AR58" s="1633"/>
      <c r="AS58" s="1633">
        <v>11</v>
      </c>
    </row>
    <row r="59" ht="28.5" customHeight="1">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r="60" ht="65.25" customHeight="1">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r="61" ht="14.65" customHeight="1">
      <c r="O61" s="1637"/>
      <c r="AS61" s="1633">
        <v>14</v>
      </c>
    </row>
    <row r="62" ht="18.75" customHeight="1">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r="63" ht="18.75" customHeight="1">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r="64" ht="29.25" customHeight="1">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r="65" ht="22.5" hidden="1" customHeight="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autoFilter="0" deleteColumns="0" deleteRows="0" insertColumns="1" insertRows="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6100BA-008F-4CA8-8540-00BC00EA001F}"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6500E8-007F-44B3-8C75-00AD00DC0078}"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1E0009-00F7-450D-BCCA-0039009B008D}"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E00040-009D-44C1-A4C8-00BF00CA000A}"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637" width="10.57421875"/>
    <col customWidth="1" hidden="1" min="2" max="2" style="1637" width="11.00390625"/>
    <col hidden="1" min="3" max="3" style="1637" width="10.57421875"/>
    <col customWidth="1" hidden="1" min="4" max="4" style="1637" width="11.8515625"/>
    <col customWidth="1" hidden="1" min="5" max="5" style="1637" width="10.00390625"/>
    <col customWidth="1" hidden="1" min="6" max="6" style="1637" width="8.7109375"/>
    <col customWidth="1" hidden="1" min="7" max="7" style="1637" width="7.57421875"/>
    <col customWidth="1" hidden="1" min="8" max="8" style="1637" width="11.421875"/>
    <col customWidth="1" hidden="1" min="9" max="9" style="1637" width="12.00390625"/>
    <col customWidth="1" hidden="1" min="10" max="10" style="1637" width="9.8515625"/>
    <col customWidth="1" hidden="1" min="11" max="11" style="1637" width="11.421875"/>
    <col customWidth="1" hidden="1" min="12" max="12" style="2127" width="19.140625"/>
    <col customWidth="1" hidden="1" min="13" max="14" style="2399" width="12.28125"/>
    <col customWidth="1" hidden="1" min="15" max="15" style="2399" width="23.421875"/>
    <col customWidth="1" min="16" max="16" style="2399" width="3.0039062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AS1" s="1633" t="s">
        <v>14</v>
      </c>
    </row>
    <row r="2" ht="21" hidden="1" customHeight="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 xml:space="preserve">Наименование тарифа</v>
      </c>
      <c r="AQ2" s="1626"/>
      <c r="AR2" s="1626"/>
      <c r="AS2" s="1633">
        <v>0</v>
      </c>
    </row>
    <row r="3" ht="21" hidden="1" customHeight="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 xml:space="preserve">Территория действия тарифа</v>
      </c>
      <c r="AQ3" s="1626"/>
      <c r="AR3" s="1626"/>
      <c r="AS3" s="1633">
        <v>0</v>
      </c>
    </row>
    <row r="4" ht="23.25" hidden="1" customHeight="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 xml:space="preserve">Наименование системы теплоснабжения</v>
      </c>
      <c r="AQ4" s="1626"/>
      <c r="AR4" s="1626"/>
      <c r="AS4" s="1633">
        <v>0</v>
      </c>
    </row>
    <row r="5" ht="21" hidden="1" customHeight="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 xml:space="preserve">Источник тепловой энергии</v>
      </c>
      <c r="AQ5" s="1626"/>
      <c r="AR5" s="1626"/>
      <c r="AS5" s="1633">
        <v>0</v>
      </c>
    </row>
    <row r="6" ht="47.25" hidden="1" customHeight="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 xml:space="preserve">Схема подключения теплопотребляющей установки к коллектору источника тепловой энергии</v>
      </c>
      <c r="AQ6" s="1626"/>
      <c r="AR6" s="1626"/>
      <c r="AS6" s="1633">
        <v>0</v>
      </c>
    </row>
    <row r="7" ht="21" hidden="1" customHeight="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 xml:space="preserve">Группа потребителей</v>
      </c>
      <c r="AQ7" s="1626"/>
      <c r="AR7" s="1626"/>
      <c r="AS7" s="1633">
        <v>0</v>
      </c>
    </row>
    <row r="8" ht="21" hidden="1" customHeight="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r="9" ht="0.75" hidden="1" customHeight="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r="10" ht="15" hidden="1" customHeight="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 xml:space="preserve">Добавить вид теплоносителя (параметры теплоносителя)</v>
      </c>
      <c r="AQ10" s="1626"/>
      <c r="AR10" s="1626"/>
      <c r="AS10" s="1633">
        <v>0</v>
      </c>
    </row>
    <row r="11" ht="15" hidden="1" customHeight="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 xml:space="preserve">Добавить группу потребителей</v>
      </c>
      <c r="AQ11" s="1626"/>
      <c r="AR11" s="1626"/>
      <c r="AS11" s="1633">
        <v>0</v>
      </c>
    </row>
    <row r="12" ht="14.25" hidden="1" customHeight="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 xml:space="preserve">Добавить схему подключения</v>
      </c>
      <c r="AQ12" s="1626"/>
      <c r="AR12" s="1626"/>
      <c r="AS12" s="1633">
        <v>0</v>
      </c>
    </row>
    <row r="13" s="1644" customFormat="1" ht="0.75" hidden="1" customHeight="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 xml:space="preserve">Добавить источник для дифференциации</v>
      </c>
      <c r="AQ13" s="1253"/>
      <c r="AR13" s="1253"/>
      <c r="AS13" s="1644">
        <v>0</v>
      </c>
    </row>
    <row r="14" s="1644" customFormat="1" ht="0.75" hidden="1" customHeight="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 xml:space="preserve">Добавить централизованную систему для дифференциации</v>
      </c>
      <c r="AQ14" s="1253"/>
      <c r="AR14" s="1253"/>
      <c r="AS14" s="1644">
        <v>0</v>
      </c>
    </row>
    <row r="15" s="1644" customFormat="1" ht="0.75" hidden="1" customHeight="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 xml:space="preserve">Добавить территорию для дифференциации</v>
      </c>
      <c r="AQ15" s="1253"/>
      <c r="AR15" s="1253"/>
      <c r="AS15" s="1644">
        <v>0</v>
      </c>
    </row>
    <row r="16" ht="14.25" hidden="1" customHeight="1">
      <c r="AS16" s="1633">
        <v>0</v>
      </c>
    </row>
    <row r="17" ht="14.25" hidden="1" customHeight="1">
      <c r="AD17" s="1362"/>
      <c r="AE17" s="1362"/>
      <c r="AF17" s="1362"/>
      <c r="AG17" s="1363"/>
      <c r="AH17" s="2269"/>
      <c r="AI17" s="2270" t="s">
        <v>66</v>
      </c>
      <c r="AJ17" s="2269"/>
      <c r="AK17" s="2270" t="s">
        <v>66</v>
      </c>
      <c r="AS17" s="1633">
        <v>0</v>
      </c>
    </row>
    <row r="18" ht="14.25" hidden="1" customHeight="1">
      <c r="AD18" s="1362"/>
      <c r="AE18" s="1362"/>
      <c r="AF18" s="1362"/>
      <c r="AG18" s="330" t="str">
        <f>AH17&amp;"-"&amp;AJ17</f>
        <v>-</v>
      </c>
      <c r="AH18" s="2270"/>
      <c r="AI18" s="2270"/>
      <c r="AJ18" s="2270"/>
      <c r="AK18" s="2270"/>
      <c r="AS18" s="1633">
        <v>0</v>
      </c>
    </row>
    <row r="19" ht="14.25" hidden="1" customHeight="1">
      <c r="AS19" s="1633">
        <v>0</v>
      </c>
    </row>
    <row r="20" s="1368" customFormat="1" ht="14.25" hidden="1" customHeight="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r="21" s="1368" customFormat="1" ht="14.25" hidden="1" customHeight="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r="22" s="1368" customFormat="1" ht="14.25" hidden="1" customHeight="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r="23" ht="14.25" hidden="1" customHeight="1">
      <c r="O23" s="1312"/>
      <c r="AS23" s="1633">
        <v>0</v>
      </c>
    </row>
    <row r="24" ht="14.25" hidden="1" customHeight="1">
      <c r="O24" s="1312"/>
      <c r="AS24" s="1633">
        <v>0</v>
      </c>
    </row>
    <row r="25" ht="14.65" customHeight="1">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633">
        <v>14</v>
      </c>
    </row>
    <row r="28" ht="14.25" hidden="1" customHeight="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r="29" s="1855" customFormat="1" ht="25.5" hidden="1" customHeight="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r="30" s="1855" customFormat="1" ht="18.75" hidden="1" customHeight="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r="31" s="1855" customFormat="1" ht="18.75" hidden="1" customHeight="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r="32" s="1855" customFormat="1" ht="18.75" hidden="1" customHeight="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r="33" ht="14.25" hidden="1" customHeight="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r="34" s="1855" customFormat="1" ht="18.75" hidden="1" customHeight="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r="35" s="1855" customFormat="1" ht="18.75" hidden="1" customHeight="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r="36" s="1855" customFormat="1" ht="0" customHeight="1">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r="37" ht="14.65" customHeight="1">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r="39" ht="14.65" customHeight="1">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r="40" ht="35.649999999999999" customHeight="1">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r="41" ht="35.649999999999999" customHeight="1">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r="42" s="1643" customFormat="1" ht="11.25" hidden="1" customHeight="1">
      <c r="A42" s="1268"/>
      <c r="B42" s="1268"/>
      <c r="C42" s="1268"/>
      <c r="D42" s="1268"/>
      <c r="E42" s="1268"/>
      <c r="F42" s="1268"/>
      <c r="G42" s="1268"/>
      <c r="H42" s="1268"/>
      <c r="I42" s="1268"/>
      <c r="J42" s="1268"/>
      <c r="K42" s="1268"/>
      <c r="L42" s="1312"/>
      <c r="M42" s="1967"/>
      <c r="N42" s="1967"/>
      <c r="O42" s="1967"/>
      <c r="P42" s="1248"/>
      <c r="Q42" s="1249"/>
      <c r="R42" s="1256">
        <v>1</v>
      </c>
      <c r="S42" s="1279" t="s">
        <v>110</v>
      </c>
      <c r="T42" s="1257" t="s">
        <v>111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r="43" ht="22" customHeight="1">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 xml:space="preserve">Наименование тарифа</v>
      </c>
      <c r="AQ43" s="1626"/>
      <c r="AR43" s="1626"/>
      <c r="AS43" s="1633">
        <v>21</v>
      </c>
    </row>
    <row r="44" ht="22" customHeight="1">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 xml:space="preserve">Территория действия тарифа</v>
      </c>
      <c r="AQ44" s="1626"/>
      <c r="AR44" s="1626"/>
      <c r="AS44" s="1633">
        <v>21</v>
      </c>
    </row>
    <row r="45" ht="24" customHeight="1">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 xml:space="preserve">Наименование системы теплоснабжения</v>
      </c>
      <c r="AQ45" s="1626"/>
      <c r="AR45" s="1626"/>
      <c r="AS45" s="1633">
        <v>23</v>
      </c>
    </row>
    <row r="46" ht="22" customHeight="1">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 xml:space="preserve">Источник тепловой энергии</v>
      </c>
      <c r="AQ46" s="1626"/>
      <c r="AR46" s="1626"/>
      <c r="AS46" s="1633">
        <v>21</v>
      </c>
    </row>
    <row r="47" ht="49.5" customHeight="1">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 xml:space="preserve">Схема подключения теплопотребляющей установки к коллектору источника тепловой энергии</v>
      </c>
      <c r="AQ47" s="1626"/>
      <c r="AR47" s="1626"/>
      <c r="AS47" s="1633">
        <v>47</v>
      </c>
    </row>
    <row r="48" ht="22" customHeight="1">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 xml:space="preserve">Группа потребителей</v>
      </c>
      <c r="AQ48" s="1626"/>
      <c r="AR48" s="1626"/>
      <c r="AS48" s="1633">
        <v>21</v>
      </c>
    </row>
    <row r="49" ht="22" customHeight="1">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r="50" ht="1.05" customHeight="1">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r="51" ht="11.5" customHeight="1">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 xml:space="preserve">Добавить вид теплоносителя (параметры теплоносителя)</v>
      </c>
      <c r="AQ51" s="1626"/>
      <c r="AR51" s="1626"/>
      <c r="AS51" s="1633">
        <v>11</v>
      </c>
    </row>
    <row r="52" ht="11.5" customHeight="1">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 xml:space="preserve">Добавить группу потребителей</v>
      </c>
      <c r="AQ52" s="1626"/>
      <c r="AR52" s="1626"/>
      <c r="AS52" s="1633">
        <v>11</v>
      </c>
    </row>
    <row r="53" ht="14.65" customHeight="1">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 xml:space="preserve">Добавить схему подключения</v>
      </c>
      <c r="AQ53" s="1626"/>
      <c r="AR53" s="1626"/>
      <c r="AS53" s="1633">
        <v>14</v>
      </c>
    </row>
    <row r="54" s="1644" customFormat="1" ht="1.05" customHeight="1">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 xml:space="preserve">Добавить источник для дифференциации</v>
      </c>
      <c r="AQ54" s="1253"/>
      <c r="AR54" s="1253"/>
      <c r="AS54" s="1644">
        <v>1</v>
      </c>
    </row>
    <row r="55" s="1644" customFormat="1" ht="1.05" customHeight="1">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 xml:space="preserve">Добавить централизованную систему для дифференциации</v>
      </c>
      <c r="AQ55" s="1253"/>
      <c r="AR55" s="1253"/>
      <c r="AS55" s="1644">
        <v>1</v>
      </c>
    </row>
    <row r="56" s="1644" customFormat="1" ht="1.05" customHeight="1">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 xml:space="preserve">Добавить территорию для дифференциации</v>
      </c>
      <c r="AQ56" s="1626"/>
      <c r="AR56" s="1626"/>
      <c r="AS56" s="1638">
        <v>1</v>
      </c>
    </row>
    <row r="57" s="1644" customFormat="1" ht="1.05" customHeight="1">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 xml:space="preserve">Добавить наименование тарифа</v>
      </c>
      <c r="AQ57" s="1253"/>
      <c r="AR57" s="1253"/>
      <c r="AS57" s="1644">
        <v>1</v>
      </c>
    </row>
    <row r="58" ht="11.5" customHeight="1">
      <c r="M58" s="1633"/>
      <c r="N58" s="1633"/>
      <c r="O58" s="1637"/>
      <c r="P58" s="1633"/>
      <c r="Q58" s="1633"/>
      <c r="R58" s="1633"/>
      <c r="S58" s="1633"/>
      <c r="AN58" s="1633"/>
      <c r="AO58" s="1633"/>
      <c r="AP58" s="1633"/>
      <c r="AQ58" s="1633"/>
      <c r="AR58" s="1633"/>
      <c r="AS58" s="1633">
        <v>11</v>
      </c>
    </row>
    <row r="59" ht="28.5" customHeight="1">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r="60" ht="65.25" customHeight="1">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r="61" ht="14.65" customHeight="1">
      <c r="O61" s="1637"/>
      <c r="AS61" s="1633">
        <v>14</v>
      </c>
    </row>
    <row r="62" ht="18.75" customHeight="1">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r="63" ht="18.75" customHeight="1">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r="64" ht="29.25" customHeight="1">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r="65" ht="22.5" hidden="1" customHeight="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autoFilter="0" deleteColumns="0" deleteRows="0" insertColumns="1" insertRows="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40091-0077-4B8C-9A09-00BD00FC0087}"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4B006C-00B2-47BE-9B48-00CA003E0053}"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A70079-0075-489C-B077-006C00A5004D}"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5D00E1-008E-47D5-B3C2-004E0038003F}"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1.00390625"/>
    <col customWidth="1" hidden="1" min="21" max="21" style="1637" width="0.7109375"/>
    <col customWidth="1" hidden="1" min="22" max="22" style="1637" width="1.7109375"/>
    <col customWidth="1" hidden="1" min="23" max="23" style="1637" width="24.7109375"/>
    <col customWidth="1" hidden="1" min="24" max="25" style="1637" width="0.14062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0.140625"/>
    <col customWidth="1" min="31" max="31" style="1637" width="24.00390625"/>
    <col customWidth="1" min="32" max="33" style="1637" width="0.14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 xml:space="preserve">Источник тепловой энергии</v>
      </c>
      <c r="AQ5" s="502"/>
      <c r="AR5" s="502"/>
      <c r="AS5" s="1157">
        <v>0</v>
      </c>
    </row>
    <row r="6" ht="47.25" hidden="1" customHeight="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 xml:space="preserve">Схема подключения теплопотребляющей установки к коллектору источника тепловой энергии</v>
      </c>
      <c r="AQ6" s="502"/>
      <c r="AR6" s="502"/>
      <c r="AS6" s="1157">
        <v>0</v>
      </c>
    </row>
    <row r="7" ht="21" hidden="1" customHeight="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 xml:space="preserve">Добавить схему подключения</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66</v>
      </c>
      <c r="AJ17" s="2269"/>
      <c r="AK17" s="2270" t="s">
        <v>66</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33.75" hidden="1" customHeight="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29.2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r="39" ht="14.65" customHeight="1">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r="40" ht="24" customHeight="1">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r="41" s="1268" customFormat="1" ht="24" customHeight="1">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 xml:space="preserve">Территория действия тарифа</v>
      </c>
      <c r="AQ44" s="502"/>
      <c r="AR44" s="502"/>
      <c r="AS44" s="1157">
        <v>21</v>
      </c>
    </row>
    <row r="45" ht="24" customHeight="1">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 xml:space="preserve">Наименование системы теплоснабжения</v>
      </c>
      <c r="AQ45" s="502"/>
      <c r="AR45" s="502"/>
      <c r="AS45" s="1157">
        <v>23</v>
      </c>
    </row>
    <row r="46" ht="22" customHeight="1">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 xml:space="preserve">Источник тепловой энергии</v>
      </c>
      <c r="AQ46" s="502"/>
      <c r="AR46" s="502"/>
      <c r="AS46" s="1157">
        <v>21</v>
      </c>
    </row>
    <row r="47" ht="49.5" customHeight="1">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 xml:space="preserve">Схема подключения теплопотребляющей установки к коллектору источника тепловой энергии</v>
      </c>
      <c r="AQ47" s="502"/>
      <c r="AR47" s="502"/>
      <c r="AS47" s="1157">
        <v>47</v>
      </c>
    </row>
    <row r="48" ht="22" customHeight="1">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 xml:space="preserve">Группа потребителей</v>
      </c>
      <c r="AQ48" s="502"/>
      <c r="AR48" s="502"/>
      <c r="AS48" s="1157">
        <v>21</v>
      </c>
    </row>
    <row r="49" ht="22" customHeight="1">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r="50" ht="1.05" customHeight="1">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14.65" customHeight="1">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 xml:space="preserve">Добавить схему подключения</v>
      </c>
      <c r="AQ53" s="502"/>
      <c r="AR53" s="502"/>
      <c r="AS53" s="1157">
        <v>14</v>
      </c>
    </row>
    <row r="54" s="1644" customFormat="1" ht="1.05" customHeight="1">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8.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r="60" ht="78.7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r="61" ht="14.65" customHeight="1">
      <c r="O61" s="539"/>
      <c r="AS61" s="1157">
        <v>14</v>
      </c>
    </row>
    <row r="62" ht="18.75" customHeight="1">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r="63" ht="18.75" customHeight="1">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r="64" ht="39.75" customHeight="1">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r="65" ht="22.5" hidden="1" customHeight="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autoFilter="0" deleteColumns="0" deleteRows="0" formatColumns="0" formatRows="0" insertColumns="1" insertRows="0" sort="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69001A-001E-4716-9129-008D009E008A}"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E40066-00DC-4B96-B7CB-007000E4005D}"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8800C5-00B8-4C48-B753-003F00D30081}"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2B0023-006A-4CA1-BFE5-0089001300F1}"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2399" width="3.710937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customWidth="1" hidden="1" min="45" max="45" style="1637" width="8.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 xml:space="preserve">Источник тепловой энергии</v>
      </c>
      <c r="AQ5" s="502"/>
      <c r="AR5" s="502"/>
      <c r="AS5" s="1157">
        <v>0</v>
      </c>
    </row>
    <row r="6" ht="14.25" hidden="1" customHeight="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r="7" ht="21" hidden="1" customHeight="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66</v>
      </c>
      <c r="AJ17" s="2269"/>
      <c r="AK17" s="2270" t="s">
        <v>66</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63" customHeight="1">
      <c r="Q26" s="378"/>
      <c r="R26" s="378"/>
      <c r="S26" s="2250"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r="39" ht="14.65" customHeight="1">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r="40" ht="35.649999999999999" customHeight="1">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r="41" ht="35.649999999999999" customHeight="1">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 xml:space="preserve">Территория действия тарифа</v>
      </c>
      <c r="AQ44" s="502"/>
      <c r="AR44" s="502"/>
      <c r="AS44" s="1157">
        <v>21</v>
      </c>
    </row>
    <row r="45" ht="24" customHeight="1">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 xml:space="preserve">Наименование системы теплоснабжения</v>
      </c>
      <c r="AQ45" s="502"/>
      <c r="AR45" s="502"/>
      <c r="AS45" s="1157">
        <v>23</v>
      </c>
    </row>
    <row r="46" ht="22" customHeight="1">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 xml:space="preserve">Источник тепловой энергии</v>
      </c>
      <c r="AQ46" s="502"/>
      <c r="AR46" s="502"/>
      <c r="AS46" s="1157">
        <v>21</v>
      </c>
    </row>
    <row r="47" s="1644" customFormat="1" ht="0" customHeight="1">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r="48" ht="22" customHeight="1">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 xml:space="preserve">Группа потребителей</v>
      </c>
      <c r="AQ48" s="502"/>
      <c r="AR48" s="502"/>
      <c r="AS48" s="1157">
        <v>21</v>
      </c>
    </row>
    <row r="49" ht="22" customHeight="1">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r="50" ht="1.05" customHeight="1">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0" customHeight="1">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r="54" s="1644" customFormat="1" ht="1.05" customHeight="1">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19.949999999999999"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r="60" ht="29.2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r="61" ht="42" customHeight="1">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r="62" ht="14.65" customHeight="1">
      <c r="O62" s="539"/>
      <c r="AS62" s="1157">
        <v>14</v>
      </c>
    </row>
    <row r="63" ht="21" customHeight="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r="64" ht="29.25" customHeight="1">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35.649999999999999" customHeight="1">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r="66" ht="22.5" hidden="1" customHeight="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autoFilter="0" deleteColumns="0" deleteRows="0" formatColumns="0" formatRows="0" insertColumns="1" insertRows="0" sort="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2C0088-005C-4ECF-88BC-004200B00009}"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5600BB-00AD-46D4-88C4-004700F80041}"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A40051-0039-45B3-9F02-007400FA0080}"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4D0018-008E-4D44-ADF6-006A00DA004C}"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2399" width="3.710937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A1" s="1873"/>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 xml:space="preserve">Источник тепловой энергии</v>
      </c>
      <c r="AQ5" s="502"/>
      <c r="AR5" s="502"/>
      <c r="AS5" s="1157">
        <v>0</v>
      </c>
    </row>
    <row r="6" ht="0.75" hidden="1" customHeight="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r="7" ht="84" hidden="1" customHeight="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 xml:space="preserve">Группа потребителей</v>
      </c>
      <c r="AQ7" s="502"/>
      <c r="AR7" s="502"/>
      <c r="AS7" s="1157">
        <v>0</v>
      </c>
    </row>
    <row r="8" ht="11.25" hidden="1" customHeight="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1.25" hidden="1" customHeight="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1.25" hidden="1" customHeight="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0.75" hidden="1" customHeight="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66</v>
      </c>
      <c r="AJ17" s="2269"/>
      <c r="AK17" s="2270" t="s">
        <v>66</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54.75" customHeight="1">
      <c r="Q26" s="378"/>
      <c r="R26" s="378"/>
      <c r="S26" s="2309"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r="39" ht="14.65" customHeight="1">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r="40" ht="35.649999999999999" customHeight="1">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r="41" ht="35.649999999999999" customHeight="1">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 xml:space="preserve">Территория действия тарифа</v>
      </c>
      <c r="AQ44" s="502"/>
      <c r="AR44" s="502"/>
      <c r="AS44" s="1157">
        <v>21</v>
      </c>
    </row>
    <row r="45" ht="24" customHeight="1">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 xml:space="preserve">Наименование системы теплоснабжения</v>
      </c>
      <c r="AQ45" s="502"/>
      <c r="AR45" s="502"/>
      <c r="AS45" s="1157">
        <v>23</v>
      </c>
    </row>
    <row r="46" ht="22" customHeight="1">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 xml:space="preserve">Источник тепловой энергии</v>
      </c>
      <c r="AQ46" s="502"/>
      <c r="AR46" s="502"/>
      <c r="AS46" s="1157">
        <v>21</v>
      </c>
    </row>
    <row r="47" s="1644" customFormat="1" ht="0" customHeight="1">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r="48" ht="22" customHeight="1">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 xml:space="preserve">Группа потребителей</v>
      </c>
      <c r="AQ48" s="502"/>
      <c r="AR48" s="502"/>
      <c r="AS48" s="1157">
        <v>21</v>
      </c>
    </row>
    <row r="49" ht="22" customHeight="1">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r="50" ht="1.05" customHeight="1">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0" customHeight="1">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r="54" s="1644" customFormat="1" ht="1.05" customHeight="1">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3.2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r="60" ht="30.449999999999999"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r="61" ht="42" customHeight="1">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r="62" ht="14.65" customHeight="1">
      <c r="O62" s="539"/>
      <c r="AS62" s="1157">
        <v>14</v>
      </c>
    </row>
    <row r="63" ht="21" customHeight="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r="64" ht="29.25" customHeight="1">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35.649999999999999" customHeight="1">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r="66" ht="22.5" hidden="1" customHeight="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autoFilter="0" deleteColumns="0" deleteRows="0" formatColumns="0" formatRows="0" insertColumns="1" insertRows="0" sort="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F80039-00F5-4FB7-9D86-006C005A003E}"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AE0018-008B-402E-87A5-00CF008000ED}"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1100DC-00C8-41C5-BE17-0077008C0085}"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130034-0016-4DD5-AA9F-00FE004700A2}"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2399" width="3.710937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 xml:space="preserve">Источник тепловой энергии</v>
      </c>
      <c r="AQ5" s="502"/>
      <c r="AR5" s="502"/>
      <c r="AS5" s="1157">
        <v>0</v>
      </c>
    </row>
    <row r="6" ht="14.25" hidden="1" customHeight="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r="7" ht="21" hidden="1" customHeight="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r="9" ht="14.2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1.25" hidden="1" customHeight="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r="13" s="1644" customFormat="1" ht="14.25" hidden="1" customHeight="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14.25" hidden="1" customHeight="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14.25" hidden="1" customHeight="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66</v>
      </c>
      <c r="AJ17" s="2269"/>
      <c r="AK17" s="2270" t="s">
        <v>66</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53.5" customHeight="1">
      <c r="Q26" s="378"/>
      <c r="R26" s="378"/>
      <c r="S26" s="2250"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25.5" hidden="1" customHeight="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r="39" ht="14.65" customHeight="1">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r="40" ht="35.649999999999999" customHeight="1">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r="41" ht="35.649999999999999" customHeight="1">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 xml:space="preserve">Территория действия тарифа</v>
      </c>
      <c r="AQ44" s="502"/>
      <c r="AR44" s="502"/>
      <c r="AS44" s="1157">
        <v>21</v>
      </c>
    </row>
    <row r="45" ht="24" customHeight="1">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 xml:space="preserve">Наименование системы теплоснабжения</v>
      </c>
      <c r="AQ45" s="502"/>
      <c r="AR45" s="502"/>
      <c r="AS45" s="1157">
        <v>23</v>
      </c>
    </row>
    <row r="46" ht="22" customHeight="1">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 xml:space="preserve">Источник тепловой энергии</v>
      </c>
      <c r="AQ46" s="502"/>
      <c r="AR46" s="502"/>
      <c r="AS46" s="1157">
        <v>21</v>
      </c>
    </row>
    <row r="47" s="1644" customFormat="1" ht="0" customHeight="1">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r="48" ht="22" customHeight="1">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 xml:space="preserve">Группа потребителей</v>
      </c>
      <c r="AQ48" s="502"/>
      <c r="AR48" s="502"/>
      <c r="AS48" s="1157">
        <v>21</v>
      </c>
    </row>
    <row r="49" ht="22" customHeight="1">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r="50" ht="0" customHeight="1">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r="51" ht="11.5" customHeight="1">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0" customHeight="1">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r="54" s="1644" customFormat="1" ht="0" customHeight="1">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0</v>
      </c>
    </row>
    <row r="55" s="1644" customFormat="1" ht="0" customHeight="1">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0</v>
      </c>
    </row>
    <row r="56" s="1644" customFormat="1" ht="0" customHeight="1">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0</v>
      </c>
    </row>
    <row r="57" s="1644" customFormat="1" ht="4.2000000000000002" customHeight="1">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4</v>
      </c>
    </row>
    <row r="58" ht="11.5" customHeight="1">
      <c r="M58" s="1162"/>
      <c r="N58" s="1162"/>
      <c r="O58" s="539"/>
      <c r="P58" s="1157"/>
      <c r="Q58" s="1157"/>
      <c r="R58" s="1157"/>
      <c r="S58" s="1157"/>
      <c r="AN58" s="1157"/>
      <c r="AO58" s="1157"/>
      <c r="AP58" s="1157"/>
      <c r="AQ58" s="1157"/>
      <c r="AR58" s="1157"/>
      <c r="AS58" s="1157">
        <v>11</v>
      </c>
    </row>
    <row r="59" ht="14.6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r="60" ht="14.6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r="61" ht="14.65" customHeight="1">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r="62" ht="14.65" customHeight="1">
      <c r="O62" s="539"/>
      <c r="AS62" s="1157">
        <v>14</v>
      </c>
    </row>
    <row r="63" ht="14.65" customHeight="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r="64" ht="14.65" customHeight="1">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r="65" ht="14.65" customHeight="1">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r="66" ht="22.5" hidden="1" customHeight="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autoFilter="0" deleteColumns="0" deleteRows="0" formatColumns="0" formatRows="0" insertColumns="1" insertRows="0" sort="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4">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830020-005A-4E96-B7DF-002100A10071}"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0000B7-005D-4B7A-997A-004500EF00DB}"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9A00BF-0015-41F7-BDB1-0038002F00E9}"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450044-00B5-47D4-A9FD-008100BD005C}"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637" width="10.57421875"/>
    <col customWidth="1" hidden="1" min="2" max="2" style="1637" width="11.00390625"/>
    <col hidden="1" min="3" max="3" style="1637" width="10.57421875"/>
    <col customWidth="1" hidden="1" min="4" max="4" style="1637" width="11.8515625"/>
    <col customWidth="1" hidden="1" min="5" max="5" style="1637" width="10.00390625"/>
    <col customWidth="1" hidden="1" min="6" max="6" style="1637" width="8.7109375"/>
    <col customWidth="1" hidden="1" min="7" max="7" style="1637" width="7.57421875"/>
    <col customWidth="1" hidden="1" min="8" max="8" style="1637" width="11.421875"/>
    <col customWidth="1" hidden="1" min="9" max="9" style="1637" width="12.00390625"/>
    <col customWidth="1" hidden="1" min="10" max="10" style="1637" width="9.8515625"/>
    <col customWidth="1" hidden="1" min="11" max="12" style="1637" width="11.421875"/>
    <col customWidth="1" hidden="1" min="13" max="13" style="2127" width="19.140625"/>
    <col customWidth="1" hidden="1" min="14" max="15" style="2399" width="12.28125"/>
    <col customWidth="1" hidden="1" min="16" max="16" style="2399" width="23.421875"/>
    <col customWidth="1" hidden="1" min="17" max="17" style="2399" width="3.7109375"/>
    <col customWidth="1" min="18" max="20" style="346" width="3.00390625"/>
    <col customWidth="1" min="21" max="21" style="2409" width="12.00390625"/>
    <col customWidth="1" min="22" max="22" style="1637" width="31.00390625"/>
    <col customWidth="1" min="23" max="23" style="1637" width="0.140625"/>
    <col customWidth="1" hidden="1" min="24" max="28" style="1637" width="21.7109375"/>
    <col customWidth="1" hidden="1" min="29" max="29" style="1637" width="11.7109375"/>
    <col customWidth="1" hidden="1" min="30" max="30" style="1637" width="3.7109375"/>
    <col customWidth="1" hidden="1" min="31" max="31" style="1637" width="11.7109375"/>
    <col customWidth="1" hidden="1" min="32" max="32" style="1637" width="8.57421875"/>
    <col customWidth="1" min="33" max="33" style="1637" width="21.7109375"/>
    <col customWidth="1" min="34" max="37" style="1637" width="21.00390625"/>
    <col customWidth="1" min="38" max="38" style="1637" width="11.00390625"/>
    <col customWidth="1" min="39" max="39" style="1637" width="3.7109375"/>
    <col customWidth="1" min="40" max="40" style="1637" width="11.00390625"/>
    <col customWidth="1" hidden="1" min="41" max="41" style="1637" width="8.57421875"/>
    <col customWidth="1" min="42" max="42" style="1637" width="4.00390625"/>
    <col customWidth="1" min="43" max="43" style="1637" width="115.00390625"/>
    <col customWidth="1" min="44" max="48" style="1644" width="10.00390625"/>
    <col hidden="1" min="49" max="49" style="1637" width="10.57421875"/>
  </cols>
  <sheetData>
    <row r="1" ht="22.5" hidden="1" customHeight="1">
      <c r="AB1" s="329"/>
      <c r="AC1" s="329"/>
      <c r="AK1" s="329"/>
      <c r="AL1" s="329"/>
      <c r="AW1" s="1157" t="s">
        <v>14</v>
      </c>
    </row>
    <row r="2" ht="21" hidden="1" customHeight="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 xml:space="preserve">Наименование тарифа</v>
      </c>
      <c r="AU2" s="502"/>
      <c r="AV2" s="502"/>
      <c r="AW2" s="1157">
        <v>0</v>
      </c>
    </row>
    <row r="3" ht="21" hidden="1" customHeight="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 xml:space="preserve">Территория действия тарифа</v>
      </c>
      <c r="AU3" s="502"/>
      <c r="AV3" s="502"/>
      <c r="AW3" s="1157">
        <v>0</v>
      </c>
    </row>
    <row r="4" ht="22.5" hidden="1" customHeight="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 xml:space="preserve">Наименование системы теплоснабжения</v>
      </c>
      <c r="AU4" s="502"/>
      <c r="AV4" s="502"/>
      <c r="AW4" s="1157">
        <v>0</v>
      </c>
    </row>
    <row r="5" ht="21" hidden="1" customHeight="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 xml:space="preserve">Источник тепловой энергии</v>
      </c>
      <c r="AU5" s="502"/>
      <c r="AV5" s="502"/>
      <c r="AW5" s="1157">
        <v>0</v>
      </c>
    </row>
    <row r="6" ht="14.25" hidden="1" customHeight="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r="7" ht="21" hidden="1" customHeight="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 xml:space="preserve">Группа потребителей</v>
      </c>
      <c r="AU7" s="502"/>
      <c r="AV7" s="502"/>
      <c r="AW7" s="1157">
        <v>0</v>
      </c>
    </row>
    <row r="8" ht="21" hidden="1" customHeight="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r="9" ht="21" hidden="1" customHeight="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r="10" ht="14.25" hidden="1" customHeight="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r="11" ht="11.25" hidden="1" customHeight="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r="12" ht="15" hidden="1" customHeight="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 xml:space="preserve">Добавить вид теплоносителя (параметры теплоносителя)</v>
      </c>
      <c r="AU12" s="502"/>
      <c r="AV12" s="502"/>
      <c r="AW12" s="1157">
        <v>0</v>
      </c>
    </row>
    <row r="13" ht="11.25" hidden="1" customHeight="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 xml:space="preserve">Добавить группу потребителей</v>
      </c>
      <c r="AU13" s="502"/>
      <c r="AV13" s="502"/>
      <c r="AW13" s="1157">
        <v>0</v>
      </c>
    </row>
    <row r="14" ht="14.25" hidden="1" customHeight="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r="15" s="1644" customFormat="1" ht="14.25" hidden="1" customHeight="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 xml:space="preserve">Добавить источник для дифференциации</v>
      </c>
      <c r="AU15" s="791"/>
      <c r="AV15" s="791"/>
      <c r="AW15" s="520">
        <v>0</v>
      </c>
    </row>
    <row r="16" s="1644" customFormat="1" ht="14.25" hidden="1" customHeight="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 xml:space="preserve">Добавить централизованную систему для дифференциации</v>
      </c>
      <c r="AU16" s="791"/>
      <c r="AV16" s="791"/>
      <c r="AW16" s="520">
        <v>0</v>
      </c>
    </row>
    <row r="17" s="1644" customFormat="1" ht="14.25" hidden="1" customHeight="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 xml:space="preserve">Добавить территорию для дифференциации</v>
      </c>
      <c r="AU17" s="791"/>
      <c r="AV17" s="791"/>
      <c r="AW17" s="520">
        <v>0</v>
      </c>
    </row>
    <row r="18" ht="14.25" hidden="1" customHeight="1">
      <c r="AF18" s="329"/>
      <c r="AO18" s="329"/>
      <c r="AW18" s="1157">
        <v>0</v>
      </c>
    </row>
    <row r="19" ht="14.25" hidden="1" customHeight="1">
      <c r="AG19" s="1362"/>
      <c r="AH19" s="1362"/>
      <c r="AI19" s="1362"/>
      <c r="AJ19" s="1362"/>
      <c r="AK19" s="1363"/>
      <c r="AL19" s="2269"/>
      <c r="AM19" s="2270" t="s">
        <v>66</v>
      </c>
      <c r="AN19" s="2269"/>
      <c r="AO19" s="2270" t="s">
        <v>66</v>
      </c>
      <c r="AW19" s="1157">
        <v>0</v>
      </c>
    </row>
    <row r="20" ht="14.25" hidden="1" customHeight="1">
      <c r="AG20" s="1362"/>
      <c r="AH20" s="1362"/>
      <c r="AI20" s="1362"/>
      <c r="AJ20" s="1362"/>
      <c r="AK20" s="1363"/>
      <c r="AL20" s="2269"/>
      <c r="AM20" s="2270"/>
      <c r="AN20" s="2269"/>
      <c r="AO20" s="2270"/>
      <c r="AW20" s="1157">
        <v>0</v>
      </c>
    </row>
    <row r="21" ht="14.25" hidden="1" customHeight="1">
      <c r="AG21" s="1362"/>
      <c r="AH21" s="1362"/>
      <c r="AI21" s="1362"/>
      <c r="AJ21" s="1362"/>
      <c r="AK21" s="1363"/>
      <c r="AL21" s="2269"/>
      <c r="AM21" s="2270"/>
      <c r="AN21" s="2269"/>
      <c r="AO21" s="2270"/>
      <c r="AW21" s="1157">
        <v>0</v>
      </c>
    </row>
    <row r="22" ht="14.25" hidden="1" customHeight="1">
      <c r="AG22" s="1362"/>
      <c r="AH22" s="1362"/>
      <c r="AI22" s="1362"/>
      <c r="AJ22" s="1362"/>
      <c r="AK22" s="330" t="str">
        <f>AL19&amp;"-"&amp;AN19</f>
        <v>-</v>
      </c>
      <c r="AL22" s="2270"/>
      <c r="AM22" s="2270"/>
      <c r="AN22" s="2270"/>
      <c r="AO22" s="2270"/>
      <c r="AW22" s="1157">
        <v>0</v>
      </c>
    </row>
    <row r="23" ht="14.25" hidden="1" customHeight="1">
      <c r="AO23" s="329"/>
      <c r="AW23" s="1157">
        <v>0</v>
      </c>
    </row>
    <row r="24" s="1368" customFormat="1" ht="22.5" hidden="1" customHeight="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r="25" s="1368" customFormat="1" ht="14.25" hidden="1" customHeight="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r="26" s="1368" customFormat="1" ht="14.25" hidden="1" customHeight="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r="27" ht="14.25" hidden="1" customHeight="1">
      <c r="P27" s="1312"/>
      <c r="AW27" s="1157">
        <v>0</v>
      </c>
    </row>
    <row r="28" ht="14.25" hidden="1" customHeight="1">
      <c r="P28" s="1312"/>
      <c r="AW28" s="1157">
        <v>0</v>
      </c>
    </row>
    <row r="29" ht="14.65" customHeight="1">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r="30" ht="56.700000000000003" customHeight="1">
      <c r="R30" s="378"/>
      <c r="S30" s="378"/>
      <c r="T30" s="378"/>
      <c r="U30" s="2250" t="str">
        <f>IF(TEMPLATE_GROUP="P",PT_P_FORM_HEAT_6_NAME_FORM,PT_R_FORM_HEAT_23_NAME_FORM)</f>
        <v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r="31" ht="14.65" customHeight="1">
      <c r="R31" s="378"/>
      <c r="S31" s="378"/>
      <c r="T31" s="378"/>
      <c r="U31" s="2251" t="str">
        <f>IF(org=0,"Не определено",org)</f>
        <v xml:space="preserve">филиал ПАО "ОГК-2" - Рязанская ГРЭС</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r="32" ht="14.25" hidden="1" customHeight="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r="33" s="1855" customFormat="1" ht="25.5" hidden="1" customHeight="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r="34" s="1855" customFormat="1" ht="18.75" hidden="1" customHeight="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r="35" s="1855" customFormat="1" ht="18.75" hidden="1" customHeight="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r="36" s="1855" customFormat="1" ht="18.75" hidden="1" customHeight="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r="37" ht="14.25" hidden="1" customHeight="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r="38" s="1855" customFormat="1" ht="18.75" hidden="1" customHeight="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r="39" s="1855" customFormat="1" ht="18.75" hidden="1" customHeight="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r="40" s="1855" customFormat="1" ht="0" customHeight="1">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r="41" ht="14.65" customHeight="1">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r="42" ht="14.65" customHeight="1">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r="43" ht="14.65" customHeight="1">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r="44" ht="35.649999999999999" customHeight="1">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r="45" ht="14.65" customHeight="1">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r="46" ht="27.300000000000001" customHeight="1">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r="47" ht="65.25" customHeight="1">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r="48" s="1643" customFormat="1" ht="11.25" hidden="1" customHeight="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110</v>
      </c>
      <c r="V48" s="1257" t="s">
        <v>111</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r="49" ht="22" customHeight="1">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 xml:space="preserve">Наименование тарифа</v>
      </c>
      <c r="AU49" s="502"/>
      <c r="AV49" s="502"/>
      <c r="AW49" s="1157">
        <v>21</v>
      </c>
    </row>
    <row r="50" ht="22" customHeight="1">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 xml:space="preserve">Территория действия тарифа</v>
      </c>
      <c r="AU50" s="502"/>
      <c r="AV50" s="502"/>
      <c r="AW50" s="1157">
        <v>21</v>
      </c>
    </row>
    <row r="51" ht="24" customHeight="1">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 xml:space="preserve">Наименование системы теплоснабжения</v>
      </c>
      <c r="AU51" s="502"/>
      <c r="AV51" s="502"/>
      <c r="AW51" s="1157">
        <v>23</v>
      </c>
    </row>
    <row r="52" ht="22" customHeight="1">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 xml:space="preserve">Источник тепловой энергии</v>
      </c>
      <c r="AU52" s="502"/>
      <c r="AV52" s="502"/>
      <c r="AW52" s="1157">
        <v>21</v>
      </c>
    </row>
    <row r="53" s="1644" customFormat="1" ht="0" customHeight="1">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r="54" ht="22" customHeight="1">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 xml:space="preserve">Группа потребителей</v>
      </c>
      <c r="AU54" s="502"/>
      <c r="AV54" s="502"/>
      <c r="AW54" s="1157">
        <v>21</v>
      </c>
    </row>
    <row r="55" ht="22" customHeight="1">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r="56" ht="11.5" customHeight="1">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r="57" ht="0" customHeight="1">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r="58" ht="11.5" customHeight="1">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 xml:space="preserve">Добавить наименование поставщика</v>
      </c>
      <c r="AU58" s="502"/>
      <c r="AV58" s="502"/>
      <c r="AW58" s="1157">
        <v>11</v>
      </c>
    </row>
    <row r="59" ht="11.5" customHeight="1">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 xml:space="preserve">Добавить вид теплоносителя (параметры теплоносителя)</v>
      </c>
      <c r="AU59" s="502"/>
      <c r="AV59" s="502"/>
      <c r="AW59" s="1157">
        <v>11</v>
      </c>
    </row>
    <row r="60" ht="11.5" customHeight="1">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 xml:space="preserve">Добавить группу потребителей</v>
      </c>
      <c r="AU60" s="502"/>
      <c r="AV60" s="502"/>
      <c r="AW60" s="1157">
        <v>11</v>
      </c>
    </row>
    <row r="61" ht="0" customHeight="1">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r="62" s="1644" customFormat="1" ht="0" customHeight="1">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 xml:space="preserve">Добавить источник для дифференциации</v>
      </c>
      <c r="AU62" s="791"/>
      <c r="AV62" s="791"/>
      <c r="AW62" s="520">
        <v>0</v>
      </c>
    </row>
    <row r="63" s="1644" customFormat="1" ht="0" customHeight="1">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 xml:space="preserve">Добавить централизованную систему для дифференциации</v>
      </c>
      <c r="AU63" s="791"/>
      <c r="AV63" s="791"/>
      <c r="AW63" s="520">
        <v>0</v>
      </c>
    </row>
    <row r="64" s="1644" customFormat="1" ht="0" customHeight="1">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 xml:space="preserve">Добавить территорию для дифференциации</v>
      </c>
      <c r="AU64" s="502"/>
      <c r="AV64" s="502"/>
      <c r="AW64" s="513">
        <v>0</v>
      </c>
    </row>
    <row r="65" s="1644" customFormat="1" ht="4.2000000000000002" customHeight="1">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 xml:space="preserve">Добавить наименование тарифа</v>
      </c>
      <c r="AU65" s="791"/>
      <c r="AV65" s="791"/>
      <c r="AW65" s="520">
        <v>4</v>
      </c>
    </row>
    <row r="66" ht="11.5" customHeight="1">
      <c r="N66" s="1157"/>
      <c r="O66" s="1157"/>
      <c r="P66" s="511"/>
      <c r="Q66" s="1157"/>
      <c r="R66" s="1157"/>
      <c r="S66" s="1157"/>
      <c r="T66" s="1157"/>
      <c r="U66" s="1157"/>
      <c r="AR66" s="1157"/>
      <c r="AS66" s="1157"/>
      <c r="AT66" s="1157"/>
      <c r="AU66" s="1157"/>
      <c r="AV66" s="1157"/>
      <c r="AW66" s="1157">
        <v>11</v>
      </c>
    </row>
    <row r="67" ht="35.649999999999999" customHeight="1">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r="68" ht="21" customHeight="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r="69" ht="14.65" customHeight="1">
      <c r="P69" s="511"/>
      <c r="AW69" s="1157">
        <v>14</v>
      </c>
    </row>
    <row r="70" ht="28.5" customHeight="1">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r="71" ht="18.75" customHeight="1">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r="72" ht="22.5" hidden="1" customHeight="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autoFilter="0" deleteColumns="0" deleteRows="0" formatColumns="0" formatRows="0" insertColumns="1" insertRows="0" sort="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4">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allowBlank="1" prompt="Для выбора выполните двойной щелчок левой клавиши мыши по соответствующей ячейке."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allowBlank="1" promptTitle="checkPeriodRange"/>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U131130:AQ131136 U196666:AQ196672 U262202:AQ262208 U327738:AQ327744 U393274:AQ393280 U458810:AQ458816 U524346:AQ524352 U589882:AQ589888 U655418:AQ655424 U720954:AQ720960 U786490:AQ786496 U852026:AQ852032 U917562:AQ917568 U983098:AQ983104 U65594:AQ65600"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9B0070-008D-4CC0-AE08-006D00650056}" type="textLength" allowBlank="1" error="Допускается ввод не более 900 символов!" errorTitle="Ошибка" operator="lessThanOrEqual"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 xr:uid="{00FC00F7-005B-4713-A223-00A400B5007C}" type="list" allowBlank="1" error="Выберите значение из списка" errorTitle="Ошибка" prompt="Выберите значение из списка"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A0001C-006A-4644-80E4-00AB002F008A}" type="list" allowBlank="1" error="Выберите значение из списка" errorTitle="Ошибка"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A90041-0016-4C52-B66B-00D1009D0028}" type="list" allowBlank="1" error="Выберите значение из списка" errorTitle="Ошибка" showErrorMessage="1" showInputMessage="1">
          <x14:formula1>
            <xm:f>kind_of_heat_transfer</xm:f>
          </x14:formula1>
          <xm:sqref>V65592 V131128 V196664 V262200 V327736 V393272 V458808 V524344 V589880 V655416 V720952 V786488 V852024 V917560 V983096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abSelected="1" topLeftCell="C1" zoomScale="90" workbookViewId="0">
      <selection activeCell="F67" sqref="F67:F70"/>
    </sheetView>
  </sheetViews>
  <sheetFormatPr defaultColWidth="9.140625" defaultRowHeight="11.25" customHeight="1"/>
  <cols>
    <col customWidth="1" hidden="1" min="1" max="1" style="789" width="10.7109375"/>
    <col customWidth="1" hidden="1" min="2" max="2" style="734" width="10.7109375"/>
    <col customWidth="1" min="3" max="3" style="532" width="3.00390625"/>
    <col customWidth="1" min="4" max="4" style="1637" width="1.00390625"/>
    <col customWidth="1" min="5" max="6" style="1637" width="55.00390625"/>
    <col customWidth="1" min="7" max="7" style="2127" width="1.00390625"/>
    <col customWidth="1" hidden="1" min="8" max="8" style="1637" width="18.00390625"/>
    <col customWidth="1" min="9" max="9" style="533" width="59.00390625"/>
    <col customWidth="1" hidden="1" min="10" max="10" style="1368" width="52.140625"/>
    <col customWidth="1" min="11" max="11" style="1637" width="8.00390625"/>
    <col customWidth="1" min="12" max="12" style="1637" width="77.00390625"/>
    <col customWidth="1" min="13" max="16" style="1637" width="8.00390625"/>
    <col customWidth="1" hidden="1" min="17" max="17" style="1637" width="12.00390625"/>
  </cols>
  <sheetData>
    <row r="1" s="624" customFormat="1" ht="3" customHeight="1">
      <c r="A1" s="785"/>
      <c r="B1" s="243"/>
      <c r="F1" s="244" t="s">
        <v>13</v>
      </c>
      <c r="G1" s="413"/>
      <c r="H1" s="73"/>
      <c r="I1" s="413"/>
      <c r="J1" s="873"/>
      <c r="Q1" s="244" t="s">
        <v>14</v>
      </c>
    </row>
    <row r="2" s="1634" customFormat="1" ht="14.25" customHeight="1">
      <c r="A2" s="785"/>
      <c r="B2" s="100"/>
      <c r="E2" s="1742" t="str">
        <f>code</f>
        <v xml:space="preserve">Код отчёта: PP110.OPEN.INFO.QUARTER.HEAT.EIAS</v>
      </c>
      <c r="F2" s="271"/>
      <c r="G2" s="247"/>
      <c r="H2" s="247"/>
      <c r="I2" s="247"/>
      <c r="J2" s="874"/>
      <c r="K2" s="247"/>
      <c r="Q2" s="73">
        <v>14</v>
      </c>
    </row>
    <row r="3" ht="14.65" customHeight="1">
      <c r="E3" s="248" t="str">
        <f>version</f>
        <v xml:space="preserve">Версия отчёта: 1.1.1</v>
      </c>
      <c r="F3" s="271"/>
      <c r="G3" s="772"/>
      <c r="H3" s="772"/>
      <c r="I3" s="772"/>
      <c r="J3" s="875"/>
      <c r="K3" s="90"/>
      <c r="Q3" s="76">
        <v>14</v>
      </c>
    </row>
    <row r="4" s="1614" customFormat="1" ht="6.2999999999999998" customHeight="1">
      <c r="A4" s="786"/>
      <c r="B4" s="234"/>
      <c r="C4" s="235"/>
      <c r="D4" s="236"/>
      <c r="E4" s="245"/>
      <c r="F4" s="246"/>
      <c r="G4" s="773"/>
      <c r="H4" s="411"/>
      <c r="I4" s="413"/>
      <c r="J4" s="876"/>
      <c r="Q4" s="238">
        <v>6</v>
      </c>
    </row>
    <row r="5" ht="39.75" customHeight="1">
      <c r="D5" s="77"/>
      <c r="E5" s="2097" t="str">
        <f>NameTemplatesInTitle</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r="6" s="1614" customFormat="1" ht="6.2999999999999998" customHeight="1">
      <c r="A6" s="786"/>
      <c r="B6" s="234"/>
      <c r="C6" s="235"/>
      <c r="D6" s="236"/>
      <c r="E6" s="239"/>
      <c r="F6" s="240"/>
      <c r="G6" s="774"/>
      <c r="H6" s="411"/>
      <c r="I6" s="413"/>
      <c r="J6" s="876"/>
      <c r="Q6" s="238">
        <v>6</v>
      </c>
    </row>
    <row r="7" ht="21" customHeight="1">
      <c r="D7" s="77"/>
      <c r="E7" s="393" t="s">
        <v>15</v>
      </c>
      <c r="F7" s="217" t="s">
        <v>16</v>
      </c>
      <c r="G7" s="774"/>
      <c r="Q7" s="76">
        <v>20</v>
      </c>
    </row>
    <row r="8" s="1614" customFormat="1" ht="6.2999999999999998" customHeight="1">
      <c r="A8" s="787"/>
      <c r="B8" s="234"/>
      <c r="C8" s="235"/>
      <c r="D8" s="241"/>
      <c r="E8" s="239"/>
      <c r="F8" s="242"/>
      <c r="G8" s="79"/>
      <c r="H8" s="411"/>
      <c r="I8" s="413"/>
      <c r="J8" s="879"/>
      <c r="Q8" s="238">
        <v>6</v>
      </c>
    </row>
    <row r="9" s="1637" customFormat="1" ht="19.5" hidden="1" customHeight="1">
      <c r="A9" s="786"/>
      <c r="B9" s="100"/>
      <c r="C9" s="410"/>
      <c r="D9" s="412"/>
      <c r="E9" s="1167" t="s">
        <v>17</v>
      </c>
      <c r="F9" s="1923"/>
      <c r="G9" s="774"/>
      <c r="I9" s="1902" t="str">
        <f>IF(TITLE_STRUCTURE_INFO_ROIV="","","раскрывается "&amp;INDEX(ROIV_INFO_COMMENT,MATCH(TITLE_STRUCTURE_INFO_ROIV,ROIV_INFO_LIST,0)))</f>
        <v/>
      </c>
      <c r="J9" s="878"/>
      <c r="Q9" s="411">
        <v>0</v>
      </c>
    </row>
    <row r="10" s="1614" customFormat="1" ht="24" hidden="1" customHeight="1">
      <c r="A10" s="787"/>
      <c r="B10" s="428"/>
      <c r="C10" s="429"/>
      <c r="D10" s="241"/>
      <c r="E10" s="1167" t="s">
        <v>18</v>
      </c>
      <c r="F10" s="2068" t="s">
        <v>19</v>
      </c>
      <c r="G10" s="79"/>
      <c r="H10" s="411"/>
      <c r="I10" s="413"/>
      <c r="J10" s="879"/>
      <c r="Q10" s="432">
        <v>24</v>
      </c>
    </row>
    <row r="11" ht="22.5" hidden="1" customHeight="1">
      <c r="A11" s="2100" t="s">
        <v>20</v>
      </c>
      <c r="D11" s="77"/>
      <c r="E11" s="1167" t="s">
        <v>21</v>
      </c>
      <c r="F11" s="1734" t="s">
        <v>22</v>
      </c>
      <c r="G11" s="79"/>
      <c r="H11" s="775" t="s">
        <v>23</v>
      </c>
      <c r="J11" s="878" t="s">
        <v>24</v>
      </c>
      <c r="Q11" s="76">
        <v>0</v>
      </c>
    </row>
    <row r="12" ht="22.5" hidden="1" customHeight="1">
      <c r="A12" s="2100"/>
      <c r="D12" s="77"/>
      <c r="E12" s="1167" t="s">
        <v>25</v>
      </c>
      <c r="F12" s="1734"/>
      <c r="G12" s="75"/>
      <c r="J12" s="878" t="s">
        <v>26</v>
      </c>
      <c r="Q12" s="76">
        <v>0</v>
      </c>
    </row>
    <row r="13" s="1637" customFormat="1" ht="22.5" hidden="1" customHeight="1">
      <c r="A13" s="790" t="s">
        <v>27</v>
      </c>
      <c r="B13" s="100"/>
      <c r="C13" s="410"/>
      <c r="D13" s="412"/>
      <c r="E13" s="1777" t="s">
        <v>28</v>
      </c>
      <c r="F13" s="1734" t="s">
        <v>22</v>
      </c>
      <c r="G13" s="79"/>
      <c r="H13" s="772"/>
      <c r="I13" s="413"/>
      <c r="J13" s="1778" t="s">
        <v>29</v>
      </c>
      <c r="Q13" s="411">
        <v>0</v>
      </c>
    </row>
    <row r="14" s="1637" customFormat="1" ht="27" customHeight="1">
      <c r="A14" s="790" t="s">
        <v>30</v>
      </c>
      <c r="B14" s="100"/>
      <c r="C14" s="410"/>
      <c r="D14" s="412"/>
      <c r="E14" s="1167" t="s">
        <v>31</v>
      </c>
      <c r="F14" s="1769">
        <v>2026</v>
      </c>
      <c r="G14" s="79"/>
      <c r="H14" s="772"/>
      <c r="I14" s="413"/>
      <c r="J14" s="878" t="s">
        <v>32</v>
      </c>
      <c r="Q14" s="411">
        <v>0</v>
      </c>
    </row>
    <row r="15" s="1637" customFormat="1" ht="19.5" customHeight="1">
      <c r="A15" s="790" t="s">
        <v>33</v>
      </c>
      <c r="B15" s="100"/>
      <c r="C15" s="410"/>
      <c r="D15" s="412"/>
      <c r="E15" s="1167" t="s">
        <v>34</v>
      </c>
      <c r="F15" s="1769" t="s">
        <v>35</v>
      </c>
      <c r="G15" s="79"/>
      <c r="H15" s="772"/>
      <c r="I15" s="413"/>
      <c r="J15" s="878" t="s">
        <v>36</v>
      </c>
      <c r="Q15" s="411">
        <v>0</v>
      </c>
    </row>
    <row r="16" s="1614" customFormat="1" ht="6.2999999999999998" customHeight="1">
      <c r="A16" s="787"/>
      <c r="B16" s="234"/>
      <c r="C16" s="235"/>
      <c r="D16" s="241"/>
      <c r="E16" s="239"/>
      <c r="F16" s="242"/>
      <c r="G16" s="79"/>
      <c r="H16" s="411"/>
      <c r="I16" s="413"/>
      <c r="J16" s="876"/>
      <c r="Q16" s="238">
        <v>6</v>
      </c>
    </row>
    <row r="17" ht="21" customHeight="1">
      <c r="D17" s="77"/>
      <c r="E17" s="393" t="s">
        <v>37</v>
      </c>
      <c r="F17" s="218" t="s">
        <v>38</v>
      </c>
      <c r="G17" s="75"/>
      <c r="H17" s="775" t="s">
        <v>23</v>
      </c>
      <c r="Q17" s="76">
        <v>20</v>
      </c>
    </row>
    <row r="18" ht="25.5" hidden="1" customHeight="1">
      <c r="D18" s="77"/>
      <c r="E18" s="1777" t="s">
        <v>39</v>
      </c>
      <c r="F18" s="1735"/>
      <c r="G18" s="75"/>
      <c r="I18" s="776"/>
      <c r="J18" s="2099" t="s">
        <v>40</v>
      </c>
      <c r="Q18" s="76">
        <v>0</v>
      </c>
    </row>
    <row r="19" ht="25.5" hidden="1" customHeight="1">
      <c r="D19" s="77"/>
      <c r="E19" s="1167" t="str">
        <f>"Дата периода регулирования, с которой "&amp;IF(TEMPLATE_GROUP="P","вводятся","предлагаются")&amp;" изменения в тарифы"</f>
        <v xml:space="preserve">Дата периода регулирования, с которой предлагаются изменения в тарифы</v>
      </c>
      <c r="F19" s="1735"/>
      <c r="G19" s="75"/>
      <c r="I19" s="776"/>
      <c r="J19" s="2099"/>
      <c r="Q19" s="76">
        <v>0</v>
      </c>
    </row>
    <row r="20" ht="22.5" hidden="1" customHeight="1">
      <c r="D20" s="77"/>
      <c r="E20" s="78"/>
      <c r="F20" s="272" t="str">
        <f>"Первичное "&amp;IF(TEMPLATE_GROUP="P","установление тарифов","предложение по тарифам")</f>
        <v xml:space="preserve">Первичное предложение по тарифам</v>
      </c>
      <c r="G20" s="75"/>
      <c r="I20" s="396"/>
      <c r="J20" s="877" t="s">
        <v>41</v>
      </c>
      <c r="Q20" s="76">
        <v>0</v>
      </c>
    </row>
    <row r="21" ht="19.5" hidden="1" customHeight="1">
      <c r="D21" s="77"/>
      <c r="E21" s="393" t="str">
        <f>"Дата "&amp;IF(TEMPLATE_GROUP="P","документа","подачи заявления")&amp;" об утверждении тарифов"</f>
        <v xml:space="preserve">Дата подачи заявления об утверждении тарифов</v>
      </c>
      <c r="F21" s="1734"/>
      <c r="G21" s="75"/>
      <c r="I21" s="777"/>
      <c r="Q21" s="76">
        <v>0</v>
      </c>
    </row>
    <row r="22" ht="19.5" hidden="1" customHeight="1">
      <c r="D22" s="77"/>
      <c r="E22" s="393" t="str">
        <f>"Номер "&amp;IF(TEMPLATE_GROUP="P","документа","подачи заявления")&amp;" об утверждении тарифов"</f>
        <v xml:space="preserve">Номер подачи заявления об утверждении тарифов</v>
      </c>
      <c r="F22" s="218"/>
      <c r="G22" s="75"/>
      <c r="I22" s="777"/>
      <c r="Q22" s="76">
        <v>0</v>
      </c>
    </row>
    <row r="23" ht="22.5" hidden="1" customHeight="1">
      <c r="D23" s="77"/>
      <c r="E23" s="393" t="s">
        <v>42</v>
      </c>
      <c r="F23" s="218"/>
      <c r="G23" s="75"/>
      <c r="Q23" s="76">
        <v>0</v>
      </c>
    </row>
    <row r="24" ht="19.5" hidden="1" customHeight="1">
      <c r="D24" s="77"/>
      <c r="E24" s="393" t="s">
        <v>43</v>
      </c>
      <c r="F24" s="218"/>
      <c r="G24" s="75"/>
      <c r="Q24" s="76">
        <v>0</v>
      </c>
    </row>
    <row r="25" ht="22.5" hidden="1" customHeight="1">
      <c r="D25" s="77"/>
      <c r="E25" s="78"/>
      <c r="F25" s="272" t="str">
        <f>"Изменение "&amp;IF(TEMPLATE_GROUP="P","тарифов","предложения по тарифам")</f>
        <v xml:space="preserve">Изменение предложения по тарифам</v>
      </c>
      <c r="G25" s="75"/>
      <c r="J25" s="877" t="s">
        <v>44</v>
      </c>
      <c r="Q25" s="76">
        <v>0</v>
      </c>
    </row>
    <row r="26" ht="19.5" hidden="1" customHeight="1">
      <c r="D26" s="77"/>
      <c r="E26" s="393" t="str">
        <f>"Дата "&amp;IF(TEMPLATE_GROUP="P","принятия решения","подачи заявления")&amp;" об изменении тарифов"</f>
        <v xml:space="preserve">Дата подачи заявления об изменении тарифов</v>
      </c>
      <c r="F26" s="1735"/>
      <c r="G26" s="75"/>
      <c r="Q26" s="76">
        <v>0</v>
      </c>
    </row>
    <row r="27" ht="19.5" hidden="1" customHeight="1">
      <c r="D27" s="77"/>
      <c r="E27" s="1167" t="str">
        <f>"Номер "&amp;IF(TEMPLATE_GROUP="P","принятия решения","заявления")&amp;" об изменении тарифов"</f>
        <v xml:space="preserve">Номер заявления об изменении тарифов</v>
      </c>
      <c r="F27" s="220"/>
      <c r="G27" s="75"/>
      <c r="Q27" s="76">
        <v>0</v>
      </c>
    </row>
    <row r="28" ht="24.75" hidden="1" customHeight="1">
      <c r="D28" s="77"/>
      <c r="E28" s="393" t="s">
        <v>45</v>
      </c>
      <c r="F28" s="220"/>
      <c r="G28" s="75"/>
      <c r="Q28" s="76">
        <v>0</v>
      </c>
    </row>
    <row r="29" ht="19.5" hidden="1" customHeight="1">
      <c r="D29" s="77"/>
      <c r="E29" s="393" t="s">
        <v>43</v>
      </c>
      <c r="F29" s="220"/>
      <c r="G29" s="75"/>
      <c r="Q29" s="76">
        <v>0</v>
      </c>
    </row>
    <row r="30" s="1614" customFormat="1" ht="6.2999999999999998" customHeight="1">
      <c r="A30" s="787"/>
      <c r="B30" s="234"/>
      <c r="C30" s="235"/>
      <c r="D30" s="241"/>
      <c r="E30" s="239"/>
      <c r="F30" s="242"/>
      <c r="G30" s="79"/>
      <c r="H30" s="411"/>
      <c r="I30" s="413"/>
      <c r="J30" s="876"/>
      <c r="Q30" s="238">
        <v>6</v>
      </c>
    </row>
    <row r="31" ht="21" customHeight="1">
      <c r="C31" s="80"/>
      <c r="D31" s="81"/>
      <c r="E31" s="393" t="str">
        <f>"Наименование "&amp;IF(TEMPLATE_GROUP="ROIV","органа тарифного регулирования","ЮЛ / ИП")</f>
        <v xml:space="preserve">Наименование ЮЛ / ИП</v>
      </c>
      <c r="F31" s="219" t="s">
        <v>46</v>
      </c>
      <c r="G31" s="778"/>
      <c r="Q31" s="76">
        <v>20</v>
      </c>
    </row>
    <row r="32" ht="21" hidden="1" customHeight="1">
      <c r="C32" s="80"/>
      <c r="D32" s="81"/>
      <c r="E32" s="394" t="s">
        <v>47</v>
      </c>
      <c r="F32" s="219"/>
      <c r="G32" s="778"/>
      <c r="Q32" s="76">
        <v>20</v>
      </c>
    </row>
    <row r="33" ht="21" customHeight="1">
      <c r="C33" s="80"/>
      <c r="D33" s="81"/>
      <c r="E33" s="393" t="s">
        <v>48</v>
      </c>
      <c r="F33" s="219" t="s">
        <v>49</v>
      </c>
      <c r="G33" s="778"/>
      <c r="Q33" s="76">
        <v>20</v>
      </c>
    </row>
    <row r="34" ht="21" customHeight="1">
      <c r="C34" s="80"/>
      <c r="D34" s="81"/>
      <c r="E34" s="393" t="s">
        <v>50</v>
      </c>
      <c r="F34" s="219" t="s">
        <v>51</v>
      </c>
      <c r="G34" s="778"/>
      <c r="H34" s="82"/>
      <c r="Q34" s="76">
        <v>20</v>
      </c>
    </row>
    <row r="35" s="1614" customFormat="1" ht="11.5" customHeight="1">
      <c r="A35" s="787"/>
      <c r="B35" s="234"/>
      <c r="C35" s="235"/>
      <c r="D35" s="241"/>
      <c r="E35" s="239"/>
      <c r="F35" s="242"/>
      <c r="G35" s="79"/>
      <c r="H35" s="411"/>
      <c r="I35" s="413"/>
      <c r="J35" s="876"/>
      <c r="Q35" s="238">
        <v>11</v>
      </c>
    </row>
    <row r="36" ht="19.5" customHeight="1">
      <c r="A36" s="881"/>
      <c r="D36" s="81"/>
      <c r="E36" s="393" t="s">
        <v>52</v>
      </c>
      <c r="F36" s="1212" t="s">
        <v>53</v>
      </c>
      <c r="G36" s="79"/>
      <c r="Q36" s="76">
        <v>0</v>
      </c>
    </row>
    <row r="37" ht="21" customHeight="1">
      <c r="A37" s="881"/>
      <c r="D37" s="81"/>
      <c r="E37" s="393" t="s">
        <v>54</v>
      </c>
      <c r="F37" s="1212" t="s">
        <v>55</v>
      </c>
      <c r="G37" s="79"/>
      <c r="Q37" s="76">
        <v>20</v>
      </c>
    </row>
    <row r="38" s="1614" customFormat="1" ht="6.2999999999999998" customHeight="1">
      <c r="A38" s="787"/>
      <c r="B38" s="234"/>
      <c r="C38" s="235"/>
      <c r="D38" s="236"/>
      <c r="E38" s="237"/>
      <c r="F38" s="1055"/>
      <c r="G38" s="75"/>
      <c r="H38" s="411"/>
      <c r="I38" s="413"/>
      <c r="J38" s="878"/>
      <c r="Q38" s="238">
        <v>6</v>
      </c>
    </row>
    <row r="39" ht="36.75" customHeight="1">
      <c r="A39" s="787"/>
      <c r="D39" s="77"/>
      <c r="E39" s="393" t="s">
        <v>56</v>
      </c>
      <c r="F39" s="712" t="s">
        <v>19</v>
      </c>
      <c r="G39" s="75"/>
      <c r="H39" s="775" t="s">
        <v>23</v>
      </c>
      <c r="Q39" s="76">
        <v>35</v>
      </c>
    </row>
    <row r="40" s="1614" customFormat="1" ht="6" hidden="1" customHeight="1">
      <c r="A40" s="786"/>
      <c r="B40" s="428"/>
      <c r="C40" s="429"/>
      <c r="D40" s="430"/>
      <c r="E40" s="431"/>
      <c r="F40" s="1055"/>
      <c r="G40" s="75"/>
      <c r="H40" s="411"/>
      <c r="I40" s="413"/>
      <c r="J40" s="878"/>
      <c r="Q40" s="432">
        <v>6</v>
      </c>
    </row>
    <row r="41" s="1637" customFormat="1" ht="26.25" hidden="1" customHeight="1">
      <c r="A41" s="790" t="s">
        <v>27</v>
      </c>
      <c r="B41" s="415"/>
      <c r="C41" s="410"/>
      <c r="D41" s="412"/>
      <c r="E41" s="393" t="str">
        <f>"Дифференциация информации по централизованным системам  "&amp;TEMPLATE_SPHERE_RUS</f>
        <v xml:space="preserve">Дифференциация информации по централизованным системам  теплоснабжения</v>
      </c>
      <c r="F41" s="712" t="s">
        <v>19</v>
      </c>
      <c r="G41" s="75"/>
      <c r="I41" s="413"/>
      <c r="J41" s="878"/>
      <c r="Q41" s="411">
        <v>0</v>
      </c>
    </row>
    <row r="42" s="1614" customFormat="1" ht="6" hidden="1" customHeight="1">
      <c r="A42" s="786"/>
      <c r="B42" s="428"/>
      <c r="C42" s="429"/>
      <c r="D42" s="430"/>
      <c r="E42" s="431"/>
      <c r="F42" s="1055"/>
      <c r="G42" s="75"/>
      <c r="H42" s="411"/>
      <c r="I42" s="413"/>
      <c r="J42" s="876"/>
      <c r="Q42" s="432">
        <v>0</v>
      </c>
    </row>
    <row r="43" s="1637" customFormat="1" ht="27" hidden="1" customHeight="1">
      <c r="A43" s="786"/>
      <c r="B43" s="415"/>
      <c r="C43" s="410"/>
      <c r="D43" s="412"/>
      <c r="E43" s="393" t="s">
        <v>57</v>
      </c>
      <c r="F43" s="712" t="s">
        <v>19</v>
      </c>
      <c r="G43" s="75"/>
      <c r="I43" s="413"/>
      <c r="J43" s="878"/>
      <c r="Q43" s="411">
        <v>0</v>
      </c>
    </row>
    <row r="44" s="1637" customFormat="1" ht="27" hidden="1" customHeight="1">
      <c r="A44" s="786"/>
      <c r="B44" s="415"/>
      <c r="C44" s="410"/>
      <c r="D44" s="412"/>
      <c r="E44" s="1167" t="s">
        <v>58</v>
      </c>
      <c r="F44" s="1890"/>
      <c r="G44" s="75"/>
      <c r="I44" s="413"/>
      <c r="J44" s="878"/>
      <c r="Q44" s="411">
        <v>0</v>
      </c>
    </row>
    <row r="45" s="1614" customFormat="1" ht="6" hidden="1" customHeight="1">
      <c r="A45" s="786"/>
      <c r="B45" s="428"/>
      <c r="C45" s="429"/>
      <c r="D45" s="430"/>
      <c r="E45" s="431"/>
      <c r="F45" s="1055"/>
      <c r="G45" s="75"/>
      <c r="H45" s="411"/>
      <c r="I45" s="413"/>
      <c r="J45" s="878"/>
      <c r="Q45" s="432">
        <v>0</v>
      </c>
    </row>
    <row r="46" s="1614" customFormat="1" ht="24.75" hidden="1" customHeight="1">
      <c r="A46" s="786"/>
      <c r="B46" s="428"/>
      <c r="C46" s="429"/>
      <c r="D46" s="430"/>
      <c r="E46" s="1167" t="s">
        <v>59</v>
      </c>
      <c r="F46" s="712" t="s">
        <v>19</v>
      </c>
      <c r="G46" s="75"/>
      <c r="H46" s="411"/>
      <c r="I46" s="413"/>
      <c r="J46" s="878"/>
      <c r="Q46" s="432">
        <v>0</v>
      </c>
    </row>
    <row r="47" s="1637" customFormat="1" ht="24.75" hidden="1" customHeight="1">
      <c r="A47" s="786"/>
      <c r="B47" s="415"/>
      <c r="C47" s="410"/>
      <c r="D47" s="412"/>
      <c r="E47" s="1167" t="s">
        <v>60</v>
      </c>
      <c r="F47" s="712" t="s">
        <v>19</v>
      </c>
      <c r="G47" s="75"/>
      <c r="I47" s="413"/>
      <c r="J47" s="878"/>
      <c r="Q47" s="411">
        <v>0</v>
      </c>
    </row>
    <row r="48" s="1614" customFormat="1" ht="6" hidden="1" customHeight="1">
      <c r="A48" s="786"/>
      <c r="B48" s="234"/>
      <c r="C48" s="235"/>
      <c r="D48" s="236"/>
      <c r="E48" s="237"/>
      <c r="F48" s="1055"/>
      <c r="G48" s="75"/>
      <c r="H48" s="411"/>
      <c r="I48" s="413"/>
      <c r="J48" s="878"/>
      <c r="Q48" s="238">
        <v>0</v>
      </c>
    </row>
    <row r="49" ht="29.25" hidden="1" customHeight="1">
      <c r="B49" s="150"/>
      <c r="D49" s="77"/>
      <c r="E49" s="393"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теплоснабжения</v>
      </c>
      <c r="F49" s="712"/>
      <c r="G49" s="75"/>
      <c r="Q49" s="76">
        <v>0</v>
      </c>
    </row>
    <row r="50" s="1614" customFormat="1" ht="6" hidden="1" customHeight="1">
      <c r="A50" s="787"/>
      <c r="B50" s="428"/>
      <c r="C50" s="429"/>
      <c r="D50" s="241"/>
      <c r="E50" s="239"/>
      <c r="F50" s="242"/>
      <c r="G50" s="79"/>
      <c r="H50" s="411"/>
      <c r="I50" s="413"/>
      <c r="J50" s="878"/>
      <c r="Q50" s="432">
        <v>0</v>
      </c>
    </row>
    <row r="51" s="1637" customFormat="1" ht="28.5" hidden="1" customHeight="1">
      <c r="A51" s="788"/>
      <c r="B51" s="415"/>
      <c r="C51" s="532"/>
      <c r="D51" s="533"/>
      <c r="E51" s="393" t="s">
        <v>61</v>
      </c>
      <c r="F51" s="712" t="s">
        <v>19</v>
      </c>
      <c r="G51" s="534"/>
      <c r="I51" s="536"/>
      <c r="J51" s="880"/>
      <c r="P51" s="537"/>
      <c r="Q51" s="535">
        <v>0</v>
      </c>
    </row>
    <row r="52" s="1614" customFormat="1" ht="6" hidden="1" customHeight="1">
      <c r="A52" s="787"/>
      <c r="B52" s="428"/>
      <c r="C52" s="429"/>
      <c r="D52" s="241"/>
      <c r="E52" s="239"/>
      <c r="F52" s="242"/>
      <c r="G52" s="79"/>
      <c r="H52" s="411"/>
      <c r="I52" s="413"/>
      <c r="J52" s="876"/>
      <c r="Q52" s="432">
        <v>0</v>
      </c>
    </row>
    <row r="53" s="1637" customFormat="1" ht="27" hidden="1" customHeight="1">
      <c r="A53" s="788"/>
      <c r="B53" s="415"/>
      <c r="C53" s="532"/>
      <c r="D53" s="533"/>
      <c r="E53" s="393" t="s">
        <v>62</v>
      </c>
      <c r="F53" s="1050" t="s">
        <v>19</v>
      </c>
      <c r="G53" s="534"/>
      <c r="I53" s="536"/>
      <c r="J53" s="880"/>
      <c r="P53" s="537"/>
      <c r="Q53" s="535">
        <v>0</v>
      </c>
    </row>
    <row r="54" s="1637" customFormat="1" ht="27" hidden="1" customHeight="1">
      <c r="A54" s="788"/>
      <c r="B54" s="415"/>
      <c r="C54" s="532"/>
      <c r="D54" s="533"/>
      <c r="E54" s="393" t="s">
        <v>63</v>
      </c>
      <c r="F54" s="1776"/>
      <c r="G54" s="534"/>
      <c r="I54" s="536"/>
      <c r="J54" s="880"/>
      <c r="P54" s="537"/>
      <c r="Q54" s="535">
        <v>0</v>
      </c>
    </row>
    <row r="55" s="1614" customFormat="1" ht="6" hidden="1" customHeight="1">
      <c r="A55" s="787"/>
      <c r="B55" s="428"/>
      <c r="C55" s="429"/>
      <c r="D55" s="241"/>
      <c r="E55" s="239"/>
      <c r="F55" s="242"/>
      <c r="G55" s="79"/>
      <c r="H55" s="411"/>
      <c r="I55" s="413"/>
      <c r="J55" s="876"/>
      <c r="Q55" s="432">
        <v>0</v>
      </c>
    </row>
    <row r="56" s="1637" customFormat="1" ht="25.5" hidden="1" customHeight="1">
      <c r="A56" s="788"/>
      <c r="B56" s="415"/>
      <c r="C56" s="532"/>
      <c r="D56" s="533"/>
      <c r="E56" s="393" t="s">
        <v>64</v>
      </c>
      <c r="F56" s="1050" t="s">
        <v>19</v>
      </c>
      <c r="G56" s="534"/>
      <c r="I56" s="536"/>
      <c r="J56" s="880"/>
      <c r="P56" s="537"/>
      <c r="Q56" s="535">
        <v>0</v>
      </c>
    </row>
    <row r="57" s="1614" customFormat="1" ht="6" hidden="1" customHeight="1">
      <c r="A57" s="787"/>
      <c r="B57" s="428"/>
      <c r="C57" s="429"/>
      <c r="D57" s="241"/>
      <c r="E57" s="239"/>
      <c r="F57" s="242"/>
      <c r="G57" s="79"/>
      <c r="H57" s="411"/>
      <c r="I57" s="413"/>
      <c r="J57" s="876"/>
      <c r="Q57" s="432">
        <v>0</v>
      </c>
    </row>
    <row r="58" s="1637" customFormat="1" ht="15" hidden="1" customHeight="1">
      <c r="A58" s="788"/>
      <c r="B58" s="415"/>
      <c r="C58" s="532"/>
      <c r="D58" s="533"/>
      <c r="E58" s="393" t="s">
        <v>65</v>
      </c>
      <c r="F58" s="1050" t="s">
        <v>66</v>
      </c>
      <c r="G58" s="534"/>
      <c r="I58" s="536"/>
      <c r="J58" s="880"/>
      <c r="P58" s="537"/>
      <c r="Q58" s="535">
        <v>0</v>
      </c>
    </row>
    <row r="59" s="1637" customFormat="1" ht="75" hidden="1" customHeight="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r="60" s="1637" customFormat="1" ht="15" hidden="1" customHeight="1">
      <c r="A60" s="788"/>
      <c r="B60" s="415"/>
      <c r="C60" s="532"/>
      <c r="D60" s="533"/>
      <c r="E60" s="1167" t="s">
        <v>67</v>
      </c>
      <c r="F60" s="1153"/>
      <c r="G60" s="534"/>
      <c r="I60" s="536"/>
      <c r="J60" s="880"/>
      <c r="P60" s="537"/>
      <c r="Q60" s="535">
        <v>0</v>
      </c>
    </row>
    <row r="61" s="1614" customFormat="1" ht="6" hidden="1" customHeight="1">
      <c r="A61" s="787"/>
      <c r="B61" s="428"/>
      <c r="C61" s="429"/>
      <c r="D61" s="430"/>
      <c r="E61" s="431"/>
      <c r="F61" s="1055"/>
      <c r="G61" s="75"/>
      <c r="H61" s="411"/>
      <c r="I61" s="413"/>
      <c r="J61" s="878"/>
      <c r="Q61" s="432">
        <v>0</v>
      </c>
    </row>
    <row r="62" s="1637" customFormat="1" ht="33.75" hidden="1" customHeight="1">
      <c r="A62" s="787"/>
      <c r="B62" s="100"/>
      <c r="C62" s="410"/>
      <c r="D62" s="412"/>
      <c r="E62" s="1167" t="s">
        <v>68</v>
      </c>
      <c r="F62" s="1673" t="s">
        <v>66</v>
      </c>
      <c r="G62" s="75"/>
      <c r="H62" s="775" t="s">
        <v>23</v>
      </c>
      <c r="I62" s="413"/>
      <c r="J62" s="878"/>
      <c r="Q62" s="411">
        <v>0</v>
      </c>
    </row>
    <row r="63" s="1614" customFormat="1" ht="6.2999999999999998" customHeight="1">
      <c r="A63" s="787"/>
      <c r="B63" s="234"/>
      <c r="C63" s="235"/>
      <c r="D63" s="241"/>
      <c r="E63" s="239"/>
      <c r="F63" s="242"/>
      <c r="G63" s="79"/>
      <c r="H63" s="411"/>
      <c r="I63" s="413"/>
      <c r="J63" s="876"/>
      <c r="Q63" s="238">
        <v>6</v>
      </c>
    </row>
    <row r="64" ht="21" customHeight="1">
      <c r="A64" s="789"/>
      <c r="B64" s="101"/>
      <c r="D64" s="84"/>
      <c r="E64" s="393" t="s">
        <v>69</v>
      </c>
      <c r="F64" s="218" t="s">
        <v>70</v>
      </c>
      <c r="G64" s="79"/>
      <c r="Q64" s="76">
        <v>20</v>
      </c>
    </row>
    <row r="65" ht="21" customHeight="1">
      <c r="A65" s="789"/>
      <c r="B65" s="101"/>
      <c r="D65" s="84"/>
      <c r="E65" s="393" t="s">
        <v>71</v>
      </c>
      <c r="F65" s="218" t="s">
        <v>72</v>
      </c>
      <c r="G65" s="79"/>
      <c r="Q65" s="76">
        <v>20</v>
      </c>
    </row>
    <row r="66" ht="36.75" customHeight="1">
      <c r="D66" s="77"/>
      <c r="E66" s="395" t="s">
        <v>73</v>
      </c>
      <c r="F66" s="1056"/>
      <c r="G66" s="75"/>
      <c r="Q66" s="76">
        <v>35</v>
      </c>
    </row>
    <row r="67" ht="21" customHeight="1">
      <c r="A67" s="789"/>
      <c r="D67" s="412"/>
      <c r="E67" s="393" t="s">
        <v>74</v>
      </c>
      <c r="F67" s="273" t="s">
        <v>75</v>
      </c>
      <c r="G67" s="79"/>
      <c r="Q67" s="76">
        <v>20</v>
      </c>
    </row>
    <row r="68" ht="21" customHeight="1">
      <c r="A68" s="789"/>
      <c r="B68" s="101"/>
      <c r="D68" s="84"/>
      <c r="E68" s="393" t="s">
        <v>76</v>
      </c>
      <c r="F68" s="273" t="s">
        <v>77</v>
      </c>
      <c r="G68" s="79"/>
      <c r="Q68" s="76">
        <v>20</v>
      </c>
    </row>
    <row r="69" ht="21" customHeight="1">
      <c r="A69" s="789"/>
      <c r="B69" s="101"/>
      <c r="D69" s="84"/>
      <c r="E69" s="393" t="s">
        <v>78</v>
      </c>
      <c r="F69" s="273" t="s">
        <v>79</v>
      </c>
      <c r="G69" s="79"/>
      <c r="Q69" s="76">
        <v>20</v>
      </c>
    </row>
    <row r="70" ht="21" customHeight="1">
      <c r="D70" s="412"/>
      <c r="E70" s="393" t="s">
        <v>80</v>
      </c>
      <c r="F70" s="273" t="s">
        <v>81</v>
      </c>
      <c r="G70" s="75"/>
      <c r="Q70" s="76">
        <v>20</v>
      </c>
    </row>
    <row r="71" ht="21" customHeight="1">
      <c r="A71" s="789"/>
      <c r="D71" s="75"/>
      <c r="F71" s="135"/>
      <c r="G71" s="79"/>
      <c r="Q71" s="76">
        <v>20</v>
      </c>
    </row>
    <row r="72" ht="21" customHeight="1">
      <c r="A72" s="789"/>
      <c r="B72" s="101"/>
      <c r="D72" s="84"/>
      <c r="E72" s="83"/>
      <c r="F72" s="1035" t="s">
        <v>13</v>
      </c>
      <c r="G72" s="79"/>
      <c r="Q72" s="76">
        <v>20</v>
      </c>
    </row>
    <row r="73" ht="21" customHeight="1">
      <c r="A73" s="789"/>
      <c r="B73" s="101"/>
      <c r="D73" s="84"/>
      <c r="E73" s="83"/>
      <c r="F73" s="136"/>
      <c r="G73" s="79"/>
      <c r="Q73" s="76">
        <v>20</v>
      </c>
    </row>
    <row r="74" ht="21" customHeight="1">
      <c r="A74" s="789"/>
      <c r="B74" s="101"/>
      <c r="D74" s="84"/>
      <c r="E74" s="88"/>
      <c r="F74" s="136"/>
      <c r="G74" s="79"/>
      <c r="Q74" s="76">
        <v>20</v>
      </c>
    </row>
    <row r="75" ht="21" customHeight="1">
      <c r="A75" s="789"/>
      <c r="B75" s="101"/>
      <c r="D75" s="84"/>
      <c r="E75" s="83"/>
      <c r="F75" s="136"/>
      <c r="G75" s="79"/>
      <c r="Q75" s="76">
        <v>20</v>
      </c>
    </row>
    <row r="76" ht="11.5" customHeight="1">
      <c r="Q76" s="76">
        <v>11</v>
      </c>
    </row>
    <row r="77" ht="11.5" customHeight="1">
      <c r="Q77" s="76">
        <v>11</v>
      </c>
    </row>
    <row r="78" ht="11.5" customHeight="1">
      <c r="E78" s="392"/>
      <c r="F78" s="392"/>
      <c r="G78" s="392"/>
      <c r="H78" s="392"/>
      <c r="I78" s="392"/>
      <c r="Q78" s="76">
        <v>11</v>
      </c>
    </row>
    <row r="79" ht="11.25" hidden="1" customHeight="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autoFilter="0" deleteColumns="0" deleteRows="0" formatColumns="0" formatRows="0" insertColumns="1" insertRows="0" sort="0"/>
  <mergeCells count="3">
    <mergeCell ref="E5:F5"/>
    <mergeCell ref="J18:J19"/>
    <mergeCell ref="A11:A12"/>
  </mergeCells>
  <dataValidations count="4">
    <dataValidation sqref="F26 F21 F18:F19 F11:F13"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F49 F53 F56 F58 F51 F39:F41 F43 F45:F47 F62 F10" allowBlank="1" prompt="Для выбора выполните двойной щелчок левой клавиши мыши по соответствующей ячейке." showErrorMessage="1" showInputMessage="1"/>
    <dataValidation sqref="F54" allowBlank="1" prompt="Выберите значение из календаря (иконка справа от выбранной ячейки), либо введите дату непосредственно в ячейку в формате - 'ДД.ММ.ГГГГ'" showErrorMessage="1" showInputMessage="1"/>
    <dataValidation sqref="F31" allowBlank="1" prompt="Выбор организации двойным щелчком левой клавиши мыши" showErrorMessage="1" showInputMessage="1"/>
  </dataValidations>
  <hyperlinks>
    <hyperlink display="Как заполнить?" location="Титульный!H9" ref="H11" tooltip="Помощь по работе с полями отчётной формы"/>
    <hyperlink display="Как заполнить?" location="Титульный!H9" ref="H17" tooltip="Помощь по работе с полями отчётной формы"/>
    <hyperlink display="Как заполнить?" location="Титульный!H9" ref="H39" tooltip="Помощь по работе с полями отчётной формы"/>
    <hyperlink display="Как заполнить?" location="Титульный!H9" ref="H62" tooltip="Помощь по работе с полями отчётной формы"/>
  </hyperlinks>
  <pageMargins left="0.75" right="0.75" top="1" bottom="1" header="0.5" footer="0.5"/>
  <pageSetup paperSize="8" pageOrder="downThenOver" orientation="portrait"/>
  <headerFooter>
    <oddHeader>&amp;L&amp;C&amp;R</oddHeader>
    <oddFooter>&amp;L&amp;C&amp;R</oddFooter>
    <evenHeader>&amp;L&amp;C&amp;R</evenHeader>
    <evenFooter>&amp;L&amp;C&amp;R</evenFooter>
  </headerFooter>
  <drawing r:id="rId2"/>
  <legacyDrawing r:id="rId3"/>
  <extLst>
    <ext xmlns:x14="http://schemas.microsoft.com/office/spreadsheetml/2009/9/main" uri="{CCE6A557-97BC-4b89-ADB6-D9C93CAAB3DF}">
      <x14:dataValidations xmlns:xm="http://schemas.microsoft.com/office/excel/2006/main" count="9">
        <x14:dataValidation xr:uid="{00770050-002D-43C3-8244-0067005B000C}" type="textLength" allowBlank="1" error="Допускается ввод не более 900 символов!" errorTitle="Ошибка" operator="lessThanOrEqual" showErrorMessage="1" showInputMessage="1">
          <x14:formula1>
            <xm:f>900</xm:f>
          </x14:formula1>
          <xm:sqref>F72:F75 F64:F65 F67:F70 F22:F24 F27:F29 F32</xm:sqref>
        </x14:dataValidation>
        <x14:dataValidation xr:uid="{00A60092-001D-40AA-8A6B-000400F60046}" type="list" allowBlank="1" error="Выберите значение из списка" errorTitle="Ошибка" prompt="Выберите значение из списка" showErrorMessage="1" showInputMessage="1">
          <x14:formula1>
            <xm:f>kind_of_NDS</xm:f>
          </x14:formula1>
          <xm:sqref>F61 F38</xm:sqref>
        </x14:dataValidation>
        <x14:dataValidation xr:uid="{009600E9-0070-45AD-A9CB-00E9005900C4}" type="list" allowBlank="1" error="Выберите значение из списка" errorTitle="Ошибка" prompt="Выберите значение из списка" showErrorMessage="1" showInputMessage="1">
          <x14:formula1>
            <xm:f>kind_of_data_type</xm:f>
          </x14:formula1>
          <xm:sqref>F17</xm:sqref>
        </x14:dataValidation>
        <x14:dataValidation xr:uid="{00A50082-000B-4499-8DC3-00F60045001F}" type="list" allowBlank="1" error="Выберите значение из списка" errorTitle="Ошибка" prompt="Выберите значение из списка" showErrorMessage="1" showInputMessage="1">
          <x14:formula1>
            <xm:f>kind_of_org_type</xm:f>
          </x14:formula1>
          <xm:sqref>F36</xm:sqref>
        </x14:dataValidation>
        <x14:dataValidation xr:uid="{005C00A1-007F-4B16-AEA4-002F00E90067}" type="list" allowBlank="1" error="Выберите значение из списка" errorTitle="Ошибка" prompt="Выберите значение из списка" showErrorMessage="1" showInputMessage="1">
          <x14:formula1>
            <xm:f>year_list</xm:f>
          </x14:formula1>
          <xm:sqref>F14</xm:sqref>
        </x14:dataValidation>
        <x14:dataValidation xr:uid="{008600C6-00EC-40C2-B614-005A00A50075}" type="list" allowBlank="1" error="Выберите значение из списка" errorTitle="Ошибка" prompt="Выберите значение из списка" showErrorMessage="1" showInputMessage="1">
          <x14:formula1>
            <xm:f>QUARTER</xm:f>
          </x14:formula1>
          <xm:sqref>F15</xm:sqref>
        </x14:dataValidation>
        <x14:dataValidation xr:uid="{003F0089-0096-4620-B7D4-00AD00B00045}" type="list" allowBlank="1" error="Выберите значение из списка" errorTitle="Ошибка" prompt="Выберите значение из списка" showErrorMessage="1" showInputMessage="1">
          <x14:formula1>
            <xm:f>TITLE_IP_DETAILED_METHOD_LIST</xm:f>
          </x14:formula1>
          <xm:sqref>F60</xm:sqref>
        </x14:dataValidation>
        <x14:dataValidation xr:uid="{00F20019-0043-4B8B-8436-00C1007F00DB}" type="list" allowBlank="1" error="Выберите значение из списка" errorTitle="Ошибка" prompt="Выберите значение из списка" showErrorMessage="1" showInputMessage="1">
          <x14:formula1>
            <xm:f>ROIV_INFO_LIST</xm:f>
          </x14:formula1>
          <xm:sqref>F9</xm:sqref>
        </x14:dataValidation>
        <x14:dataValidation xr:uid="{003D009F-00BD-44C8-B652-001C0048002C}" type="list" allowBlank="1" error="Выберите значение из списка" errorTitle="Ошибка"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ErrorMessage="1" showInputMessage="1">
          <x14:formula1>
            <xm:f>kind_of_NDS</xm:f>
          </x14:formula1>
          <xm:sqref>F37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1778" width="3.00390625"/>
    <col customWidth="1" min="17" max="17" style="1373" width="3.00390625"/>
    <col customWidth="1" min="18" max="18" style="346" width="3.00390625"/>
    <col customWidth="1" min="19" max="19" style="2409" width="12.00390625"/>
    <col customWidth="1" min="20" max="20" style="1637" width="31.00390625"/>
    <col customWidth="1" min="21" max="21" style="1637" width="0.140625"/>
    <col customWidth="1" hidden="1" min="22" max="23" style="1637" width="21.7109375"/>
    <col customWidth="1" hidden="1" min="24" max="24" style="1637" width="11.7109375"/>
    <col customWidth="1" hidden="1" min="25" max="25" style="1637" width="3.7109375"/>
    <col customWidth="1" hidden="1" min="26" max="26" style="1637" width="11.7109375"/>
    <col customWidth="1" hidden="1" min="27" max="27" style="1637" width="8.57421875"/>
    <col customWidth="1" min="28" max="28" style="1637" width="5.421875"/>
    <col customWidth="1" min="29" max="30" style="1637" width="3.00390625"/>
    <col customWidth="1" min="31" max="31" style="1637" width="24.00390625"/>
    <col customWidth="1" min="32" max="32" style="1637" width="3.7109375"/>
    <col customWidth="1" min="33" max="34" style="1637" width="3.00390625"/>
    <col customWidth="1" min="35" max="35" style="1637" width="24.00390625"/>
    <col customWidth="1" min="36" max="36" style="1637" width="3.7109375"/>
    <col customWidth="1" min="37" max="38" style="1637" width="3.00390625"/>
    <col customWidth="1" min="39" max="39" style="1637" width="18.00390625"/>
    <col customWidth="1" min="40" max="41" style="1637" width="21.00390625"/>
    <col customWidth="1" min="42" max="42" style="1637" width="11.00390625"/>
    <col customWidth="1" min="43" max="43" style="1637" width="3.7109375"/>
    <col customWidth="1" min="44" max="44" style="1637" width="11.00390625"/>
    <col customWidth="1" hidden="1" min="45" max="45" style="1637" width="8.57421875"/>
    <col customWidth="1" min="46" max="46" style="1637" width="4.00390625"/>
    <col customWidth="1" min="47" max="47" style="1637" width="115.00390625"/>
    <col customWidth="1" min="48" max="52" style="1644" width="10.00390625"/>
    <col hidden="1" min="53" max="53" style="1637" width="10.57421875"/>
  </cols>
  <sheetData>
    <row r="1" ht="22.5" hidden="1" customHeight="1">
      <c r="W1" s="329"/>
      <c r="X1" s="329"/>
      <c r="AO1" s="329"/>
      <c r="AP1" s="329"/>
      <c r="BA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 xml:space="preserve">Наименование тарифа</v>
      </c>
      <c r="AY2" s="502"/>
      <c r="AZ2" s="502"/>
      <c r="BA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 xml:space="preserve">Территория действия тарифа</v>
      </c>
      <c r="AY3" s="502"/>
      <c r="AZ3" s="502"/>
      <c r="BA3" s="1157">
        <v>0</v>
      </c>
    </row>
    <row r="4" ht="22.5" hidden="1" customHeight="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 xml:space="preserve">Наименование системы теплоснабжения</v>
      </c>
      <c r="AY4" s="502"/>
      <c r="AZ4" s="502"/>
      <c r="BA4" s="1157">
        <v>0</v>
      </c>
    </row>
    <row r="5" ht="21" hidden="1" customHeight="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 xml:space="preserve">Источник тепловой энергии</v>
      </c>
      <c r="AY5" s="502"/>
      <c r="AZ5" s="502"/>
      <c r="BA5" s="1157">
        <v>0</v>
      </c>
    </row>
    <row r="6" s="1644" customFormat="1" ht="0.75" hidden="1" customHeight="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r="7" s="1644" customFormat="1" ht="0.75" hidden="1" customHeight="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r="8" ht="21" hidden="1" customHeight="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r="9" ht="11.25" hidden="1" customHeight="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r="10" ht="11.25" hidden="1" customHeight="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r="11" ht="11.25" hidden="1" customHeight="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r="12" ht="11.25" hidden="1" customHeight="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 xml:space="preserve">Добавить строку</v>
      </c>
      <c r="AY12" s="502"/>
      <c r="AZ12" s="502"/>
      <c r="BA12" s="1157">
        <v>0</v>
      </c>
    </row>
    <row r="13" s="1644" customFormat="1" ht="0.75" hidden="1" customHeight="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r="14" s="1644" customFormat="1" ht="0.75" hidden="1" customHeight="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r="15" s="1644" customFormat="1" ht="0.75" hidden="1" customHeight="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 xml:space="preserve">Добавить источник для дифференциации</v>
      </c>
      <c r="AY15" s="791"/>
      <c r="AZ15" s="791"/>
      <c r="BA15" s="520">
        <v>0</v>
      </c>
    </row>
    <row r="16" s="1644" customFormat="1" ht="0.75" hidden="1" customHeight="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 xml:space="preserve">Добавить централизованную систему для дифференциации</v>
      </c>
      <c r="AY16" s="791"/>
      <c r="AZ16" s="791"/>
      <c r="BA16" s="520">
        <v>0</v>
      </c>
    </row>
    <row r="17" s="1644" customFormat="1" ht="0.75" hidden="1" customHeight="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 xml:space="preserve">Добавить территорию для дифференциации</v>
      </c>
      <c r="AY17" s="502"/>
      <c r="AZ17" s="502"/>
      <c r="BA17" s="513">
        <v>0</v>
      </c>
    </row>
    <row r="18" ht="14.25" hidden="1" customHeight="1">
      <c r="AA18" s="329"/>
      <c r="AS18" s="329"/>
      <c r="BA18" s="1157">
        <v>0</v>
      </c>
    </row>
    <row r="19" ht="14.25" hidden="1" customHeight="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r="20" ht="14.25" hidden="1" customHeight="1">
      <c r="AV20" s="498"/>
      <c r="AW20" s="498"/>
      <c r="AX20" s="498"/>
      <c r="AY20" s="498"/>
      <c r="AZ20" s="498"/>
      <c r="BA20" s="1157">
        <v>0</v>
      </c>
    </row>
    <row r="21" ht="14.25" hidden="1" customHeight="1">
      <c r="O21" s="1369" t="s">
        <v>417</v>
      </c>
      <c r="X21" s="1347"/>
      <c r="Z21" s="1347"/>
      <c r="AA21" s="329"/>
      <c r="AP21" s="1347"/>
      <c r="AR21" s="1347"/>
      <c r="AS21" s="329"/>
      <c r="AV21" s="498"/>
      <c r="AW21" s="498"/>
      <c r="AX21" s="498"/>
      <c r="AY21" s="498"/>
      <c r="AZ21" s="498"/>
      <c r="BA21" s="1157">
        <v>0</v>
      </c>
    </row>
    <row r="22" ht="14.25" hidden="1" customHeight="1">
      <c r="AA22" s="329"/>
      <c r="AS22" s="329"/>
      <c r="AV22" s="498"/>
      <c r="AW22" s="498"/>
      <c r="AX22" s="498"/>
      <c r="AY22" s="498"/>
      <c r="AZ22" s="498"/>
      <c r="BA22" s="1157">
        <v>0</v>
      </c>
    </row>
    <row r="23" s="1511" customFormat="1" ht="14.25" hidden="1" customHeight="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r="24" ht="14.25" hidden="1" customHeight="1">
      <c r="O24" s="1366"/>
      <c r="AV24" s="498"/>
      <c r="AW24" s="498"/>
      <c r="AX24" s="498"/>
      <c r="AY24" s="498"/>
      <c r="AZ24" s="498"/>
      <c r="BA24" s="1157">
        <v>0</v>
      </c>
    </row>
    <row r="25" ht="14.25" hidden="1" customHeight="1">
      <c r="O25" s="1366"/>
      <c r="AV25" s="498"/>
      <c r="AW25" s="498"/>
      <c r="AX25" s="498"/>
      <c r="AY25" s="498"/>
      <c r="AZ25" s="498"/>
      <c r="BA25" s="1157">
        <v>0</v>
      </c>
    </row>
    <row r="26" ht="14.65" customHeight="1">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r="27" ht="27.300000000000001" customHeight="1">
      <c r="Q27" s="293"/>
      <c r="R27" s="378"/>
      <c r="S27" s="2250"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r="28" ht="14.65" customHeight="1">
      <c r="Q28" s="293"/>
      <c r="R28" s="378"/>
      <c r="S28" s="2251" t="str">
        <f>IF(org=0,"Не определено",org)</f>
        <v xml:space="preserve">филиал ПАО "ОГК-2" - Рязанская ГРЭС</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r="29" ht="14.25" hidden="1" customHeight="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r="30" s="1855" customFormat="1" ht="25.5" hidden="1" customHeight="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r="31" s="1855" customFormat="1" ht="18.75" hidden="1" customHeight="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r="34" ht="14.25" hidden="1" customHeight="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r="35" s="1855" customFormat="1" ht="18.75" hidden="1" customHeight="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r="36" s="1855" customFormat="1" ht="18" hidden="1" customHeight="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r="37" s="1855" customFormat="1" ht="1.05" customHeight="1">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r="38" ht="14.65" customHeight="1">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r="39" ht="14.65" customHeight="1">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r="40" ht="14.65" customHeight="1">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r="41" ht="35.649999999999999" customHeight="1">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r="42" ht="14.65" customHeight="1">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r="43" ht="14.65" customHeight="1">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r="44" s="1643" customFormat="1" ht="11.25" hidden="1" customHeight="1">
      <c r="A44" s="1372"/>
      <c r="B44" s="1372"/>
      <c r="C44" s="1372"/>
      <c r="D44" s="1372"/>
      <c r="E44" s="1372"/>
      <c r="F44" s="1372"/>
      <c r="G44" s="1372"/>
      <c r="H44" s="1372"/>
      <c r="I44" s="1372"/>
      <c r="J44" s="1372"/>
      <c r="K44" s="1372"/>
      <c r="L44" s="1366"/>
      <c r="M44" s="1364"/>
      <c r="N44" s="1364"/>
      <c r="O44" s="1364"/>
      <c r="P44" s="512"/>
      <c r="Q44" s="1256"/>
      <c r="R44" s="1256">
        <v>1</v>
      </c>
      <c r="S44" s="1279" t="s">
        <v>110</v>
      </c>
      <c r="T44" s="1257" t="s">
        <v>111</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r="45" ht="107.25" customHeight="1">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 xml:space="preserve">Наименование тарифа</v>
      </c>
      <c r="AY45" s="502"/>
      <c r="AZ45" s="502"/>
      <c r="BA45" s="1157">
        <v>102</v>
      </c>
    </row>
    <row r="46" ht="22" customHeight="1">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 xml:space="preserve">Территория действия тарифа</v>
      </c>
      <c r="AY46" s="502"/>
      <c r="AZ46" s="502"/>
      <c r="BA46" s="1157">
        <v>21</v>
      </c>
    </row>
    <row r="47" ht="24" customHeight="1">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 xml:space="preserve">Наименование системы теплоснабжения</v>
      </c>
      <c r="AY47" s="502"/>
      <c r="AZ47" s="502"/>
      <c r="BA47" s="1157">
        <v>23</v>
      </c>
    </row>
    <row r="48" ht="21" customHeight="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 xml:space="preserve">Источник тепловой энергии</v>
      </c>
      <c r="AY48" s="502"/>
      <c r="AZ48" s="502"/>
      <c r="BA48" s="1157">
        <v>20</v>
      </c>
    </row>
    <row r="49" s="1644" customFormat="1" ht="1.05" customHeight="1">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r="50" s="1644" customFormat="1" ht="1.05" customHeight="1">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r="51" ht="22" customHeight="1">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r="52" ht="11.5" customHeight="1">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r="53" ht="11.5" customHeight="1">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r="54" ht="11.5" customHeight="1">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r="55" ht="11.5" customHeight="1">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 xml:space="preserve">Добавить строку</v>
      </c>
      <c r="AY55" s="502"/>
      <c r="AZ55" s="502"/>
      <c r="BA55" s="1157">
        <v>11</v>
      </c>
    </row>
    <row r="56" s="1644" customFormat="1" ht="1.05" customHeight="1">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 xml:space="preserve">Добавить группу потребителей</v>
      </c>
      <c r="AY56" s="502"/>
      <c r="AZ56" s="502"/>
      <c r="BA56" s="513">
        <v>1</v>
      </c>
    </row>
    <row r="57" s="1643" customFormat="1" ht="1.05" customHeight="1">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r="58" s="1644" customFormat="1" ht="1.05" customHeight="1">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 xml:space="preserve">Добавить источник для дифференциации</v>
      </c>
      <c r="AY58" s="791"/>
      <c r="AZ58" s="791"/>
      <c r="BA58" s="520">
        <v>1</v>
      </c>
    </row>
    <row r="59" s="1644" customFormat="1" ht="1.05" customHeight="1">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 xml:space="preserve">Добавить централизованную систему для дифференциации</v>
      </c>
      <c r="AY59" s="791"/>
      <c r="AZ59" s="791"/>
      <c r="BA59" s="520">
        <v>1</v>
      </c>
    </row>
    <row r="60" s="1644" customFormat="1" ht="1.05" customHeight="1">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 xml:space="preserve">Добавить территорию для дифференциации</v>
      </c>
      <c r="AY60" s="502"/>
      <c r="AZ60" s="502"/>
      <c r="BA60" s="513">
        <v>1</v>
      </c>
    </row>
    <row r="61" s="1644" customFormat="1" ht="1.05" customHeight="1">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 xml:space="preserve">Добавить территорию для дифференциации</v>
      </c>
      <c r="AY61" s="502"/>
      <c r="AZ61" s="502"/>
      <c r="BA61" s="513">
        <v>1</v>
      </c>
    </row>
    <row r="62" s="1644" customFormat="1" ht="1.05" customHeight="1">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 xml:space="preserve">Добавить наименование тарифа</v>
      </c>
      <c r="AY62" s="791"/>
      <c r="AZ62" s="791"/>
      <c r="BA62" s="520">
        <v>1</v>
      </c>
    </row>
    <row r="63" ht="11.5" customHeight="1">
      <c r="M63" s="1162"/>
      <c r="N63" s="1162"/>
      <c r="O63" s="539"/>
      <c r="P63" s="1162"/>
      <c r="Q63" s="1162"/>
      <c r="R63" s="1157"/>
      <c r="S63" s="1157"/>
      <c r="AV63" s="1157"/>
      <c r="AW63" s="1157"/>
      <c r="AX63" s="1157"/>
      <c r="AY63" s="1157"/>
      <c r="AZ63" s="1157"/>
      <c r="BA63" s="1157">
        <v>11</v>
      </c>
    </row>
    <row r="64" ht="19.949999999999999" customHeight="1">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r="65" ht="21" customHeight="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r="66" ht="14.65" customHeight="1">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r="67" ht="19.949999999999999" customHeight="1">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r="68" ht="16.800000000000001" customHeight="1">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r="69" ht="14.65" customHeight="1">
      <c r="O69" s="539"/>
      <c r="BA69" s="1157">
        <v>14</v>
      </c>
    </row>
    <row r="70" ht="22.5" hidden="1" customHeight="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autoFilter="0" deleteColumns="0" deleteRows="0" formatColumns="0" formatRows="0" insertColumns="1" insertRows="0" sort="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5">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allowBlank="1" prompt="Для выбора выполните двойной щелчок левой клавиши мыши по соответствующей ячейке."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allowBlank="1" promptTitle="checkPeriodRange"/>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8:AU131134 S196664:AU196670 S262200:AU262206 S327736:AU327742 S393272:AU393278 S458808:AU458814 S524344:AU524350 S589880:AU589886 S655416:AU655422 S720952:AU720958 S786488:AU786494 S852024:AU852030 S917560:AU917566 S983096:AU983102 S65592:AU65598" allowBlank="1"/>
    <dataValidation sqref="V42:W42" allowBlank="1" error="Выберите значение из списка" errorTitle="Ошибка"/>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B700D6-0005-4E3B-91AA-009500AE007B}" type="textLength" allowBlank="1" error="Допускается ввод не более 900 символов!" errorTitle="Ошибка" operator="lessThanOrEqual"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 xr:uid="{006000CA-00A5-42D6-BD82-00AE007A00BB}" type="list" allowBlank="1" error="Выберите значение из списка" errorTitle="Ошибка"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0800BA-00FE-41E0-816E-00E2007500D5}" type="list" allowBlank="1" error="Выберите значение из списка" errorTitle="Ошибка" showErrorMessage="1" showInputMessage="1">
          <x14:formula1>
            <xm:f>kind_of_heat_transfer</xm:f>
          </x14:formula1>
          <xm:sqref>T65590 T131126 T196662 T262198 T327734 T393270 T458806 T524342 T589878 T655414 T720950 T786486 T852022 T917558 T983094</xm:sqref>
        </x14:dataValidation>
        <x14:dataValidation xr:uid="{001D0097-0045-40A1-B7E2-0004008B009B}" type="list" allowBlank="1" error="Выберите значение из списка" errorTitle="Ошибка" prompt="Выберите значение из списка"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ED00E5-002F-4A32-946D-0058002C00F3}" type="list" allowBlank="1" error="Выберите значение из списка" errorTitle="Ошибка" prompt="Выберите значение из списка" showErrorMessage="1" showInputMessage="1">
          <x14:formula1>
            <xm:f>UNIT_CONNECT_LIST</xm:f>
          </x14:formula1>
          <xm:sqref>AN42:AO42</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14.25"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66</v>
      </c>
      <c r="AH15" s="2269"/>
      <c r="AI15" s="2270" t="s">
        <v>66</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23"/>
      <c r="M19" s="1364"/>
      <c r="N19" s="1364"/>
      <c r="O19" s="1364"/>
      <c r="P19" s="1364"/>
      <c r="Q19" s="1373"/>
      <c r="R19" s="1373"/>
      <c r="S19" s="731"/>
      <c r="AB19" s="1368"/>
      <c r="AI19" s="1368"/>
      <c r="AL19" s="513"/>
      <c r="AM19" s="513"/>
      <c r="AN19" s="513"/>
      <c r="AO19" s="513"/>
      <c r="AP19" s="513"/>
      <c r="AQ19" s="1162">
        <v>0</v>
      </c>
    </row>
    <row r="20" s="1368" customFormat="1" ht="12" hidden="1" customHeight="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r="37" ht="14.65" customHeight="1">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r="38" ht="35.649999999999999" customHeight="1">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r="39" ht="35.649999999999999" customHeight="1">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r="40" s="1643" customFormat="1" ht="11.25" hidden="1" customHeight="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r="41" ht="24" customHeight="1">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 xml:space="preserve">Территория действия тарифа</v>
      </c>
      <c r="AO42" s="502"/>
      <c r="AP42" s="502"/>
      <c r="AQ42" s="1157">
        <v>23</v>
      </c>
    </row>
    <row r="43" ht="24" customHeight="1">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 xml:space="preserve">Наименование признака дифференциации</v>
      </c>
      <c r="AO44" s="502"/>
      <c r="AP44" s="502"/>
      <c r="AQ44" s="1157">
        <v>23</v>
      </c>
    </row>
    <row r="45" ht="24" customHeight="1">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 xml:space="preserve">Группа потребителей</v>
      </c>
      <c r="AO45" s="502"/>
      <c r="AP45" s="502"/>
      <c r="AQ45" s="1157">
        <v>23</v>
      </c>
    </row>
    <row r="46" ht="24" customHeight="1">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 xml:space="preserve">Добавить значение признака дифференциации</v>
      </c>
      <c r="AO48" s="502"/>
      <c r="AP48" s="502"/>
      <c r="AQ48" s="1157">
        <v>20</v>
      </c>
    </row>
    <row r="49" ht="22" customHeight="1">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4">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E00E0-0085-4539-8136-00BB009400A9}"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5C00E3-00E2-48C1-8E91-002800C200FB}"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1F002C-00E1-4F2C-B612-004A00E7006D}"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5D002D-0032-46B3-A4BD-004D0084000E}"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66</v>
      </c>
      <c r="AH15" s="2269"/>
      <c r="AI15" s="2270" t="s">
        <v>66</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49"/>
      <c r="M19" s="1364"/>
      <c r="N19" s="1364"/>
      <c r="O19" s="1364"/>
      <c r="P19" s="1364"/>
      <c r="Q19" s="1373"/>
      <c r="R19" s="1373"/>
      <c r="S19" s="731"/>
      <c r="AB19" s="1368"/>
      <c r="AI19" s="1368"/>
      <c r="AL19" s="513"/>
      <c r="AM19" s="513"/>
      <c r="AN19" s="513"/>
      <c r="AO19" s="513"/>
      <c r="AP19" s="513"/>
      <c r="AQ19" s="1162">
        <v>0</v>
      </c>
    </row>
    <row r="20" s="1368" customFormat="1" ht="12" hidden="1" customHeight="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r="37" ht="14.65" customHeight="1">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r="38" ht="35.649999999999999" customHeight="1">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r="39" ht="35.649999999999999" customHeight="1">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r="41" ht="24" customHeight="1">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 xml:space="preserve">Территория действия тарифа</v>
      </c>
      <c r="AO42" s="502"/>
      <c r="AP42" s="502"/>
      <c r="AQ42" s="1157">
        <v>23</v>
      </c>
    </row>
    <row r="43" ht="24" customHeight="1">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 xml:space="preserve">Наименование признака дифференциации</v>
      </c>
      <c r="AO44" s="502"/>
      <c r="AP44" s="502"/>
      <c r="AQ44" s="1157">
        <v>23</v>
      </c>
    </row>
    <row r="45" ht="24" customHeight="1">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 xml:space="preserve">Группа потребителей</v>
      </c>
      <c r="AO45" s="502"/>
      <c r="AP45" s="502"/>
      <c r="AQ45" s="1157">
        <v>23</v>
      </c>
    </row>
    <row r="46" ht="24" customHeight="1">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 xml:space="preserve">Добавить значение признака дифференциации</v>
      </c>
      <c r="AO48" s="502"/>
      <c r="AP48" s="502"/>
      <c r="AQ48" s="1157">
        <v>20</v>
      </c>
    </row>
    <row r="49" ht="22" customHeight="1">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68000E-00BC-466D-85ED-00DC00E800C6}"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86009C-0026-4818-90BB-00430036007F}"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D60058-00C1-41C8-A1E7-009500E7000D}"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9E0056-0043-45D8-BBA1-001600A50045}"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66</v>
      </c>
      <c r="AH15" s="2269"/>
      <c r="AI15" s="2270" t="s">
        <v>66</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49"/>
      <c r="M19" s="1364"/>
      <c r="N19" s="1364"/>
      <c r="O19" s="1364"/>
      <c r="P19" s="1364"/>
      <c r="Q19" s="1373"/>
      <c r="R19" s="1373"/>
      <c r="S19" s="731"/>
      <c r="AB19" s="1368"/>
      <c r="AI19" s="1368"/>
      <c r="AL19" s="513"/>
      <c r="AM19" s="513"/>
      <c r="AN19" s="513"/>
      <c r="AO19" s="513"/>
      <c r="AP19" s="513"/>
      <c r="AQ19" s="1162">
        <v>0</v>
      </c>
    </row>
    <row r="20" s="1368" customFormat="1" ht="12" hidden="1" customHeight="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r="37" ht="14.65" customHeight="1">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r="38" ht="35.649999999999999" customHeight="1">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r="39" ht="35.649999999999999" customHeight="1">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r="41" ht="24" customHeight="1">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 xml:space="preserve">Территория действия тарифа</v>
      </c>
      <c r="AO42" s="502"/>
      <c r="AP42" s="502"/>
      <c r="AQ42" s="1157">
        <v>23</v>
      </c>
    </row>
    <row r="43" ht="24" customHeight="1">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 xml:space="preserve">Наименование признака дифференциации</v>
      </c>
      <c r="AO44" s="502"/>
      <c r="AP44" s="502"/>
      <c r="AQ44" s="1157">
        <v>23</v>
      </c>
    </row>
    <row r="45" ht="24" customHeight="1">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 xml:space="preserve">Группа потребителей</v>
      </c>
      <c r="AO45" s="502"/>
      <c r="AP45" s="502"/>
      <c r="AQ45" s="1157">
        <v>23</v>
      </c>
    </row>
    <row r="46" ht="24" customHeight="1">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 xml:space="preserve">Добавить значение признака дифференциации</v>
      </c>
      <c r="AO48" s="502"/>
      <c r="AP48" s="502"/>
      <c r="AQ48" s="1157">
        <v>20</v>
      </c>
    </row>
    <row r="49" ht="22" customHeight="1">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6E0001-00AD-49EF-AFEA-009E0032002B}"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790082-004A-4B6B-9F11-00AE004500E3}"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1D00D0-000B-43D8-9F06-00B200170031}"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560027-006C-4D2A-97FC-001600E700B0}"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66</v>
      </c>
      <c r="AH15" s="2269"/>
      <c r="AI15" s="2270" t="s">
        <v>66</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49"/>
      <c r="M19" s="1364"/>
      <c r="N19" s="1364"/>
      <c r="O19" s="1364"/>
      <c r="P19" s="1364"/>
      <c r="Q19" s="1373"/>
      <c r="R19" s="1373"/>
      <c r="S19" s="731"/>
      <c r="AB19" s="1368"/>
      <c r="AI19" s="1368"/>
      <c r="AL19" s="513"/>
      <c r="AM19" s="513"/>
      <c r="AN19" s="513"/>
      <c r="AO19" s="513"/>
      <c r="AP19" s="513"/>
      <c r="AQ19" s="1162">
        <v>0</v>
      </c>
    </row>
    <row r="20" s="1368" customFormat="1" ht="12" hidden="1" customHeight="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r="37" ht="14.65" customHeight="1">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r="38" ht="35.649999999999999" customHeight="1">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r="39" ht="35.649999999999999" customHeight="1">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r="41" ht="24" customHeight="1">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 xml:space="preserve">Территория действия тарифа</v>
      </c>
      <c r="AO42" s="502"/>
      <c r="AP42" s="502"/>
      <c r="AQ42" s="1157">
        <v>23</v>
      </c>
    </row>
    <row r="43" ht="24" customHeight="1">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 xml:space="preserve">Наименование признака дифференциации</v>
      </c>
      <c r="AO44" s="502"/>
      <c r="AP44" s="502"/>
      <c r="AQ44" s="1157">
        <v>23</v>
      </c>
    </row>
    <row r="45" ht="24" customHeight="1">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 xml:space="preserve">Группа потребителей</v>
      </c>
      <c r="AO45" s="502"/>
      <c r="AP45" s="502"/>
      <c r="AQ45" s="1157">
        <v>23</v>
      </c>
    </row>
    <row r="46" ht="24" customHeight="1">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 xml:space="preserve">Добавить значение признака дифференциации</v>
      </c>
      <c r="AO48" s="502"/>
      <c r="AP48" s="502"/>
      <c r="AQ48" s="1157">
        <v>20</v>
      </c>
    </row>
    <row r="49" ht="22" customHeight="1">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5600FC-00F0-4472-904B-00EF00C5009F}"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26001A-00D4-44F4-A7CE-005200AA0035}"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8800E0-00F0-43D7-A75A-002000CC00EB}"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020058-0037-4963-89F8-001000F700D7}"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3" style="1637" width="10.140625"/>
    <col customWidth="1" hidden="1" min="4" max="4" style="1637" width="11.8515625"/>
    <col customWidth="1" hidden="1" min="5" max="11" style="1637" width="10.140625"/>
    <col customWidth="1" hidden="1" min="12" max="12" style="2127" width="10.140625"/>
    <col customWidth="1" hidden="1" min="13" max="15" style="2399" width="10.140625"/>
    <col customWidth="1" min="16" max="16" style="1778" width="3.00390625"/>
    <col customWidth="1" min="17" max="17" style="1373" width="3.00390625"/>
    <col customWidth="1" min="18" max="18" style="346" width="3.00390625"/>
    <col customWidth="1" min="19" max="19" style="2409" width="12.00390625"/>
    <col customWidth="1" min="20" max="20" style="1637" width="31.00390625"/>
    <col customWidth="1" min="21" max="21" style="1637" width="0.140625"/>
    <col customWidth="1" hidden="1" min="22" max="23" style="1637" width="21.7109375"/>
    <col customWidth="1" hidden="1" min="24" max="24" style="1637" width="11.7109375"/>
    <col customWidth="1" hidden="1" min="25" max="25" style="1637" width="3.7109375"/>
    <col customWidth="1" hidden="1" min="26" max="26" style="1637" width="11.7109375"/>
    <col customWidth="1" hidden="1" min="27" max="27" style="1637" width="8.57421875"/>
    <col customWidth="1" min="28" max="28" style="1637" width="27.00390625"/>
    <col customWidth="1" min="29" max="29" style="1637" width="24.57421875"/>
    <col customWidth="1" min="30" max="31" style="1637" width="21.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0.75" hidden="1" customHeight="1">
      <c r="AQ1" s="1633" t="s">
        <v>14</v>
      </c>
    </row>
    <row r="2" ht="21" hidden="1" customHeight="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 xml:space="preserve">Наименование тарифа</v>
      </c>
      <c r="AO2" s="1626"/>
      <c r="AP2" s="1626"/>
      <c r="AQ2" s="1633">
        <v>0</v>
      </c>
    </row>
    <row r="3" ht="21" hidden="1" customHeight="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 xml:space="preserve">Территория действия тарифа</v>
      </c>
      <c r="AO3" s="1626"/>
      <c r="AP3" s="1626"/>
      <c r="AQ3" s="1633">
        <v>0</v>
      </c>
    </row>
    <row r="4" ht="22.5" hidden="1" customHeight="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 xml:space="preserve">Наименование системы теплоснабжения</v>
      </c>
      <c r="AO4" s="1626"/>
      <c r="AP4" s="1626"/>
      <c r="AQ4" s="1633">
        <v>0</v>
      </c>
    </row>
    <row r="5" ht="21" hidden="1" customHeight="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 xml:space="preserve">Источник тепловой энергии</v>
      </c>
      <c r="AO5" s="1626"/>
      <c r="AP5" s="1626"/>
      <c r="AQ5" s="1633">
        <v>0</v>
      </c>
    </row>
    <row r="6" s="1644" customFormat="1" ht="0.75" hidden="1" customHeight="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r="7" s="1644" customFormat="1" ht="0.75" hidden="1" customHeight="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r="8" ht="21" hidden="1" customHeight="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r="9" ht="11.25" hidden="1" customHeight="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 xml:space="preserve">Добавить строку</v>
      </c>
      <c r="AO9" s="1626"/>
      <c r="AP9" s="1626"/>
      <c r="AQ9" s="1633">
        <v>0</v>
      </c>
    </row>
    <row r="10" s="1644" customFormat="1" ht="0.75" hidden="1" customHeight="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r="11" s="1644" customFormat="1" ht="0.75" hidden="1" customHeight="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r="12" s="1644" customFormat="1" ht="0.75" hidden="1" customHeight="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 xml:space="preserve">Добавить источник для дифференциации</v>
      </c>
      <c r="AO12" s="1253"/>
      <c r="AP12" s="1253"/>
      <c r="AQ12" s="1644">
        <v>0</v>
      </c>
    </row>
    <row r="13" s="1644" customFormat="1" ht="0.75" hidden="1" customHeight="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 xml:space="preserve">Добавить централизованную систему для дифференциации</v>
      </c>
      <c r="AO13" s="1253"/>
      <c r="AP13" s="1253"/>
      <c r="AQ13" s="1644">
        <v>0</v>
      </c>
    </row>
    <row r="14" s="1644" customFormat="1" ht="0.75" hidden="1" customHeight="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 xml:space="preserve">Добавить территорию для дифференциации</v>
      </c>
      <c r="AO14" s="1626"/>
      <c r="AP14" s="1626"/>
      <c r="AQ14" s="1638">
        <v>0</v>
      </c>
    </row>
    <row r="15" ht="14.25" hidden="1" customHeight="1">
      <c r="AQ15" s="1633">
        <v>0</v>
      </c>
    </row>
    <row r="16" ht="14.25" hidden="1" customHeight="1">
      <c r="AC16" s="1504"/>
      <c r="AD16" s="1405"/>
      <c r="AE16" s="1406"/>
      <c r="AF16" s="1738"/>
      <c r="AG16" s="1968" t="s">
        <v>66</v>
      </c>
      <c r="AH16" s="1738"/>
      <c r="AI16" s="1968" t="s">
        <v>66</v>
      </c>
      <c r="AQ16" s="1633">
        <v>0</v>
      </c>
    </row>
    <row r="17" ht="14.25" hidden="1" customHeight="1">
      <c r="AL17" s="1643"/>
      <c r="AM17" s="1643"/>
      <c r="AN17" s="1643"/>
      <c r="AO17" s="1643"/>
      <c r="AP17" s="1643"/>
      <c r="AQ17" s="1633">
        <v>0</v>
      </c>
    </row>
    <row r="18" ht="14.25" hidden="1" customHeight="1">
      <c r="O18" s="1347" t="s">
        <v>417</v>
      </c>
      <c r="X18" s="1347"/>
      <c r="Z18" s="1347"/>
      <c r="AF18" s="1347"/>
      <c r="AH18" s="1347"/>
      <c r="AL18" s="1643"/>
      <c r="AM18" s="1643"/>
      <c r="AN18" s="1643"/>
      <c r="AO18" s="1643"/>
      <c r="AP18" s="1643"/>
      <c r="AQ18" s="1633">
        <v>0</v>
      </c>
    </row>
    <row r="19" ht="14.25" hidden="1" customHeight="1">
      <c r="AL19" s="1643"/>
      <c r="AM19" s="1643"/>
      <c r="AN19" s="1643"/>
      <c r="AO19" s="1643"/>
      <c r="AP19" s="1643"/>
      <c r="AQ19" s="1633">
        <v>0</v>
      </c>
    </row>
    <row r="20" s="1511" customFormat="1" ht="14.25" hidden="1" customHeight="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r="21" ht="14.25" hidden="1" customHeight="1">
      <c r="O21" s="1312"/>
      <c r="AL21" s="1643"/>
      <c r="AM21" s="1643"/>
      <c r="AN21" s="1643"/>
      <c r="AO21" s="1643"/>
      <c r="AP21" s="1643"/>
      <c r="AQ21" s="1633">
        <v>0</v>
      </c>
    </row>
    <row r="22" ht="14.25" hidden="1" customHeight="1">
      <c r="O22" s="1312"/>
      <c r="AL22" s="1643"/>
      <c r="AM22" s="1643"/>
      <c r="AN22" s="1643"/>
      <c r="AO22" s="1643"/>
      <c r="AP22" s="1643"/>
      <c r="AQ22" s="1633">
        <v>0</v>
      </c>
    </row>
    <row r="23" ht="14.65" customHeight="1">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r="24" ht="39.75" customHeight="1">
      <c r="Q24" s="293"/>
      <c r="R24" s="378"/>
      <c r="S24" s="2250"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r="25" ht="14.65" customHeight="1">
      <c r="Q25" s="293"/>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633">
        <v>14</v>
      </c>
    </row>
    <row r="26" ht="14.25" hidden="1" customHeight="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r="27" s="1855" customFormat="1" ht="25.5" hidden="1" customHeight="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r="28" s="1855" customFormat="1" ht="18.75" hidden="1" customHeight="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r="29" s="1855" customFormat="1" ht="18.75" hidden="1" customHeight="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r="30" s="1855" customFormat="1" ht="18.75" hidden="1" customHeight="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r="31" ht="14.25" hidden="1" customHeight="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r="32" s="1855" customFormat="1" ht="18.75" hidden="1" customHeight="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r="33" s="1855" customFormat="1" ht="18" hidden="1" customHeight="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r="34" s="1855" customFormat="1" ht="1.05" customHeight="1">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r="35" ht="14.65" customHeight="1">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r="36" ht="14.65" customHeight="1">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r="37" ht="14.65" customHeight="1">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r="38" ht="35.649999999999999" customHeight="1">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r="39" ht="14.65" customHeight="1">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r="40" ht="14.65" customHeight="1">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r="41" s="1643" customFormat="1" ht="11.25" hidden="1" customHeight="1">
      <c r="A41" s="1268"/>
      <c r="B41" s="1268"/>
      <c r="C41" s="1268"/>
      <c r="D41" s="1268"/>
      <c r="E41" s="1268"/>
      <c r="F41" s="1268"/>
      <c r="G41" s="1268"/>
      <c r="H41" s="1268"/>
      <c r="I41" s="1268"/>
      <c r="J41" s="1268"/>
      <c r="K41" s="1268"/>
      <c r="L41" s="1312"/>
      <c r="M41" s="1967"/>
      <c r="N41" s="1967"/>
      <c r="O41" s="1967"/>
      <c r="P41" s="512"/>
      <c r="Q41" s="1256"/>
      <c r="R41" s="1256">
        <v>1</v>
      </c>
      <c r="S41" s="1279" t="s">
        <v>110</v>
      </c>
      <c r="T41" s="1257" t="s">
        <v>111</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r="42" ht="107.25" customHeight="1">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 xml:space="preserve">Наименование тарифа</v>
      </c>
      <c r="AO42" s="1626"/>
      <c r="AP42" s="1626"/>
      <c r="AQ42" s="1633">
        <v>102</v>
      </c>
    </row>
    <row r="43" ht="22" customHeight="1">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 xml:space="preserve">Территория действия тарифа</v>
      </c>
      <c r="AO43" s="1626"/>
      <c r="AP43" s="1626"/>
      <c r="AQ43" s="1633">
        <v>21</v>
      </c>
    </row>
    <row r="44" ht="24" customHeight="1">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 xml:space="preserve">Наименование системы теплоснабжения</v>
      </c>
      <c r="AO44" s="1626"/>
      <c r="AP44" s="1626"/>
      <c r="AQ44" s="1633">
        <v>23</v>
      </c>
    </row>
    <row r="45" ht="22" customHeight="1">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 xml:space="preserve">Источник тепловой энергии</v>
      </c>
      <c r="AO45" s="1626"/>
      <c r="AP45" s="1626"/>
      <c r="AQ45" s="1633">
        <v>21</v>
      </c>
    </row>
    <row r="46" s="1644" customFormat="1" ht="0" customHeight="1">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r="47" s="1644" customFormat="1" ht="0" customHeight="1">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r="48" ht="22" customHeight="1">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r="49" ht="11.5" customHeight="1">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 xml:space="preserve">Добавить строку</v>
      </c>
      <c r="AO49" s="1626"/>
      <c r="AP49" s="1626"/>
      <c r="AQ49" s="1633">
        <v>11</v>
      </c>
    </row>
    <row r="50" s="1644" customFormat="1" ht="1.05" customHeight="1">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 xml:space="preserve">Добавить группу потребителей</v>
      </c>
      <c r="AO50" s="1626"/>
      <c r="AP50" s="1626"/>
      <c r="AQ50" s="1638">
        <v>1</v>
      </c>
    </row>
    <row r="51" s="1643" customFormat="1" ht="1.05" customHeight="1">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r="52" s="1644" customFormat="1" ht="1.05" customHeight="1">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 xml:space="preserve">Добавить источник для дифференциации</v>
      </c>
      <c r="AO52" s="1253"/>
      <c r="AP52" s="1253"/>
      <c r="AQ52" s="1644">
        <v>1</v>
      </c>
    </row>
    <row r="53" s="1644" customFormat="1" ht="1.05" customHeight="1">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 xml:space="preserve">Добавить централизованную систему для дифференциации</v>
      </c>
      <c r="AO53" s="1253"/>
      <c r="AP53" s="1253"/>
      <c r="AQ53" s="1644">
        <v>1</v>
      </c>
    </row>
    <row r="54" s="1644" customFormat="1" ht="1.05" customHeight="1">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 xml:space="preserve">Добавить территорию для дифференциации</v>
      </c>
      <c r="AO54" s="1626"/>
      <c r="AP54" s="1626"/>
      <c r="AQ54" s="1638">
        <v>1</v>
      </c>
    </row>
    <row r="55" s="1644" customFormat="1" ht="1.05" customHeight="1">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 xml:space="preserve">Добавить территорию для дифференциации</v>
      </c>
      <c r="AO55" s="1626"/>
      <c r="AP55" s="1626"/>
      <c r="AQ55" s="1638">
        <v>1</v>
      </c>
    </row>
    <row r="56" s="1644" customFormat="1" ht="1.05" customHeight="1">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 xml:space="preserve">Добавить наименование тарифа</v>
      </c>
      <c r="AO56" s="1253"/>
      <c r="AP56" s="1253"/>
      <c r="AQ56" s="1644">
        <v>1</v>
      </c>
    </row>
    <row r="57" ht="11.5" customHeight="1">
      <c r="M57" s="1633"/>
      <c r="N57" s="1633"/>
      <c r="O57" s="1637"/>
      <c r="P57" s="1368"/>
      <c r="Q57" s="1368"/>
      <c r="R57" s="1633"/>
      <c r="S57" s="1633"/>
      <c r="AL57" s="1633"/>
      <c r="AM57" s="1633"/>
      <c r="AN57" s="1633"/>
      <c r="AO57" s="1633"/>
      <c r="AP57" s="1633"/>
      <c r="AQ57" s="1633">
        <v>11</v>
      </c>
    </row>
    <row r="58" ht="19.949999999999999" customHeight="1">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r="59" ht="21" customHeight="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r="60" ht="14.65" customHeight="1">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r="61" ht="19.949999999999999" customHeight="1">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r="62" ht="16.800000000000001" customHeight="1">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r="63" ht="14.65" customHeight="1">
      <c r="O63" s="1637"/>
      <c r="AQ63" s="1633">
        <v>14</v>
      </c>
    </row>
    <row r="64" ht="22.5" hidden="1" customHeight="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autoFilter="0" deleteColumns="0" deleteRows="0" insertColumns="1" insertRows="0" sort="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5">
    <dataValidation sqref="S131122:AK131128 S196658:AK196664 S262194:AK262200 S327730:AK327736 S393266:AK393272 S458802:AK458808 S524338:AK524344 S589874:AK589880 S655410:AK655416 S720946:AK720952 S786482:AK786488 S852018:AK852024 S917554:AK917560 S983090:AK983096 S65586:AK65592" allowBlank="1"/>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allowBlank="1" prompt="Для выбора выполните двойной щелчок левой клавиши мыши по соответствующей ячейке."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allowBlank="1" promptTitle="checkPeriodRange"/>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V39:W39" allowBlank="1" error="Выберите значение из списка" errorTitle="Ошибка"/>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x14:dataValidation xr:uid="{006D00C5-008C-4D37-BF5F-0090004700FD}" type="decimal" allowBlank="1" error="Допускается ввод только действительных чисел!" errorTitle="Ошибка" showErrorMessage="1">
          <x14:formula1>
            <xm:f>-9.99999999999999E+23</xm:f>
          </x14:formula1>
          <x14:formula2>
            <xm:f>9.99999999999999E+23</xm:f>
          </x14:formula2>
          <xm:sqref>AC48 AC8</xm:sqref>
        </x14:dataValidation>
        <x14:dataValidation xr:uid="{00D60051-0028-44EB-AF75-000E00170036}" type="list" allowBlank="1" error="Выберите значение из списка" errorTitle="Ошибка" prompt="Выберите значение из списка"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390054-007A-4961-8D5A-0099007100F4}" type="list" allowBlank="1" error="Выберите значение из списка" errorTitle="Ошибка" showErrorMessage="1" showInputMessage="1">
          <x14:formula1>
            <xm:f>kind_of_scheme_in</xm:f>
          </x14:formula1>
          <xm:sqref>AC983086 AC917550 AC852014 AC786478 AC720942 AC655406 AC589870 AC524334 AC458798 AC393262 AC327726 AC262190 AC196654 AC131118 AC65582</xm:sqref>
        </x14:dataValidation>
        <x14:dataValidation xr:uid="{009900D7-0093-4A9C-B216-003B00640071}" type="textLength" allowBlank="1" error="Допускается ввод не более 900 символов!" errorTitle="Ошибка" operator="lessThanOrEqual"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2A007E-00CE-4EF4-A692-0008006700DA}" type="list" allowBlank="1" error="Выберите значение из списка" errorTitle="Ошибка" showErrorMessage="1" showInputMessage="1">
          <x14:formula1>
            <xm:f>kind_of_heat_transfer</xm:f>
          </x14:formula1>
          <xm:sqref>T65584 T131120 T196656 T262192 T327728 T393264 T458800 T524336 T589872 T655408 T720944 T786480 T852016 T917552 T983088</xm:sqref>
        </x14:dataValidation>
        <x14:dataValidation xr:uid="{00A900A7-00A6-40B4-A880-0055008C00E5}" type="list" allowBlank="1" error="Выберите значение из списка" errorTitle="Ошибка" prompt="Выберите значение из списка" showErrorMessage="1" showInputMessage="1">
          <x14:formula1>
            <xm:f>UNIT_CONNECT_LIST</xm:f>
          </x14:formula1>
          <xm:sqref>AD39:AE39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368" width="11.57421875"/>
    <col customWidth="1" hidden="1" min="2" max="2" style="1368" width="11.00390625"/>
    <col hidden="1" min="3" max="3" style="1368" width="10.57421875"/>
    <col customWidth="1" hidden="1" min="4" max="4" style="1368" width="12.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1778" width="3.7109375"/>
    <col customWidth="1" hidden="1" min="17" max="17" style="1373" width="3.7109375"/>
    <col customWidth="1" min="18" max="18" style="346" width="3.00390625"/>
    <col customWidth="1" min="19" max="19" style="2409" width="12.00390625"/>
    <col customWidth="1" min="20" max="20" style="1637" width="31.00390625"/>
    <col customWidth="1" min="21" max="21" style="1637" width="0.140625"/>
    <col customWidth="1" hidden="1" min="22" max="25" style="1637" width="21.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3.7109375"/>
    <col customWidth="1" min="31" max="32" style="1637" width="3.00390625"/>
    <col customWidth="1" min="33" max="33" style="1637" width="24.00390625"/>
    <col customWidth="1" min="34" max="34" style="1637" width="3.7109375"/>
    <col customWidth="1" min="35" max="36" style="1637" width="3.00390625"/>
    <col customWidth="1" min="37" max="37" style="1637" width="24.00390625"/>
    <col customWidth="1" min="38" max="38" style="1637" width="3.7109375"/>
    <col customWidth="1" min="39" max="40" style="1637" width="3.00390625"/>
    <col customWidth="1" min="41" max="41" style="1637" width="18.00390625"/>
    <col customWidth="1" min="42" max="42" style="1637" width="3.7109375"/>
    <col customWidth="1" min="43" max="44" style="1637" width="3.00390625"/>
    <col customWidth="1" min="45" max="45" style="1637" width="18.00390625"/>
    <col customWidth="1" min="46" max="49" style="1637" width="21.00390625"/>
    <col customWidth="1" min="50" max="50" style="1637" width="11.00390625"/>
    <col customWidth="1" min="51" max="51" style="1637" width="3.7109375"/>
    <col customWidth="1" min="52" max="52" style="1637" width="11.00390625"/>
    <col customWidth="1" hidden="1" min="53" max="53" style="1637" width="8.57421875"/>
    <col customWidth="1" min="54" max="54" style="1637" width="4.00390625"/>
    <col customWidth="1" min="55" max="55" style="1637" width="115.00390625"/>
    <col customWidth="1" min="56" max="60" style="1644" width="10.00390625"/>
    <col hidden="1" min="61" max="61" style="1637" width="10.57421875"/>
  </cols>
  <sheetData>
    <row r="1" ht="22.5" hidden="1" customHeight="1">
      <c r="W1" s="329"/>
      <c r="Y1" s="329"/>
      <c r="Z1" s="329"/>
      <c r="AW1" s="329"/>
      <c r="AX1" s="329"/>
      <c r="BI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 xml:space="preserve">Наименование тарифа</v>
      </c>
      <c r="BG2" s="502"/>
      <c r="BH2" s="502"/>
      <c r="BI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 xml:space="preserve">Территория действия тарифа</v>
      </c>
      <c r="BG3" s="502"/>
      <c r="BH3" s="502"/>
      <c r="BI3" s="1157">
        <v>0</v>
      </c>
    </row>
    <row r="4" ht="42" hidden="1" customHeight="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 xml:space="preserve">Наименование централизованной системы холодного водоснабжения</v>
      </c>
      <c r="BG4" s="502"/>
      <c r="BH4" s="502"/>
      <c r="BI4" s="1157">
        <v>0</v>
      </c>
    </row>
    <row r="5" s="1644" customFormat="1" ht="14.25" hidden="1" customHeight="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r="6" s="1644" customFormat="1" ht="14.25" hidden="1" customHeight="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r="7" s="1644" customFormat="1" ht="14.25" hidden="1" customHeight="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r="8" ht="11.25" hidden="1" customHeight="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r="9" ht="11.25" hidden="1" customHeight="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r="10" ht="11.25" hidden="1" customHeight="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r="11" ht="11.25" hidden="1" customHeight="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r="12" ht="11.25" hidden="1" customHeight="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r="13" ht="11.25" hidden="1" customHeight="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 xml:space="preserve">Добавить строку</v>
      </c>
      <c r="BG13" s="502"/>
      <c r="BH13" s="502"/>
      <c r="BI13" s="1157">
        <v>0</v>
      </c>
    </row>
    <row r="14" s="1644" customFormat="1" ht="14.25" hidden="1" customHeight="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r="15" s="1644" customFormat="1" ht="14.25" hidden="1" customHeight="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r="16" s="1644" customFormat="1" ht="14.25" hidden="1" customHeight="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r="17" s="1644" customFormat="1" ht="14.25" hidden="1" customHeight="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 xml:space="preserve">Добавить централизованную систему для дифференциации</v>
      </c>
      <c r="BG17" s="791"/>
      <c r="BH17" s="791"/>
      <c r="BI17" s="520">
        <v>0</v>
      </c>
    </row>
    <row r="18" s="1644" customFormat="1" ht="14.25" hidden="1" customHeight="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 xml:space="preserve">Добавить территорию для дифференциации</v>
      </c>
      <c r="BG18" s="502"/>
      <c r="BH18" s="502"/>
      <c r="BI18" s="513">
        <v>0</v>
      </c>
    </row>
    <row r="19" ht="14.25" hidden="1" customHeight="1">
      <c r="AC19" s="329"/>
      <c r="BA19" s="329"/>
      <c r="BI19" s="1157">
        <v>0</v>
      </c>
    </row>
    <row r="20" ht="14.25" hidden="1" customHeight="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r="21" ht="14.25" hidden="1" customHeight="1">
      <c r="BD21" s="498"/>
      <c r="BE21" s="498"/>
      <c r="BF21" s="498"/>
      <c r="BG21" s="498"/>
      <c r="BH21" s="498"/>
      <c r="BI21" s="1157">
        <v>0</v>
      </c>
    </row>
    <row r="22" ht="14.25" hidden="1" customHeight="1">
      <c r="O22" s="1369" t="s">
        <v>417</v>
      </c>
      <c r="Z22" s="1347"/>
      <c r="AB22" s="1347"/>
      <c r="AC22" s="329"/>
      <c r="AX22" s="1347"/>
      <c r="AZ22" s="1347"/>
      <c r="BA22" s="329"/>
      <c r="BD22" s="498"/>
      <c r="BE22" s="498"/>
      <c r="BF22" s="498"/>
      <c r="BG22" s="498"/>
      <c r="BH22" s="498"/>
      <c r="BI22" s="1157">
        <v>0</v>
      </c>
    </row>
    <row r="23" ht="14.25" hidden="1" customHeight="1">
      <c r="AC23" s="329"/>
      <c r="BA23" s="329"/>
      <c r="BD23" s="498"/>
      <c r="BE23" s="498"/>
      <c r="BF23" s="498"/>
      <c r="BG23" s="498"/>
      <c r="BH23" s="498"/>
      <c r="BI23" s="1157">
        <v>0</v>
      </c>
    </row>
    <row r="24" s="1511" customFormat="1" ht="14.25" hidden="1" customHeight="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r="25" ht="14.25" hidden="1" customHeight="1">
      <c r="O25" s="1366"/>
      <c r="BD25" s="498"/>
      <c r="BE25" s="498"/>
      <c r="BF25" s="498"/>
      <c r="BG25" s="498"/>
      <c r="BH25" s="498"/>
      <c r="BI25" s="1157">
        <v>0</v>
      </c>
    </row>
    <row r="26" ht="14.25" hidden="1" customHeight="1">
      <c r="O26" s="1366"/>
      <c r="BD26" s="498"/>
      <c r="BE26" s="498"/>
      <c r="BF26" s="498"/>
      <c r="BG26" s="498"/>
      <c r="BH26" s="498"/>
      <c r="BI26" s="1157">
        <v>0</v>
      </c>
    </row>
    <row r="27" ht="14.65" customHeight="1">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r="28" ht="14.65" customHeight="1">
      <c r="Q28" s="293"/>
      <c r="R28" s="378"/>
      <c r="S28" s="2250" t="str">
        <f>IF(TEMPLATE_GROUP="P",PT_P_FORM_COLDVSNA_5_NAME_FORM,PT_R_FORM_COLDVSNA_17_NAME_FORM)</f>
        <v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r="29" ht="14.65" customHeight="1">
      <c r="Q29" s="293"/>
      <c r="R29" s="378"/>
      <c r="S29" s="2251" t="str">
        <f>IF(org=0,"Не определено",org)</f>
        <v xml:space="preserve">филиал ПАО "ОГК-2" - Рязанская ГРЭС</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r="30" ht="14.25" hidden="1" customHeight="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r="31" s="1855" customFormat="1" ht="25.5" hidden="1" customHeight="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r="34" s="1855" customFormat="1" ht="18.75" hidden="1" customHeight="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r="35" ht="14.25" hidden="1" customHeight="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r="36" s="1855" customFormat="1" ht="18.75" hidden="1" customHeight="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r="37" s="1855" customFormat="1" ht="18.75" hidden="1" customHeight="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r="38" s="1855" customFormat="1" ht="0" customHeight="1">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r="39" ht="14.65" customHeight="1">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r="40" ht="14.65" customHeight="1">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r="41" ht="14.65" customHeight="1">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r="42" ht="35.649999999999999" customHeight="1">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r="43" ht="14.65" customHeight="1">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r="44" ht="14.65" customHeight="1">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r="45" s="1643" customFormat="1" ht="11.25" hidden="1" customHeight="1">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r="46" ht="22" customHeight="1">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 xml:space="preserve">Наименование тарифа</v>
      </c>
      <c r="BG46" s="502"/>
      <c r="BH46" s="502"/>
      <c r="BI46" s="1157">
        <v>21</v>
      </c>
    </row>
    <row r="47" ht="22" customHeight="1">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 xml:space="preserve">Территория действия тарифа</v>
      </c>
      <c r="BG47" s="502"/>
      <c r="BH47" s="502"/>
      <c r="BI47" s="1157">
        <v>21</v>
      </c>
    </row>
    <row r="48" ht="43.049999999999997" customHeight="1">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 xml:space="preserve">Наименование централизованной системы холодного водоснабжения</v>
      </c>
      <c r="BG48" s="502"/>
      <c r="BH48" s="502"/>
      <c r="BI48" s="1157">
        <v>41</v>
      </c>
    </row>
    <row r="49" s="1644" customFormat="1" ht="0" customHeight="1">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r="50" s="1644" customFormat="1" ht="0" customHeight="1">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r="51" s="1644" customFormat="1" ht="0" customHeight="1">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r="52" ht="11.5" customHeight="1">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r="53" ht="11.5" customHeight="1">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r="54" ht="11.5" customHeight="1">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r="55" ht="11.5" customHeight="1">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r="56" ht="11.5" customHeight="1">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r="57" ht="11.5" customHeight="1">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 xml:space="preserve">Добавить строку</v>
      </c>
      <c r="BG57" s="502"/>
      <c r="BH57" s="502"/>
      <c r="BI57" s="1157">
        <v>11</v>
      </c>
    </row>
    <row r="58" s="1644" customFormat="1" ht="0" customHeight="1">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r="59" s="1644" customFormat="1" ht="0" customHeight="1">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r="60" s="1644" customFormat="1" ht="0" customHeight="1">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r="61" s="1644" customFormat="1" ht="0" customHeight="1">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 xml:space="preserve">Добавить централизованную систему для дифференциации</v>
      </c>
      <c r="BG61" s="791"/>
      <c r="BH61" s="791"/>
      <c r="BI61" s="520">
        <v>0</v>
      </c>
    </row>
    <row r="62" s="1644" customFormat="1" ht="0" customHeight="1">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 xml:space="preserve">Добавить территорию для дифференциации</v>
      </c>
      <c r="BG62" s="502"/>
      <c r="BH62" s="502"/>
      <c r="BI62" s="513">
        <v>0</v>
      </c>
    </row>
    <row r="63" s="1644" customFormat="1" ht="0" customHeight="1">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 xml:space="preserve">Добавить наименование тарифа</v>
      </c>
      <c r="BG63" s="791"/>
      <c r="BH63" s="791"/>
      <c r="BI63" s="520">
        <v>0</v>
      </c>
    </row>
    <row r="64" ht="11.5" customHeight="1">
      <c r="M64" s="1162"/>
      <c r="N64" s="1162"/>
      <c r="O64" s="539"/>
      <c r="P64" s="1162"/>
      <c r="Q64" s="1162"/>
      <c r="R64" s="1157"/>
      <c r="S64" s="1157"/>
      <c r="BD64" s="1157"/>
      <c r="BE64" s="1157"/>
      <c r="BF64" s="1157"/>
      <c r="BG64" s="1157"/>
      <c r="BH64" s="1157"/>
      <c r="BI64" s="1157">
        <v>11</v>
      </c>
    </row>
    <row r="65" ht="19.949999999999999" customHeight="1">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r="66" ht="14.65" customHeight="1">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r="67" ht="19.949999999999999" customHeight="1">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r="68" ht="14.65" customHeight="1">
      <c r="O68" s="539"/>
      <c r="BI68" s="1157">
        <v>14</v>
      </c>
    </row>
    <row r="69" ht="14.25" hidden="1" customHeight="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autoFilter="0" deleteColumns="0" deleteRows="0" formatColumns="0" formatRows="0" insertColumns="1" insertRows="0" sort="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4">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2C00B2-00C9-49BB-977D-007500410017}"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 xr:uid="{005A0062-00D7-4880-8DDF-000000ED002D}"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1E005D-00EA-4E39-BFB7-006B006B003F}"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7100D4-0097-4859-BE41-00EF00B30076}"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3F00BF-009C-4E12-82C8-00EA004900D8}"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 xml:space="preserve">Наименование централизованной системы водоотведения</v>
      </c>
      <c r="AO4" s="502"/>
      <c r="AP4" s="502"/>
      <c r="AQ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66</v>
      </c>
      <c r="AH15" s="2269"/>
      <c r="AI15" s="2270" t="s">
        <v>66</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80"/>
      <c r="M19" s="1364"/>
      <c r="N19" s="1364"/>
      <c r="O19" s="1364"/>
      <c r="P19" s="1364"/>
      <c r="Q19" s="1373"/>
      <c r="R19" s="1373"/>
      <c r="S19" s="731"/>
      <c r="AB19" s="1368"/>
      <c r="AI19" s="1368"/>
      <c r="AL19" s="513"/>
      <c r="AM19" s="513"/>
      <c r="AN19" s="513"/>
      <c r="AO19" s="513"/>
      <c r="AP19" s="513"/>
      <c r="AQ19" s="1162">
        <v>0</v>
      </c>
    </row>
    <row r="20" s="1368" customFormat="1" ht="12" hidden="1" customHeight="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r="37" ht="14.65" customHeight="1">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r="38" ht="35.649999999999999" customHeight="1">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r="39" ht="90.299999999999997" customHeight="1">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r="40" s="1643" customFormat="1" ht="11.25" hidden="1" customHeight="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r="41" ht="24" customHeight="1">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 xml:space="preserve">Территория действия тарифа</v>
      </c>
      <c r="AO42" s="502"/>
      <c r="AP42" s="502"/>
      <c r="AQ42" s="1157">
        <v>23</v>
      </c>
    </row>
    <row r="43" ht="24" customHeight="1">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 xml:space="preserve">Наименование централизованной системы водоотведения</v>
      </c>
      <c r="AO43" s="502"/>
      <c r="AP43" s="502"/>
      <c r="AQ43" s="1157">
        <v>23</v>
      </c>
    </row>
    <row r="44" ht="24" customHeight="1">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 xml:space="preserve">Наименование признака дифференциации</v>
      </c>
      <c r="AO44" s="502"/>
      <c r="AP44" s="502"/>
      <c r="AQ44" s="1157">
        <v>23</v>
      </c>
    </row>
    <row r="45" ht="24" customHeight="1">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 xml:space="preserve">Группа потребителей</v>
      </c>
      <c r="AO45" s="502"/>
      <c r="AP45" s="502"/>
      <c r="AQ45" s="1157">
        <v>23</v>
      </c>
    </row>
    <row r="46" ht="24" customHeight="1">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 xml:space="preserve">Добавить значение признака дифференциации</v>
      </c>
      <c r="AO48" s="502"/>
      <c r="AP48" s="502"/>
      <c r="AQ48" s="1157">
        <v>20</v>
      </c>
    </row>
    <row r="49" ht="22" customHeight="1">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D60063-006B-4297-B1D8-000900BF0089}"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2F002E-0066-47B8-AC89-000900CE00D6}"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8C00E4-002E-47B4-8A5A-005A001D0019}"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F300C8-00DE-456A-AFCA-001F00CE0077}"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 xml:space="preserve">Наименование централизованной системы водоотведения</v>
      </c>
      <c r="AO4" s="502"/>
      <c r="AP4" s="502"/>
      <c r="AQ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66</v>
      </c>
      <c r="AH15" s="2269"/>
      <c r="AI15" s="2270" t="s">
        <v>66</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80"/>
      <c r="M19" s="1364"/>
      <c r="N19" s="1364"/>
      <c r="O19" s="1364"/>
      <c r="P19" s="1364"/>
      <c r="Q19" s="1373"/>
      <c r="R19" s="1373"/>
      <c r="S19" s="731"/>
      <c r="AB19" s="1368"/>
      <c r="AI19" s="1368"/>
      <c r="AL19" s="513"/>
      <c r="AM19" s="513"/>
      <c r="AN19" s="513"/>
      <c r="AO19" s="513"/>
      <c r="AP19" s="513"/>
      <c r="AQ19" s="1162">
        <v>0</v>
      </c>
    </row>
    <row r="20" s="1368" customFormat="1" ht="12" hidden="1" customHeight="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r="37" ht="14.65" customHeight="1">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r="38" ht="35.649999999999999" customHeight="1">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r="39" ht="90.299999999999997" customHeight="1">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r="41" ht="24" customHeight="1">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 xml:space="preserve">Территория действия тарифа</v>
      </c>
      <c r="AO42" s="502"/>
      <c r="AP42" s="502"/>
      <c r="AQ42" s="1157">
        <v>23</v>
      </c>
    </row>
    <row r="43" ht="24" customHeight="1">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 xml:space="preserve">Наименование централизованной системы водоотведения</v>
      </c>
      <c r="AO43" s="502"/>
      <c r="AP43" s="502"/>
      <c r="AQ43" s="1157">
        <v>23</v>
      </c>
    </row>
    <row r="44" ht="24" customHeight="1">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 xml:space="preserve">Наименование признака дифференциации</v>
      </c>
      <c r="AO44" s="502"/>
      <c r="AP44" s="502"/>
      <c r="AQ44" s="1157">
        <v>23</v>
      </c>
    </row>
    <row r="45" ht="24" customHeight="1">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 xml:space="preserve">Группа потребителей</v>
      </c>
      <c r="AO45" s="502"/>
      <c r="AP45" s="502"/>
      <c r="AQ45" s="1157">
        <v>23</v>
      </c>
    </row>
    <row r="46" ht="24" customHeight="1">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 xml:space="preserve">Добавить значение признака дифференциации</v>
      </c>
      <c r="AO48" s="502"/>
      <c r="AP48" s="502"/>
      <c r="AQ48" s="1157">
        <v>20</v>
      </c>
    </row>
    <row r="49" ht="22" customHeight="1">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13000B-005F-4F3D-B028-00FC00D1009E}"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940015-0051-467A-BA6A-00230014002D}"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1400AF-00EB-479D-9692-0007006F006E}"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4B0016-0065-46AD-851B-009D00CF00B9}"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368" width="11.57421875"/>
    <col customWidth="1" hidden="1" min="2" max="2" style="1368" width="11.00390625"/>
    <col hidden="1" min="3" max="3" style="1368" width="10.57421875"/>
    <col customWidth="1" hidden="1" min="4" max="4" style="1368" width="12.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1778" width="3.7109375"/>
    <col customWidth="1" hidden="1" min="17" max="17" style="1373" width="3.7109375"/>
    <col customWidth="1" min="18" max="18" style="346" width="3.00390625"/>
    <col customWidth="1" min="19" max="19" style="2409" width="12.00390625"/>
    <col customWidth="1" min="20" max="20" style="1637" width="31.00390625"/>
    <col customWidth="1" min="21" max="21" style="1637" width="0.140625"/>
    <col customWidth="1" hidden="1" min="22" max="25" style="1637" width="21.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3.7109375"/>
    <col customWidth="1" min="31" max="32" style="1637" width="3.00390625"/>
    <col customWidth="1" min="33" max="33" style="1637" width="24.00390625"/>
    <col customWidth="1" min="34" max="34" style="1637" width="3.7109375"/>
    <col customWidth="1" min="35" max="36" style="1637" width="3.00390625"/>
    <col customWidth="1" min="37" max="37" style="1637" width="24.00390625"/>
    <col customWidth="1" min="38" max="38" style="1637" width="3.7109375"/>
    <col customWidth="1" min="39" max="40" style="1637" width="3.00390625"/>
    <col customWidth="1" min="41" max="41" style="1637" width="18.00390625"/>
    <col customWidth="1" min="42" max="42" style="1637" width="3.7109375"/>
    <col customWidth="1" min="43" max="44" style="1637" width="3.00390625"/>
    <col customWidth="1" min="45" max="45" style="1637" width="18.00390625"/>
    <col customWidth="1" min="46" max="49" style="1637" width="21.00390625"/>
    <col customWidth="1" min="50" max="50" style="1637" width="11.00390625"/>
    <col customWidth="1" min="51" max="51" style="1637" width="3.7109375"/>
    <col customWidth="1" min="52" max="52" style="1637" width="11.00390625"/>
    <col customWidth="1" hidden="1" min="53" max="53" style="1637" width="8.57421875"/>
    <col customWidth="1" min="54" max="54" style="1637" width="4.00390625"/>
    <col customWidth="1" min="55" max="55" style="1637" width="115.00390625"/>
    <col customWidth="1" min="56" max="60" style="1644" width="10.00390625"/>
    <col hidden="1" min="61" max="61" style="1637" width="10.57421875"/>
  </cols>
  <sheetData>
    <row r="1" ht="22.5" hidden="1" customHeight="1">
      <c r="W1" s="329"/>
      <c r="Y1" s="329"/>
      <c r="Z1" s="329"/>
      <c r="AW1" s="329"/>
      <c r="AX1" s="329"/>
      <c r="BI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 xml:space="preserve">Наименование тарифа</v>
      </c>
      <c r="BG2" s="502"/>
      <c r="BH2" s="502"/>
      <c r="BI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 xml:space="preserve">Территория действия тарифа</v>
      </c>
      <c r="BG3" s="502"/>
      <c r="BH3" s="502"/>
      <c r="BI3" s="1157">
        <v>0</v>
      </c>
    </row>
    <row r="4" ht="33.75" hidden="1" customHeight="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 xml:space="preserve">Наименование централизованной системы водоотведения</v>
      </c>
      <c r="BG4" s="502"/>
      <c r="BH4" s="502"/>
      <c r="BI4" s="1157">
        <v>0</v>
      </c>
    </row>
    <row r="5" s="1644" customFormat="1" ht="14.25" hidden="1" customHeight="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r="6" s="1644" customFormat="1" ht="14.25" hidden="1" customHeight="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r="7" s="1644" customFormat="1" ht="14.25" hidden="1" customHeight="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r="8" ht="11.25" hidden="1" customHeight="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r="9" ht="11.25" hidden="1" customHeight="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r="10" ht="11.25" hidden="1" customHeight="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r="11" ht="11.25" hidden="1" customHeight="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r="12" ht="11.25" hidden="1" customHeight="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r="13" ht="11.25" hidden="1" customHeight="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 xml:space="preserve">Добавить строку</v>
      </c>
      <c r="BG13" s="502"/>
      <c r="BH13" s="502"/>
      <c r="BI13" s="1157">
        <v>0</v>
      </c>
    </row>
    <row r="14" s="1644" customFormat="1" ht="14.25" hidden="1" customHeight="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r="15" s="1644" customFormat="1" ht="14.25" hidden="1" customHeight="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r="16" s="1644" customFormat="1" ht="14.25" hidden="1" customHeight="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r="17" s="1644" customFormat="1" ht="14.25" hidden="1" customHeight="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 xml:space="preserve">Добавить централизованную систему для дифференциации</v>
      </c>
      <c r="BG17" s="791"/>
      <c r="BH17" s="791"/>
      <c r="BI17" s="520">
        <v>0</v>
      </c>
    </row>
    <row r="18" s="1644" customFormat="1" ht="14.25" hidden="1" customHeight="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 xml:space="preserve">Добавить территорию для дифференциации</v>
      </c>
      <c r="BG18" s="502"/>
      <c r="BH18" s="502"/>
      <c r="BI18" s="513">
        <v>0</v>
      </c>
    </row>
    <row r="19" ht="14.25" hidden="1" customHeight="1">
      <c r="AC19" s="329"/>
      <c r="BA19" s="329"/>
      <c r="BI19" s="1157">
        <v>0</v>
      </c>
    </row>
    <row r="20" ht="14.25" hidden="1" customHeight="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r="21" ht="14.25" hidden="1" customHeight="1">
      <c r="BD21" s="498"/>
      <c r="BE21" s="498"/>
      <c r="BF21" s="498"/>
      <c r="BG21" s="498"/>
      <c r="BH21" s="498"/>
      <c r="BI21" s="1157">
        <v>0</v>
      </c>
    </row>
    <row r="22" ht="14.25" hidden="1" customHeight="1">
      <c r="O22" s="1369" t="s">
        <v>417</v>
      </c>
      <c r="Z22" s="1347"/>
      <c r="AB22" s="1347"/>
      <c r="AC22" s="329"/>
      <c r="AX22" s="1347"/>
      <c r="AZ22" s="1347"/>
      <c r="BA22" s="329"/>
      <c r="BD22" s="498"/>
      <c r="BE22" s="498"/>
      <c r="BF22" s="498"/>
      <c r="BG22" s="498"/>
      <c r="BH22" s="498"/>
      <c r="BI22" s="1157">
        <v>0</v>
      </c>
    </row>
    <row r="23" ht="14.25" hidden="1" customHeight="1">
      <c r="AC23" s="329"/>
      <c r="BA23" s="329"/>
      <c r="BD23" s="498"/>
      <c r="BE23" s="498"/>
      <c r="BF23" s="498"/>
      <c r="BG23" s="498"/>
      <c r="BH23" s="498"/>
      <c r="BI23" s="1157">
        <v>0</v>
      </c>
    </row>
    <row r="24" s="1511" customFormat="1" ht="14.25" hidden="1" customHeight="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r="25" ht="14.25" hidden="1" customHeight="1">
      <c r="O25" s="1366"/>
      <c r="BD25" s="498"/>
      <c r="BE25" s="498"/>
      <c r="BF25" s="498"/>
      <c r="BG25" s="498"/>
      <c r="BH25" s="498"/>
      <c r="BI25" s="1157">
        <v>0</v>
      </c>
    </row>
    <row r="26" ht="14.25" hidden="1" customHeight="1">
      <c r="O26" s="1366"/>
      <c r="BD26" s="498"/>
      <c r="BE26" s="498"/>
      <c r="BF26" s="498"/>
      <c r="BG26" s="498"/>
      <c r="BH26" s="498"/>
      <c r="BI26" s="1157">
        <v>0</v>
      </c>
    </row>
    <row r="27" ht="14.65" customHeight="1">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r="28" ht="14.65" customHeight="1">
      <c r="Q28" s="293"/>
      <c r="R28" s="378"/>
      <c r="S28" s="2250" t="str">
        <f>IF(TEMPLATE_GROUP="P",PT_P_FORM_VOTV_5_NAME_FORM,PT_R_FORM_VOTV_17_NAME_FORM)</f>
        <v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r="29" ht="14.65" customHeight="1">
      <c r="Q29" s="293"/>
      <c r="R29" s="378"/>
      <c r="S29" s="2251" t="str">
        <f>IF(org=0,"Не определено",org)</f>
        <v xml:space="preserve">филиал ПАО "ОГК-2" - Рязанская ГРЭС</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r="30" ht="14.25" hidden="1" customHeight="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r="31" s="1855" customFormat="1" ht="25.5" hidden="1" customHeight="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r="34" s="1855" customFormat="1" ht="18.75" hidden="1" customHeight="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r="35" ht="14.25" hidden="1" customHeight="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r="36" s="1855" customFormat="1" ht="18.75" hidden="1" customHeight="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r="37" s="1855" customFormat="1" ht="18.75" hidden="1" customHeight="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r="38" s="1855" customFormat="1" ht="0" customHeight="1">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r="39" ht="14.65" customHeight="1">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r="40" ht="14.65" customHeight="1">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r="41" ht="14.65" customHeight="1">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r="42" ht="35.649999999999999" customHeight="1">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r="43" ht="14.65" customHeight="1">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r="44" ht="14.65" customHeight="1">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r="45" s="1643" customFormat="1" ht="11.25" hidden="1" customHeight="1">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r="46" ht="22" customHeight="1">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 xml:space="preserve">Наименование тарифа</v>
      </c>
      <c r="BG46" s="502"/>
      <c r="BH46" s="502"/>
      <c r="BI46" s="1157">
        <v>21</v>
      </c>
    </row>
    <row r="47" ht="22" customHeight="1">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 xml:space="preserve">Территория действия тарифа</v>
      </c>
      <c r="BG47" s="502"/>
      <c r="BH47" s="502"/>
      <c r="BI47" s="1157">
        <v>21</v>
      </c>
    </row>
    <row r="48" ht="35.649999999999999" customHeight="1">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 xml:space="preserve">Наименование централизованной системы водоотведения</v>
      </c>
      <c r="BG48" s="502"/>
      <c r="BH48" s="502"/>
      <c r="BI48" s="1157">
        <v>34</v>
      </c>
    </row>
    <row r="49" s="1644" customFormat="1" ht="0" customHeight="1">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r="50" s="1644" customFormat="1" ht="0" customHeight="1">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r="51" s="1644" customFormat="1" ht="0" customHeight="1">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r="52" ht="11.5" customHeight="1">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r="53" ht="11.5" customHeight="1">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r="54" ht="11.5" customHeight="1">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r="55" ht="11.5" customHeight="1">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r="56" ht="11.5" customHeight="1">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r="57" ht="11.5" customHeight="1">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 xml:space="preserve">Добавить строку</v>
      </c>
      <c r="BG57" s="502"/>
      <c r="BH57" s="502"/>
      <c r="BI57" s="1157">
        <v>11</v>
      </c>
    </row>
    <row r="58" s="1644" customFormat="1" ht="0" customHeight="1">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r="59" s="1644" customFormat="1" ht="0" customHeight="1">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r="60" s="1644" customFormat="1" ht="0" customHeight="1">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r="61" s="1644" customFormat="1" ht="0" customHeight="1">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 xml:space="preserve">Добавить централизованную систему для дифференциации</v>
      </c>
      <c r="BG61" s="791"/>
      <c r="BH61" s="791"/>
      <c r="BI61" s="520">
        <v>0</v>
      </c>
    </row>
    <row r="62" s="1644" customFormat="1" ht="0" customHeight="1">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 xml:space="preserve">Добавить территорию для дифференциации</v>
      </c>
      <c r="BG62" s="502"/>
      <c r="BH62" s="502"/>
      <c r="BI62" s="513">
        <v>0</v>
      </c>
    </row>
    <row r="63" s="1644" customFormat="1" ht="0" customHeight="1">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 xml:space="preserve">Добавить наименование тарифа</v>
      </c>
      <c r="BG63" s="791"/>
      <c r="BH63" s="791"/>
      <c r="BI63" s="520">
        <v>0</v>
      </c>
    </row>
    <row r="64" ht="11.5" customHeight="1">
      <c r="M64" s="1162"/>
      <c r="N64" s="1162"/>
      <c r="O64" s="539"/>
      <c r="P64" s="1162"/>
      <c r="Q64" s="1162"/>
      <c r="R64" s="1157"/>
      <c r="S64" s="1157"/>
      <c r="BD64" s="1157"/>
      <c r="BE64" s="1157"/>
      <c r="BF64" s="1157"/>
      <c r="BG64" s="1157"/>
      <c r="BH64" s="1157"/>
      <c r="BI64" s="1157">
        <v>11</v>
      </c>
    </row>
    <row r="65" ht="14.65" customHeight="1">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r="66" ht="14.65" customHeight="1">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r="67" ht="14.65" customHeight="1">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r="68" ht="14.65" customHeight="1">
      <c r="O68" s="539"/>
      <c r="BI68" s="1157">
        <v>14</v>
      </c>
    </row>
    <row r="69" ht="14.25" hidden="1" customHeight="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autoFilter="0" deleteColumns="0" deleteRows="0" formatColumns="0" formatRows="0" insertColumns="1" insertRows="0" sort="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4">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9E0087-008B-4E71-A49D-008000120037}"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 xr:uid="{006A00AE-0099-40FB-8632-008400AA009F}"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5900B9-003C-4AA0-ACEE-008D00B50008}"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F30004-0092-47BC-8E03-007C0056000B}"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B000B3-00EE-4B10-A8E2-0067008500A4}"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topLeftCell="A1" zoomScale="90" workbookViewId="0">
      <selection activeCell="G13" sqref="G13"/>
    </sheetView>
  </sheetViews>
  <sheetFormatPr defaultColWidth="9.140625" defaultRowHeight="14.25" customHeight="1"/>
  <cols>
    <col customWidth="1" hidden="1" min="1" max="1" style="1637" width="8.00390625"/>
    <col customWidth="1" hidden="1" min="2" max="2" style="1368" width="6.00390625"/>
    <col customWidth="1" min="3" max="3" style="1637" width="3.00390625"/>
    <col customWidth="1" min="4" max="4" style="1844" width="3.00390625"/>
    <col customWidth="1" min="5" max="5" style="1637" width="6.00390625"/>
    <col customWidth="1" hidden="1" min="6" max="6" style="1637" width="2.7109375"/>
    <col customWidth="1" min="7" max="7" style="1637" width="46.7109375"/>
    <col customWidth="1" min="8" max="8" style="1637" width="42.00390625"/>
    <col customWidth="1" min="9" max="9" style="1637" width="14.00390625"/>
    <col customWidth="1" min="10" max="10" style="1626" width="3.00390625"/>
    <col hidden="1" min="11" max="13" style="1626" width="9.140625"/>
    <col customWidth="1" hidden="1" min="14" max="14" style="1626" width="25.7109375"/>
    <col customWidth="1" hidden="1" min="15" max="15" style="1626" width="14.421875"/>
    <col hidden="1" min="16" max="19" style="227" width="9.140625"/>
    <col hidden="1" min="20" max="27" style="1637" width="9.140625"/>
    <col customWidth="1" min="28" max="28" style="1637" width="8.00390625"/>
    <col hidden="1" min="29" max="29" style="1637" width="9.140625"/>
  </cols>
  <sheetData>
    <row r="1" s="1644" customFormat="1" ht="5.25" hidden="1" customHeight="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r="2" s="1414" customFormat="1" ht="11.25" customHeight="1">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r="3" s="1821" customFormat="1" ht="3" customHeight="1">
      <c r="A3" s="760"/>
      <c r="B3" s="419"/>
      <c r="C3" s="760"/>
      <c r="D3" s="166"/>
      <c r="E3" s="105"/>
      <c r="F3" s="511"/>
      <c r="G3" s="105"/>
      <c r="H3" s="105"/>
      <c r="I3" s="168"/>
      <c r="J3" s="249"/>
      <c r="K3" s="157"/>
      <c r="L3" s="157"/>
      <c r="M3" s="157"/>
      <c r="N3" s="228"/>
      <c r="O3" s="157"/>
      <c r="P3" s="227"/>
      <c r="Q3" s="227"/>
      <c r="R3" s="227"/>
      <c r="S3" s="227"/>
      <c r="AC3" s="118">
        <v>3</v>
      </c>
    </row>
    <row r="4" s="1821" customFormat="1" ht="27.300000000000001" customHeight="1">
      <c r="A4" s="760"/>
      <c r="B4" s="419"/>
      <c r="C4" s="760"/>
      <c r="D4" s="166"/>
      <c r="E4" s="2102" t="str">
        <f>NameTemplatesInListMO</f>
        <v xml:space="preserve">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r="5" s="1821" customFormat="1" ht="3" customHeight="1">
      <c r="A5" s="760"/>
      <c r="B5" s="419"/>
      <c r="C5" s="760"/>
      <c r="D5" s="166"/>
      <c r="E5" s="105"/>
      <c r="F5" s="511"/>
      <c r="G5" s="169"/>
      <c r="H5" s="169"/>
      <c r="I5" s="170"/>
      <c r="J5" s="157"/>
      <c r="K5" s="157"/>
      <c r="L5" s="157"/>
      <c r="M5" s="157"/>
      <c r="N5" s="228"/>
      <c r="O5" s="157"/>
      <c r="P5" s="227"/>
      <c r="Q5" s="227"/>
      <c r="R5" s="227"/>
      <c r="S5" s="227"/>
      <c r="AC5" s="118">
        <v>3</v>
      </c>
    </row>
    <row r="6" s="1821" customFormat="1" ht="20.25" hidden="1" customHeight="1">
      <c r="A6" s="839"/>
      <c r="B6" s="835"/>
      <c r="C6" s="171"/>
      <c r="D6" s="166"/>
      <c r="E6" s="781"/>
      <c r="F6" s="781"/>
      <c r="G6" s="169"/>
      <c r="H6" s="172"/>
      <c r="I6" s="172"/>
      <c r="J6" s="157"/>
      <c r="K6" s="157"/>
      <c r="L6" s="157"/>
      <c r="M6" s="157"/>
      <c r="N6" s="228"/>
      <c r="O6" s="157"/>
      <c r="P6" s="227"/>
      <c r="Q6" s="227"/>
      <c r="R6" s="227"/>
      <c r="S6" s="227"/>
      <c r="AC6" s="118">
        <v>0</v>
      </c>
    </row>
    <row r="7" ht="25.5" hidden="1" customHeight="1">
      <c r="AC7" s="85">
        <v>0</v>
      </c>
    </row>
    <row r="8" s="1821" customFormat="1" ht="14.65" customHeight="1">
      <c r="A8" s="760"/>
      <c r="B8" s="419"/>
      <c r="C8" s="760"/>
      <c r="D8" s="166"/>
      <c r="E8" s="2103" t="s">
        <v>86</v>
      </c>
      <c r="F8" s="2104"/>
      <c r="G8" s="2105"/>
      <c r="H8" s="2106" t="s">
        <v>87</v>
      </c>
      <c r="I8" s="2106"/>
      <c r="J8" s="157"/>
      <c r="K8" s="157"/>
      <c r="L8" s="157"/>
      <c r="M8" s="157"/>
      <c r="N8" s="228"/>
      <c r="O8" s="157"/>
      <c r="P8" s="227"/>
      <c r="Q8" s="227"/>
      <c r="R8" s="227"/>
      <c r="S8" s="227"/>
      <c r="AC8" s="118">
        <v>14</v>
      </c>
    </row>
    <row r="9" s="1821" customFormat="1" ht="21" customHeight="1">
      <c r="A9" s="760"/>
      <c r="B9" s="419"/>
      <c r="C9" s="760"/>
      <c r="D9" s="166"/>
      <c r="E9" s="779" t="s">
        <v>88</v>
      </c>
      <c r="F9" s="779"/>
      <c r="G9" s="174" t="s">
        <v>89</v>
      </c>
      <c r="H9" s="174" t="s">
        <v>89</v>
      </c>
      <c r="I9" s="174" t="s">
        <v>85</v>
      </c>
      <c r="J9" s="157"/>
      <c r="K9" s="157"/>
      <c r="L9" s="157"/>
      <c r="M9" s="157"/>
      <c r="N9" s="228"/>
      <c r="O9" s="157"/>
      <c r="P9" s="227"/>
      <c r="Q9" s="227"/>
      <c r="R9" s="227"/>
      <c r="S9" s="227"/>
      <c r="AC9" s="118">
        <v>20</v>
      </c>
    </row>
    <row r="10" ht="11.5" customHeight="1">
      <c r="D10" s="178"/>
      <c r="E10" s="780" t="s">
        <v>90</v>
      </c>
      <c r="F10" s="780"/>
      <c r="G10" s="225" t="s">
        <v>91</v>
      </c>
      <c r="H10" s="225" t="s">
        <v>92</v>
      </c>
      <c r="I10" s="225" t="s">
        <v>93</v>
      </c>
      <c r="J10" s="188"/>
      <c r="K10" s="188"/>
      <c r="L10" s="188"/>
      <c r="M10" s="188"/>
      <c r="N10" s="173"/>
      <c r="O10" s="188"/>
      <c r="P10" s="226"/>
      <c r="Q10" s="226"/>
      <c r="R10" s="226"/>
      <c r="S10" s="226"/>
      <c r="AC10" s="85">
        <v>11</v>
      </c>
    </row>
    <row r="11" s="1821" customFormat="1" ht="1.05" customHeight="1">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r="12" s="1821" customFormat="1" ht="15" customHeight="1">
      <c r="A12" s="2101">
        <v>1</v>
      </c>
      <c r="B12" s="419"/>
      <c r="C12" s="760"/>
      <c r="D12" s="784"/>
      <c r="E12" s="221">
        <f>A12</f>
        <v>1</v>
      </c>
      <c r="F12" s="804" t="s">
        <v>98</v>
      </c>
      <c r="G12" s="542" t="str">
        <f>"Территория "&amp;E12</f>
        <v xml:space="preserve">Территория 1</v>
      </c>
      <c r="H12" s="794"/>
      <c r="I12" s="794"/>
      <c r="J12" s="791"/>
      <c r="K12" s="502"/>
      <c r="L12" s="502"/>
      <c r="M12" s="502"/>
      <c r="N12" s="228"/>
      <c r="O12" s="502"/>
      <c r="P12" s="227"/>
      <c r="Q12" s="227"/>
      <c r="R12" s="227"/>
      <c r="S12" s="227"/>
      <c r="AC12" s="509">
        <v>14</v>
      </c>
    </row>
    <row r="13" s="1852" customFormat="1" ht="15.75" customHeight="1">
      <c r="A13" s="2101"/>
      <c r="B13" s="419">
        <v>1</v>
      </c>
      <c r="C13" s="419"/>
      <c r="D13" s="802"/>
      <c r="E13" s="782" t="str">
        <f>A12&amp;"."&amp;B13</f>
        <v>1.1</v>
      </c>
      <c r="F13" s="797" t="s">
        <v>99</v>
      </c>
      <c r="G13" s="795" t="s">
        <v>100</v>
      </c>
      <c r="H13" s="795" t="s">
        <v>101</v>
      </c>
      <c r="I13" s="793" t="s">
        <v>102</v>
      </c>
      <c r="J13" s="502">
        <f>MERGEVALUE(G13)</f>
      </c>
      <c r="K13" s="513"/>
      <c r="L13" s="513"/>
      <c r="M13" s="502" t="str">
        <f t="array" ref="M13:M13">IF(ISERROR(MATCH(MID(N13,1,250),MID(note_ter,1,250),0)),"n","y")</f>
        <v>n</v>
      </c>
      <c r="N13" s="513"/>
      <c r="O13" s="502" t="str">
        <f>H13&amp;"("&amp;I13&amp;")"</f>
        <v>Новомичуринское(61625114)</v>
      </c>
      <c r="P13" s="419"/>
      <c r="Q13" s="419"/>
      <c r="R13" s="422"/>
      <c r="S13" s="419"/>
      <c r="T13" s="419"/>
      <c r="U13" s="419"/>
      <c r="V13" s="424"/>
      <c r="W13" s="424"/>
      <c r="X13" s="421"/>
      <c r="Y13" s="421"/>
      <c r="Z13" s="421"/>
      <c r="AA13" s="421"/>
      <c r="AB13" s="421"/>
      <c r="AC13" s="425">
        <v>15</v>
      </c>
    </row>
    <row r="14" s="1852" customFormat="1" ht="15.75" customHeight="1">
      <c r="A14" s="2101"/>
      <c r="B14" s="419"/>
      <c r="C14" s="414"/>
      <c r="D14" s="803"/>
      <c r="E14" s="423"/>
      <c r="F14" s="179"/>
      <c r="G14" s="417" t="s">
        <v>103</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r="15" s="1821" customFormat="1" ht="14.65" customHeight="1">
      <c r="A15" s="760"/>
      <c r="B15" s="419"/>
      <c r="C15" s="760"/>
      <c r="D15" s="784"/>
      <c r="E15" s="796"/>
      <c r="F15" s="180"/>
      <c r="G15" s="418" t="s">
        <v>104</v>
      </c>
      <c r="H15" s="180"/>
      <c r="I15" s="181"/>
      <c r="J15" s="251"/>
      <c r="K15" s="157"/>
      <c r="L15" s="157"/>
      <c r="M15" s="157"/>
      <c r="N15" s="228" t="s">
        <v>105</v>
      </c>
      <c r="O15" s="157"/>
      <c r="P15" s="227"/>
      <c r="Q15" s="227"/>
      <c r="R15" s="227"/>
      <c r="S15" s="227"/>
      <c r="AC15" s="118">
        <v>14</v>
      </c>
    </row>
    <row r="16" s="1821" customFormat="1" ht="22" customHeight="1">
      <c r="A16" s="760"/>
      <c r="B16" s="419"/>
      <c r="C16" s="760"/>
      <c r="D16" s="167"/>
      <c r="E16" s="182"/>
      <c r="F16" s="182"/>
      <c r="G16" s="182"/>
      <c r="H16" s="182"/>
      <c r="I16" s="182"/>
      <c r="J16" s="157"/>
      <c r="K16" s="157"/>
      <c r="L16" s="157"/>
      <c r="M16" s="157"/>
      <c r="N16" s="228"/>
      <c r="O16" s="157"/>
      <c r="P16" s="227"/>
      <c r="Q16" s="227"/>
      <c r="R16" s="227"/>
      <c r="S16" s="227"/>
      <c r="AC16" s="118">
        <v>21</v>
      </c>
    </row>
    <row r="17" s="1821" customFormat="1" ht="14.65" customHeight="1">
      <c r="A17" s="760"/>
      <c r="B17" s="419"/>
      <c r="C17" s="760"/>
      <c r="D17" s="167"/>
      <c r="E17" s="85"/>
      <c r="F17" s="760"/>
      <c r="G17" s="85"/>
      <c r="H17" s="85"/>
      <c r="I17" s="85"/>
      <c r="J17" s="157"/>
      <c r="K17" s="157"/>
      <c r="L17" s="157"/>
      <c r="M17" s="157"/>
      <c r="N17" s="228"/>
      <c r="O17" s="157"/>
      <c r="P17" s="227"/>
      <c r="Q17" s="227"/>
      <c r="R17" s="227"/>
      <c r="S17" s="227"/>
      <c r="AC17" s="118">
        <v>14</v>
      </c>
    </row>
    <row r="18" s="1821" customFormat="1" ht="1.05" customHeight="1">
      <c r="A18" s="760"/>
      <c r="B18" s="419"/>
      <c r="C18" s="760"/>
      <c r="D18" s="167"/>
      <c r="E18" s="85"/>
      <c r="F18" s="760"/>
      <c r="G18" s="85"/>
      <c r="H18" s="85"/>
      <c r="I18" s="85"/>
      <c r="J18" s="157"/>
      <c r="K18" s="157"/>
      <c r="L18" s="157"/>
      <c r="M18" s="157"/>
      <c r="N18" s="228"/>
      <c r="O18" s="157"/>
      <c r="P18" s="227"/>
      <c r="Q18" s="227"/>
      <c r="R18" s="227"/>
      <c r="S18" s="227"/>
      <c r="AC18" s="118">
        <v>1</v>
      </c>
    </row>
    <row r="19" s="1066" customFormat="1" ht="10.5" customHeight="1">
      <c r="B19" s="836"/>
      <c r="D19" s="184"/>
      <c r="J19" s="157"/>
      <c r="K19" s="157"/>
      <c r="L19" s="157"/>
      <c r="M19" s="157"/>
      <c r="N19" s="228"/>
      <c r="O19" s="157"/>
      <c r="P19" s="227"/>
      <c r="Q19" s="227"/>
      <c r="R19" s="227"/>
      <c r="S19" s="227"/>
      <c r="AC19" s="183">
        <v>10</v>
      </c>
    </row>
    <row r="20" s="1066" customFormat="1" ht="10.5" customHeight="1">
      <c r="B20" s="836"/>
      <c r="D20" s="184"/>
      <c r="J20" s="157"/>
      <c r="K20" s="157"/>
      <c r="L20" s="157"/>
      <c r="M20" s="157"/>
      <c r="N20" s="228"/>
      <c r="O20" s="157"/>
      <c r="P20" s="227"/>
      <c r="Q20" s="227"/>
      <c r="R20" s="227"/>
      <c r="S20" s="227"/>
      <c r="AC20" s="183">
        <v>10</v>
      </c>
    </row>
    <row r="21" ht="14.65" customHeight="1">
      <c r="AC21" s="85">
        <v>14</v>
      </c>
    </row>
    <row r="22" ht="14.65" customHeight="1">
      <c r="AC22" s="85">
        <v>14</v>
      </c>
    </row>
    <row r="23" ht="14.65" customHeight="1">
      <c r="AC23" s="85">
        <v>14</v>
      </c>
    </row>
    <row r="24" ht="14.65" customHeight="1">
      <c r="H24" s="66"/>
      <c r="AC24" s="85">
        <v>14</v>
      </c>
    </row>
    <row r="25" ht="14.65" customHeight="1">
      <c r="AC25" s="85">
        <v>14</v>
      </c>
    </row>
    <row r="26" ht="14.65" customHeight="1">
      <c r="AC26" s="85">
        <v>14</v>
      </c>
    </row>
    <row r="27" ht="14.65" customHeight="1">
      <c r="AC27" s="85">
        <v>14</v>
      </c>
    </row>
    <row r="28" ht="14.65" customHeight="1">
      <c r="J28" s="85"/>
      <c r="K28" s="85"/>
      <c r="L28" s="85"/>
      <c r="AC28" s="85">
        <v>14</v>
      </c>
    </row>
    <row r="29" ht="22.5" hidden="1" customHeight="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autoFilter="0" deleteColumns="0" deleteRows="0" formatColumns="0" formatRows="0" insertColumns="1" insertRows="0" sort="0"/>
  <mergeCells count="4">
    <mergeCell ref="A12:A14"/>
    <mergeCell ref="E4:I4"/>
    <mergeCell ref="E8:G8"/>
    <mergeCell ref="H8:I8"/>
  </mergeCells>
  <pageMargins left="0" right="0" top="0" bottom="0" header="0" footer="0.79000000000000004"/>
  <pageSetup paperSize="9" scale="93" fitToHeight="0" pageOrder="downThenOver" orientation="portrait" blackAndWhite="1"/>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1">
        <x14:dataValidation xr:uid="{002C00AB-0024-4CE6-B809-005D00FA0062}" type="textLength" allowBlank="1" error="Допускается ввод не более 900 символов!" errorTitle="Ошибка" operator="lessThanOrEqual"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8" style="1637" width="19.7109375"/>
    <col customWidth="1" hidden="1" min="29" max="29" style="1637" width="11.7109375"/>
    <col customWidth="1" hidden="1" min="30" max="30" style="1637" width="3.7109375"/>
    <col customWidth="1" hidden="1" min="31" max="31" style="1637" width="11.7109375"/>
    <col customWidth="1" hidden="1" min="32" max="32" style="1637" width="8.57421875"/>
    <col customWidth="1" min="33" max="33" style="1637" width="19.7109375"/>
    <col customWidth="1" min="34" max="39" style="1637" width="19.00390625"/>
    <col customWidth="1" min="40" max="40" style="1637" width="11.00390625"/>
    <col customWidth="1" min="41" max="41" style="1637" width="3.7109375"/>
    <col customWidth="1" min="42" max="42" style="1637" width="11.00390625"/>
    <col customWidth="1" hidden="1" min="43" max="43" style="1637" width="8.57421875"/>
    <col customWidth="1" min="44" max="44" style="1637" width="4.00390625"/>
    <col customWidth="1" min="45" max="45" style="1637" width="115.00390625"/>
    <col customWidth="1" min="46" max="50" style="1644" width="10.00390625"/>
    <col hidden="1" min="51" max="51" style="1637" width="10.57421875"/>
  </cols>
  <sheetData>
    <row r="1" ht="22.5" hidden="1" customHeight="1">
      <c r="AC1" s="329"/>
      <c r="AN1" s="329"/>
      <c r="AY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 xml:space="preserve">Наименование тарифа</v>
      </c>
      <c r="AW2" s="502"/>
      <c r="AX2" s="502"/>
      <c r="AY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 xml:space="preserve">Территория действия тарифа</v>
      </c>
      <c r="AW3" s="502"/>
      <c r="AX3" s="502"/>
      <c r="AY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 xml:space="preserve">Наименование централизованной системы горячего водоснабжения</v>
      </c>
      <c r="AW4" s="502"/>
      <c r="AX4" s="502"/>
      <c r="AY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 xml:space="preserve">Наименование признака дифференциации</v>
      </c>
      <c r="AW5" s="502"/>
      <c r="AX5" s="502"/>
      <c r="AY5" s="1157">
        <v>0</v>
      </c>
    </row>
    <row r="6" ht="23.25" hidden="1" customHeight="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 xml:space="preserve">Группа потребителей</v>
      </c>
      <c r="AW6" s="502"/>
      <c r="AX6" s="502"/>
      <c r="AY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 xml:space="preserve">Добавить значение признака дифференциации</v>
      </c>
      <c r="AW9" s="502"/>
      <c r="AX9" s="502"/>
      <c r="AY9" s="1157">
        <v>0</v>
      </c>
    </row>
    <row r="10" ht="21" hidden="1" customHeight="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 xml:space="preserve">Добавить группу потребителей</v>
      </c>
      <c r="AW10" s="502"/>
      <c r="AX10" s="502"/>
      <c r="AY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 xml:space="preserve">Добавить наименование признака дифференциации</v>
      </c>
      <c r="AW11" s="502"/>
      <c r="AX11" s="502"/>
      <c r="AY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 xml:space="preserve">Добавить централизованную систему для дифференциации</v>
      </c>
      <c r="AW12" s="791"/>
      <c r="AX12" s="791"/>
      <c r="AY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 xml:space="preserve">Добавить территорию для дифференциации</v>
      </c>
      <c r="AW13" s="502"/>
      <c r="AX13" s="502"/>
      <c r="AY13" s="513">
        <v>0</v>
      </c>
    </row>
    <row r="14" ht="14.25" hidden="1" customHeight="1">
      <c r="AF14" s="329"/>
      <c r="AQ14" s="329"/>
      <c r="AY14" s="1157">
        <v>0</v>
      </c>
    </row>
    <row r="15" ht="14.25" hidden="1" customHeight="1">
      <c r="AG15" s="1362"/>
      <c r="AH15" s="1362"/>
      <c r="AI15" s="1362"/>
      <c r="AJ15" s="1362"/>
      <c r="AK15" s="1362"/>
      <c r="AL15" s="1362"/>
      <c r="AM15" s="1362"/>
      <c r="AN15" s="2269"/>
      <c r="AO15" s="2270" t="s">
        <v>66</v>
      </c>
      <c r="AP15" s="2269"/>
      <c r="AQ15" s="2270" t="s">
        <v>66</v>
      </c>
      <c r="AY15" s="1157">
        <v>0</v>
      </c>
    </row>
    <row r="16" ht="14.25" hidden="1" customHeight="1">
      <c r="AG16" s="1362"/>
      <c r="AH16" s="1362"/>
      <c r="AI16" s="1362"/>
      <c r="AJ16" s="1362"/>
      <c r="AK16" s="1362"/>
      <c r="AL16" s="1362"/>
      <c r="AM16" s="1362"/>
      <c r="AN16" s="2270"/>
      <c r="AO16" s="2270"/>
      <c r="AP16" s="2270"/>
      <c r="AQ16" s="2270"/>
      <c r="AY16" s="1157">
        <v>0</v>
      </c>
    </row>
    <row r="17" ht="14.25" hidden="1" customHeight="1">
      <c r="AQ17" s="329"/>
      <c r="AY17" s="1157">
        <v>0</v>
      </c>
    </row>
    <row r="18" s="1368" customFormat="1" ht="22.5" hidden="1" customHeight="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r="19" s="1368" customFormat="1" ht="14.25" hidden="1" customHeight="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r="20" s="1368" customFormat="1" ht="12" hidden="1" customHeight="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r="21" ht="14.25" hidden="1" customHeight="1">
      <c r="O21" s="1366"/>
      <c r="AY21" s="1157">
        <v>0</v>
      </c>
    </row>
    <row r="22" ht="14.25" hidden="1" customHeight="1">
      <c r="O22" s="1366"/>
      <c r="AY22" s="1157">
        <v>0</v>
      </c>
    </row>
    <row r="23" ht="14.65" customHeight="1">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r="24" ht="26.25" customHeight="1">
      <c r="Q24" s="378"/>
      <c r="R24" s="378"/>
      <c r="S24" s="2250"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r="37" ht="14.65" customHeight="1">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r="38" ht="19.949999999999999" customHeight="1">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r="39" s="1637" customFormat="1" ht="19.949999999999999" customHeight="1">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r="40" ht="61.950000000000003" customHeight="1">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r="41" s="1643" customFormat="1" ht="11.25" hidden="1" customHeight="1">
      <c r="A41" s="1372"/>
      <c r="B41" s="1372"/>
      <c r="C41" s="1372"/>
      <c r="D41" s="1372"/>
      <c r="E41" s="1372"/>
      <c r="F41" s="1372"/>
      <c r="G41" s="1372"/>
      <c r="H41" s="1372"/>
      <c r="I41" s="1372"/>
      <c r="J41" s="1372"/>
      <c r="K41" s="1372"/>
      <c r="L41" s="1366"/>
      <c r="M41" s="1364"/>
      <c r="N41" s="1364"/>
      <c r="O41" s="1364"/>
      <c r="P41" s="1248"/>
      <c r="Q41" s="1249"/>
      <c r="R41" s="1256">
        <v>1</v>
      </c>
      <c r="S41" s="1279" t="s">
        <v>110</v>
      </c>
      <c r="T41" s="1257" t="s">
        <v>111</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r="42" ht="24" customHeight="1">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 xml:space="preserve">Наименование тарифа</v>
      </c>
      <c r="AW42" s="502"/>
      <c r="AX42" s="502"/>
      <c r="AY42" s="1157">
        <v>23</v>
      </c>
    </row>
    <row r="43" ht="24" customHeight="1">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 xml:space="preserve">Территория действия тарифа</v>
      </c>
      <c r="AW43" s="502"/>
      <c r="AX43" s="502"/>
      <c r="AY43" s="1157">
        <v>23</v>
      </c>
    </row>
    <row r="44" ht="24" customHeight="1">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 xml:space="preserve">Наименование централизованной системы горячего водоснабжения</v>
      </c>
      <c r="AW44" s="502"/>
      <c r="AX44" s="502"/>
      <c r="AY44" s="1157">
        <v>23</v>
      </c>
    </row>
    <row r="45" ht="24" customHeight="1">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 xml:space="preserve">Наименование признака дифференциации</v>
      </c>
      <c r="AW45" s="502"/>
      <c r="AX45" s="502"/>
      <c r="AY45" s="1157">
        <v>23</v>
      </c>
    </row>
    <row r="46" ht="24" customHeight="1">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 xml:space="preserve">Группа потребителей</v>
      </c>
      <c r="AW46" s="502"/>
      <c r="AX46" s="502"/>
      <c r="AY46" s="1157">
        <v>23</v>
      </c>
    </row>
    <row r="47" ht="24" customHeight="1">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r="48" ht="0" customHeight="1">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r="49" ht="21" customHeight="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 xml:space="preserve">Добавить значение признака дифференциации</v>
      </c>
      <c r="AW49" s="502"/>
      <c r="AX49" s="502"/>
      <c r="AY49" s="1157">
        <v>20</v>
      </c>
    </row>
    <row r="50" ht="22" customHeight="1">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 xml:space="preserve">Добавить группу потребителей</v>
      </c>
      <c r="AW50" s="502"/>
      <c r="AX50" s="502"/>
      <c r="AY50" s="1157">
        <v>21</v>
      </c>
    </row>
    <row r="51" ht="22" customHeight="1">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 xml:space="preserve">Добавить наименование признака дифференциации</v>
      </c>
      <c r="AW51" s="502"/>
      <c r="AX51" s="502"/>
      <c r="AY51" s="1157">
        <v>21</v>
      </c>
    </row>
    <row r="52" s="1644" customFormat="1" ht="0" customHeight="1">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 xml:space="preserve">Добавить централизованную систему для дифференциации</v>
      </c>
      <c r="AW52" s="791"/>
      <c r="AX52" s="791"/>
      <c r="AY52" s="520">
        <v>0</v>
      </c>
    </row>
    <row r="53" s="1644" customFormat="1" ht="0" customHeight="1">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 xml:space="preserve">Добавить территорию для дифференциации</v>
      </c>
      <c r="AW53" s="502"/>
      <c r="AX53" s="502"/>
      <c r="AY53" s="513">
        <v>0</v>
      </c>
    </row>
    <row r="54" s="1644" customFormat="1" ht="0" customHeight="1">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 xml:space="preserve">Добавить наименование тарифа</v>
      </c>
      <c r="AW54" s="791"/>
      <c r="AX54" s="791"/>
      <c r="AY54" s="520">
        <v>0</v>
      </c>
    </row>
    <row r="55" ht="11.5" customHeight="1">
      <c r="M55" s="1162"/>
      <c r="N55" s="1162"/>
      <c r="O55" s="539"/>
      <c r="P55" s="1157"/>
      <c r="Q55" s="1157"/>
      <c r="R55" s="1157"/>
      <c r="S55" s="1157"/>
      <c r="AT55" s="1157"/>
      <c r="AU55" s="1157"/>
      <c r="AV55" s="1157"/>
      <c r="AW55" s="1157"/>
      <c r="AX55" s="1157"/>
      <c r="AY55" s="1157">
        <v>11</v>
      </c>
    </row>
    <row r="56" ht="14.65" customHeight="1">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r="57" ht="14.65" customHeight="1">
      <c r="O57" s="539"/>
      <c r="AY57" s="1157">
        <v>14</v>
      </c>
    </row>
    <row r="58" ht="14.65" customHeight="1">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r="59" ht="22.5" hidden="1" customHeight="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autoFilter="0" deleteColumns="0" deleteRows="0" formatColumns="0" formatRows="0" insertColumns="1" insertRows="0" sort="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3">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allowBlank="1" prompt="Для выбора выполните двойной щелчок левой клавиши мыши по соответствующей ячейке."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DA00FE-0078-4FD1-ABB7-00CA00380099}" type="list" allowBlank="1" error="Выберите значение из списка" errorTitle="Ошибка" showErrorMessage="1" showInputMessage="1">
          <x14:formula1>
            <xm:f>kind_of_heat_transfer</xm:f>
          </x14:formula1>
          <xm:sqref>T65579 T131115 T196651 T262187 T327723 T393259 T458795 T524331 T589867 T655403 T720939 T786475 T852011 T917547 T983083</xm:sqref>
        </x14:dataValidation>
        <x14:dataValidation xr:uid="{00D30026-0039-45C8-B0B9-007F008B002D}" type="textLength" allowBlank="1" error="Допускается ввод не более 900 символов!" errorTitle="Ошибка" operator="lessThanOrEqual"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D8003E-0091-4B34-BCB5-008C00A2008F}" type="list" allowBlank="1" error="Выберите значение из списка" errorTitle="Ошибка"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2D00D6-00A0-4794-9B0C-00ED00A50016}" type="list" allowBlank="1" error="Выберите значение из списка" errorTitle="Ошибка" prompt="Выберите значение из списка"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8" style="1637" width="19.7109375"/>
    <col customWidth="1" hidden="1" min="29" max="29" style="1637" width="11.7109375"/>
    <col customWidth="1" hidden="1" min="30" max="30" style="1637" width="3.7109375"/>
    <col customWidth="1" hidden="1" min="31" max="31" style="1637" width="11.7109375"/>
    <col customWidth="1" hidden="1" min="32" max="32" style="1637" width="8.57421875"/>
    <col customWidth="1" min="33" max="33" style="1637" width="19.7109375"/>
    <col customWidth="1" min="34" max="39" style="1637" width="19.00390625"/>
    <col customWidth="1" min="40" max="40" style="1637" width="11.00390625"/>
    <col customWidth="1" min="41" max="41" style="1637" width="3.7109375"/>
    <col customWidth="1" min="42" max="42" style="1637" width="11.00390625"/>
    <col customWidth="1" hidden="1" min="43" max="43" style="1637" width="8.57421875"/>
    <col customWidth="1" min="44" max="44" style="1637" width="4.00390625"/>
    <col customWidth="1" min="45" max="45" style="1637" width="115.00390625"/>
    <col customWidth="1" min="46" max="50" style="1644" width="10.00390625"/>
    <col hidden="1" min="51" max="51" style="1637" width="10.57421875"/>
  </cols>
  <sheetData>
    <row r="1" ht="22.5" hidden="1" customHeight="1">
      <c r="AB1" s="329"/>
      <c r="AC1" s="329"/>
      <c r="AM1" s="329"/>
      <c r="AN1" s="329"/>
      <c r="AY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 xml:space="preserve">Наименование тарифа</v>
      </c>
      <c r="AW2" s="502"/>
      <c r="AX2" s="502"/>
      <c r="AY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 xml:space="preserve">Территория действия тарифа</v>
      </c>
      <c r="AW3" s="502"/>
      <c r="AX3" s="502"/>
      <c r="AY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 xml:space="preserve">Наименование централизованной системы горячего водоснабжения</v>
      </c>
      <c r="AW4" s="502"/>
      <c r="AX4" s="502"/>
      <c r="AY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 xml:space="preserve">Наименование признака дифференциации</v>
      </c>
      <c r="AW5" s="502"/>
      <c r="AX5" s="502"/>
      <c r="AY5" s="1157">
        <v>0</v>
      </c>
    </row>
    <row r="6" ht="23.25" hidden="1" customHeight="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 xml:space="preserve">Группа потребителей</v>
      </c>
      <c r="AW6" s="502"/>
      <c r="AX6" s="502"/>
      <c r="AY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r="9" ht="21" hidden="1" customHeight="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 xml:space="preserve">Добавить значение признака дифференциации</v>
      </c>
      <c r="AW9" s="502"/>
      <c r="AX9" s="502"/>
      <c r="AY9" s="1157">
        <v>0</v>
      </c>
    </row>
    <row r="10" ht="21" hidden="1" customHeight="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 xml:space="preserve">Добавить группу потребителей</v>
      </c>
      <c r="AW10" s="502"/>
      <c r="AX10" s="502"/>
      <c r="AY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 xml:space="preserve">Добавить наименование признака дифференциации</v>
      </c>
      <c r="AW11" s="502"/>
      <c r="AX11" s="502"/>
      <c r="AY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 xml:space="preserve">Добавить централизованную систему для дифференциации</v>
      </c>
      <c r="AW12" s="791"/>
      <c r="AX12" s="791"/>
      <c r="AY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 xml:space="preserve">Добавить территорию для дифференциации</v>
      </c>
      <c r="AW13" s="502"/>
      <c r="AX13" s="502"/>
      <c r="AY13" s="513">
        <v>0</v>
      </c>
    </row>
    <row r="14" ht="14.25" hidden="1" customHeight="1">
      <c r="AF14" s="329"/>
      <c r="AQ14" s="329"/>
      <c r="AY14" s="1157">
        <v>0</v>
      </c>
    </row>
    <row r="15" ht="14.25" hidden="1" customHeight="1">
      <c r="AG15" s="1362"/>
      <c r="AH15" s="1362"/>
      <c r="AI15" s="1362"/>
      <c r="AJ15" s="1362"/>
      <c r="AK15" s="1362"/>
      <c r="AL15" s="1362"/>
      <c r="AM15" s="1363"/>
      <c r="AN15" s="2269"/>
      <c r="AO15" s="2270" t="s">
        <v>66</v>
      </c>
      <c r="AP15" s="2269"/>
      <c r="AQ15" s="2270" t="s">
        <v>66</v>
      </c>
      <c r="AY15" s="1157">
        <v>0</v>
      </c>
    </row>
    <row r="16" ht="14.25" hidden="1" customHeight="1">
      <c r="AG16" s="1362"/>
      <c r="AH16" s="1362"/>
      <c r="AI16" s="1362"/>
      <c r="AJ16" s="1362"/>
      <c r="AK16" s="1362"/>
      <c r="AL16" s="1362"/>
      <c r="AM16" s="330" t="str">
        <f>AN15&amp;"-"&amp;AP15</f>
        <v>-</v>
      </c>
      <c r="AN16" s="2270"/>
      <c r="AO16" s="2270"/>
      <c r="AP16" s="2270"/>
      <c r="AQ16" s="2270"/>
      <c r="AY16" s="1157">
        <v>0</v>
      </c>
    </row>
    <row r="17" ht="14.25" hidden="1" customHeight="1">
      <c r="AQ17" s="329"/>
      <c r="AY17" s="1157">
        <v>0</v>
      </c>
    </row>
    <row r="18" s="1368" customFormat="1" ht="22.5" hidden="1" customHeight="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r="19" s="1368" customFormat="1" ht="14.25" hidden="1" customHeight="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r="20" s="1368" customFormat="1" ht="12" hidden="1" customHeight="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r="21" ht="14.25" hidden="1" customHeight="1">
      <c r="O21" s="1366"/>
      <c r="AY21" s="1157">
        <v>0</v>
      </c>
    </row>
    <row r="22" ht="14.25" hidden="1" customHeight="1">
      <c r="O22" s="1366"/>
      <c r="AY22" s="1157">
        <v>0</v>
      </c>
    </row>
    <row r="23" ht="14.65" customHeight="1">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r="24" ht="26.25" customHeight="1">
      <c r="Q24" s="378"/>
      <c r="R24" s="378"/>
      <c r="S24" s="2250"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r="36" ht="14.65" customHeight="1">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r="37" ht="14.65" customHeight="1">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r="38" s="1637" customFormat="1" ht="19.949999999999999" customHeight="1">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r="39" ht="19.949999999999999" customHeight="1">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r="40" ht="61.950000000000003" customHeight="1">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r="41" s="1643" customFormat="1" ht="11.25" hidden="1" customHeight="1">
      <c r="A41" s="1372"/>
      <c r="B41" s="1372"/>
      <c r="C41" s="1372"/>
      <c r="D41" s="1372"/>
      <c r="E41" s="1372"/>
      <c r="F41" s="1372"/>
      <c r="G41" s="1372"/>
      <c r="H41" s="1372"/>
      <c r="I41" s="1372"/>
      <c r="J41" s="1372"/>
      <c r="K41" s="1372"/>
      <c r="L41" s="1366"/>
      <c r="M41" s="1364"/>
      <c r="N41" s="1364"/>
      <c r="O41" s="1364"/>
      <c r="P41" s="1248"/>
      <c r="Q41" s="1249"/>
      <c r="R41" s="1256">
        <v>1</v>
      </c>
      <c r="S41" s="1279" t="s">
        <v>110</v>
      </c>
      <c r="T41" s="1257" t="s">
        <v>111</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r="42" ht="24" customHeight="1">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 xml:space="preserve">Наименование тарифа</v>
      </c>
      <c r="AW42" s="502"/>
      <c r="AX42" s="502"/>
      <c r="AY42" s="1157">
        <v>23</v>
      </c>
    </row>
    <row r="43" ht="24" customHeight="1">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 xml:space="preserve">Территория действия тарифа</v>
      </c>
      <c r="AW43" s="502"/>
      <c r="AX43" s="502"/>
      <c r="AY43" s="1157">
        <v>23</v>
      </c>
    </row>
    <row r="44" ht="24" customHeight="1">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 xml:space="preserve">Наименование централизованной системы горячего водоснабжения</v>
      </c>
      <c r="AW44" s="502"/>
      <c r="AX44" s="502"/>
      <c r="AY44" s="1157">
        <v>23</v>
      </c>
    </row>
    <row r="45" ht="24" customHeight="1">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 xml:space="preserve">Наименование признака дифференциации</v>
      </c>
      <c r="AW45" s="502"/>
      <c r="AX45" s="502"/>
      <c r="AY45" s="1157">
        <v>23</v>
      </c>
    </row>
    <row r="46" ht="24" customHeight="1">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 xml:space="preserve">Группа потребителей</v>
      </c>
      <c r="AW46" s="502"/>
      <c r="AX46" s="502"/>
      <c r="AY46" s="1157">
        <v>23</v>
      </c>
    </row>
    <row r="47" ht="24" customHeight="1">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r="48" ht="0" customHeight="1">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r="49" ht="21" customHeight="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 xml:space="preserve">Добавить значение признака дифференциации</v>
      </c>
      <c r="AW49" s="502"/>
      <c r="AX49" s="502"/>
      <c r="AY49" s="1157">
        <v>20</v>
      </c>
    </row>
    <row r="50" ht="22" customHeight="1">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 xml:space="preserve">Добавить группу потребителей</v>
      </c>
      <c r="AW50" s="502"/>
      <c r="AX50" s="502"/>
      <c r="AY50" s="1157">
        <v>21</v>
      </c>
    </row>
    <row r="51" ht="22" customHeight="1">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 xml:space="preserve">Добавить наименование признака дифференциации</v>
      </c>
      <c r="AW51" s="502"/>
      <c r="AX51" s="502"/>
      <c r="AY51" s="1157">
        <v>21</v>
      </c>
    </row>
    <row r="52" s="1644" customFormat="1" ht="0" customHeight="1">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 xml:space="preserve">Добавить централизованную систему для дифференциации</v>
      </c>
      <c r="AW52" s="791"/>
      <c r="AX52" s="791"/>
      <c r="AY52" s="520">
        <v>0</v>
      </c>
    </row>
    <row r="53" s="1644" customFormat="1" ht="0" customHeight="1">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 xml:space="preserve">Добавить территорию для дифференциации</v>
      </c>
      <c r="AW53" s="502"/>
      <c r="AX53" s="502"/>
      <c r="AY53" s="513">
        <v>0</v>
      </c>
    </row>
    <row r="54" s="1644" customFormat="1" ht="0" customHeight="1">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 xml:space="preserve">Добавить наименование тарифа</v>
      </c>
      <c r="AW54" s="791"/>
      <c r="AX54" s="791"/>
      <c r="AY54" s="520">
        <v>0</v>
      </c>
    </row>
    <row r="55" ht="11.5" customHeight="1">
      <c r="M55" s="1162"/>
      <c r="N55" s="1162"/>
      <c r="O55" s="539"/>
      <c r="P55" s="1157"/>
      <c r="Q55" s="1157"/>
      <c r="R55" s="1157"/>
      <c r="S55" s="1157"/>
      <c r="AT55" s="1157"/>
      <c r="AU55" s="1157"/>
      <c r="AV55" s="1157"/>
      <c r="AW55" s="1157"/>
      <c r="AX55" s="1157"/>
      <c r="AY55" s="1157">
        <v>11</v>
      </c>
    </row>
    <row r="56" ht="14.65" customHeight="1">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r="57" ht="14.65" customHeight="1">
      <c r="O57" s="539"/>
      <c r="AY57" s="1157">
        <v>14</v>
      </c>
    </row>
    <row r="58" ht="14.65" customHeight="1">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r="59" ht="22.5" hidden="1" customHeight="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autoFilter="0" deleteColumns="0" deleteRows="0" formatColumns="0" formatRows="0" insertColumns="1" insertRows="0" sort="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4">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allowBlank="1" promptTitle="checkPeriodRange"/>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allowBlank="1" prompt="Для выбора выполните двойной щелчок левой клавиши мыши по соответствующей ячейке."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450084-00C0-4018-AF18-00C100A000D8}" type="list" allowBlank="1" error="Выберите значение из списка" errorTitle="Ошибка"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 xr:uid="{00CC00E7-0038-4C3C-8CE9-00120003004B}" type="textLength" allowBlank="1" error="Допускается ввод не более 900 символов!" errorTitle="Ошибка" operator="lessThanOrEqual"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1A00E6-0056-4804-9AB2-0017007300DA}" type="list" allowBlank="1" error="Выберите значение из списка" errorTitle="Ошибка" showErrorMessage="1" showInputMessage="1">
          <x14:formula1>
            <xm:f>kind_of_heat_transfer</xm:f>
          </x14:formula1>
          <xm:sqref>T65579 T131115 T196651 T262187 T327723 T393259 T458795 T524331 T589867 T655403 T720939 T786475 T852011 T917547 T983083</xm:sqref>
        </x14:dataValidation>
        <x14:dataValidation xr:uid="{004C00BC-0017-4E74-AC7D-004100D300FB}" type="list" allowBlank="1" error="Выберите значение из списка" errorTitle="Ошибка" prompt="Выберите значение из списка"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368" width="11.57421875"/>
    <col customWidth="1" hidden="1" min="2" max="2" style="1368" width="11.00390625"/>
    <col hidden="1" min="3" max="3" style="1368" width="10.57421875"/>
    <col customWidth="1" hidden="1" min="4" max="4" style="1368" width="12.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1778" width="3.7109375"/>
    <col customWidth="1" hidden="1" min="17" max="17" style="1373" width="3.7109375"/>
    <col customWidth="1" min="18" max="18" style="346" width="3.00390625"/>
    <col customWidth="1" min="19" max="19" style="2409" width="12.00390625"/>
    <col customWidth="1" min="20" max="20" style="1637" width="31.00390625"/>
    <col customWidth="1" min="21" max="21" style="1637" width="0.140625"/>
    <col customWidth="1" hidden="1" min="22" max="25" style="1637" width="21.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3.7109375"/>
    <col customWidth="1" min="31" max="32" style="1637" width="3.00390625"/>
    <col customWidth="1" min="33" max="33" style="1637" width="24.00390625"/>
    <col customWidth="1" min="34" max="34" style="1637" width="3.7109375"/>
    <col customWidth="1" min="35" max="36" style="1637" width="3.00390625"/>
    <col customWidth="1" min="37" max="37" style="1637" width="24.00390625"/>
    <col customWidth="1" min="38" max="38" style="1637" width="3.7109375"/>
    <col customWidth="1" min="39" max="40" style="1637" width="3.00390625"/>
    <col customWidth="1" min="41" max="41" style="1637" width="18.00390625"/>
    <col customWidth="1" min="42" max="42" style="1637" width="3.7109375"/>
    <col customWidth="1" min="43" max="44" style="1637" width="3.00390625"/>
    <col customWidth="1" min="45" max="45" style="1637" width="18.00390625"/>
    <col customWidth="1" min="46" max="49" style="1637" width="21.00390625"/>
    <col customWidth="1" min="50" max="50" style="1637" width="11.00390625"/>
    <col customWidth="1" min="51" max="51" style="1637" width="3.7109375"/>
    <col customWidth="1" min="52" max="52" style="1637" width="11.00390625"/>
    <col customWidth="1" hidden="1" min="53" max="53" style="1637" width="8.57421875"/>
    <col customWidth="1" min="54" max="54" style="1637" width="4.00390625"/>
    <col customWidth="1" min="55" max="55" style="1637" width="115.00390625"/>
    <col customWidth="1" min="56" max="60" style="1644" width="10.00390625"/>
    <col hidden="1" min="61" max="61" style="1637" width="10.57421875"/>
  </cols>
  <sheetData>
    <row r="1" ht="22.5" hidden="1" customHeight="1">
      <c r="W1" s="329"/>
      <c r="Y1" s="329"/>
      <c r="Z1" s="329"/>
      <c r="AW1" s="329"/>
      <c r="AX1" s="329"/>
      <c r="BI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 xml:space="preserve">Наименование тарифа</v>
      </c>
      <c r="BG2" s="502"/>
      <c r="BH2" s="502"/>
      <c r="BI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 xml:space="preserve">Территория действия тарифа</v>
      </c>
      <c r="BG3" s="502"/>
      <c r="BH3" s="502"/>
      <c r="BI3" s="1157">
        <v>0</v>
      </c>
    </row>
    <row r="4" ht="33.75" hidden="1" customHeight="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 xml:space="preserve">Наименование централизованной системы горячего водоснабжения</v>
      </c>
      <c r="BG4" s="502"/>
      <c r="BH4" s="502"/>
      <c r="BI4" s="1157">
        <v>0</v>
      </c>
    </row>
    <row r="5" s="1644" customFormat="1" ht="14.25" hidden="1" customHeight="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r="6" s="1644" customFormat="1" ht="14.25" hidden="1" customHeight="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r="7" s="1644" customFormat="1" ht="14.25" hidden="1" customHeight="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r="8" ht="11.25" hidden="1" customHeight="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r="9" ht="11.25" hidden="1" customHeight="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r="10" ht="11.25" hidden="1" customHeight="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r="11" ht="11.25" hidden="1" customHeight="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r="12" ht="11.25" hidden="1" customHeight="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r="13" ht="11.25" hidden="1" customHeight="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 xml:space="preserve">Добавить строку</v>
      </c>
      <c r="BG13" s="502"/>
      <c r="BH13" s="502"/>
      <c r="BI13" s="1157">
        <v>0</v>
      </c>
    </row>
    <row r="14" s="1644" customFormat="1" ht="14.25" hidden="1" customHeight="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r="15" s="1644" customFormat="1" ht="14.25" hidden="1" customHeight="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r="16" s="1644" customFormat="1" ht="14.25" hidden="1" customHeight="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r="17" s="1644" customFormat="1" ht="14.25" hidden="1" customHeight="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 xml:space="preserve">Добавить централизованную систему для дифференциации</v>
      </c>
      <c r="BG17" s="791"/>
      <c r="BH17" s="791"/>
      <c r="BI17" s="520">
        <v>0</v>
      </c>
    </row>
    <row r="18" s="1644" customFormat="1" ht="14.25" hidden="1" customHeight="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 xml:space="preserve">Добавить территорию для дифференциации</v>
      </c>
      <c r="BG18" s="502"/>
      <c r="BH18" s="502"/>
      <c r="BI18" s="513">
        <v>0</v>
      </c>
    </row>
    <row r="19" ht="14.25" hidden="1" customHeight="1">
      <c r="AC19" s="329"/>
      <c r="BA19" s="329"/>
      <c r="BI19" s="1157">
        <v>0</v>
      </c>
    </row>
    <row r="20" ht="14.25" hidden="1" customHeight="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r="21" ht="14.25" hidden="1" customHeight="1">
      <c r="BD21" s="498"/>
      <c r="BE21" s="498"/>
      <c r="BF21" s="498"/>
      <c r="BG21" s="498"/>
      <c r="BH21" s="498"/>
      <c r="BI21" s="1157">
        <v>0</v>
      </c>
    </row>
    <row r="22" ht="14.25" hidden="1" customHeight="1">
      <c r="O22" s="1369" t="s">
        <v>417</v>
      </c>
      <c r="Z22" s="1347"/>
      <c r="AB22" s="1347"/>
      <c r="AC22" s="329"/>
      <c r="AX22" s="1347"/>
      <c r="AZ22" s="1347"/>
      <c r="BA22" s="329"/>
      <c r="BD22" s="498"/>
      <c r="BE22" s="498"/>
      <c r="BF22" s="498"/>
      <c r="BG22" s="498"/>
      <c r="BH22" s="498"/>
      <c r="BI22" s="1157">
        <v>0</v>
      </c>
    </row>
    <row r="23" ht="14.25" hidden="1" customHeight="1">
      <c r="AC23" s="329"/>
      <c r="BA23" s="329"/>
      <c r="BD23" s="498"/>
      <c r="BE23" s="498"/>
      <c r="BF23" s="498"/>
      <c r="BG23" s="498"/>
      <c r="BH23" s="498"/>
      <c r="BI23" s="1157">
        <v>0</v>
      </c>
    </row>
    <row r="24" s="1511" customFormat="1" ht="14.25" hidden="1" customHeight="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r="25" ht="14.25" hidden="1" customHeight="1">
      <c r="O25" s="1366"/>
      <c r="BD25" s="498"/>
      <c r="BE25" s="498"/>
      <c r="BF25" s="498"/>
      <c r="BG25" s="498"/>
      <c r="BH25" s="498"/>
      <c r="BI25" s="1157">
        <v>0</v>
      </c>
    </row>
    <row r="26" ht="14.25" hidden="1" customHeight="1">
      <c r="O26" s="1366"/>
      <c r="BD26" s="498"/>
      <c r="BE26" s="498"/>
      <c r="BF26" s="498"/>
      <c r="BG26" s="498"/>
      <c r="BH26" s="498"/>
      <c r="BI26" s="1157">
        <v>0</v>
      </c>
    </row>
    <row r="27" ht="14.65" customHeight="1">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r="28" ht="14.65" customHeight="1">
      <c r="Q28" s="293"/>
      <c r="R28" s="378"/>
      <c r="S28" s="2250" t="str">
        <f>IF(TEMPLATE_GROUP="P",PT_P_FORM_HOTVSNA_5_NAME_FORM,PT_R_FORM_HOTVSNA_17_NAME_FORM)</f>
        <v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r="29" ht="14.65" customHeight="1">
      <c r="Q29" s="293"/>
      <c r="R29" s="378"/>
      <c r="S29" s="2251" t="str">
        <f>IF(org=0,"Не определено",org)</f>
        <v xml:space="preserve">филиал ПАО "ОГК-2" - Рязанская ГРЭС</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r="30" ht="14.25" hidden="1" customHeight="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r="31" s="1855" customFormat="1" ht="25.5" hidden="1" customHeight="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r="34" s="1855" customFormat="1" ht="18.75" hidden="1" customHeight="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r="35" ht="14.25" hidden="1" customHeight="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r="36" s="1855" customFormat="1" ht="18.75" hidden="1" customHeight="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r="37" s="1855" customFormat="1" ht="18.75" hidden="1" customHeight="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r="38" s="1855" customFormat="1" ht="0" customHeight="1">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r="39" ht="14.65" customHeight="1">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r="40" ht="14.65" customHeight="1">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r="41" ht="14.65" customHeight="1">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r="42" ht="35.649999999999999" customHeight="1">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r="43" ht="14.65" customHeight="1">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r="44" ht="14.65" customHeight="1">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r="45" s="1643" customFormat="1" ht="0" customHeight="1">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r="46" ht="22" customHeight="1">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 xml:space="preserve">Наименование тарифа</v>
      </c>
      <c r="BG46" s="502"/>
      <c r="BH46" s="502"/>
      <c r="BI46" s="1157">
        <v>21</v>
      </c>
    </row>
    <row r="47" ht="22" customHeight="1">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 xml:space="preserve">Территория действия тарифа</v>
      </c>
      <c r="BG47" s="502"/>
      <c r="BH47" s="502"/>
      <c r="BI47" s="1157">
        <v>21</v>
      </c>
    </row>
    <row r="48" ht="35.649999999999999" customHeight="1">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 xml:space="preserve">Наименование централизованной системы горячего водоснабжения</v>
      </c>
      <c r="BG48" s="502"/>
      <c r="BH48" s="502"/>
      <c r="BI48" s="1157">
        <v>34</v>
      </c>
    </row>
    <row r="49" s="1644" customFormat="1" ht="0" customHeight="1">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r="50" s="1644" customFormat="1" ht="0" customHeight="1">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r="51" s="1644" customFormat="1" ht="0" customHeight="1">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r="52" ht="11.5" customHeight="1">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r="53" ht="11.5" customHeight="1">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r="54" ht="11.5" customHeight="1">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r="55" ht="11.5" customHeight="1">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r="56" ht="11.5" customHeight="1">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r="57" ht="11.5" customHeight="1">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 xml:space="preserve">Добавить строку</v>
      </c>
      <c r="BG57" s="502"/>
      <c r="BH57" s="502"/>
      <c r="BI57" s="1157">
        <v>11</v>
      </c>
    </row>
    <row r="58" s="1644" customFormat="1" ht="0" customHeight="1">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r="59" s="1644" customFormat="1" ht="0" customHeight="1">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r="60" s="1644" customFormat="1" ht="0" customHeight="1">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r="61" s="1644" customFormat="1" ht="0" customHeight="1">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 xml:space="preserve">Добавить централизованную систему для дифференциации</v>
      </c>
      <c r="BG61" s="791"/>
      <c r="BH61" s="791"/>
      <c r="BI61" s="520">
        <v>0</v>
      </c>
    </row>
    <row r="62" s="1644" customFormat="1" ht="0" customHeight="1">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 xml:space="preserve">Добавить территорию для дифференциации</v>
      </c>
      <c r="BG62" s="502"/>
      <c r="BH62" s="502"/>
      <c r="BI62" s="513">
        <v>0</v>
      </c>
    </row>
    <row r="63" s="1644" customFormat="1" ht="0" customHeight="1">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 xml:space="preserve">Добавить наименование тарифа</v>
      </c>
      <c r="BG63" s="791"/>
      <c r="BH63" s="791"/>
      <c r="BI63" s="520">
        <v>0</v>
      </c>
    </row>
    <row r="64" ht="11.5" customHeight="1">
      <c r="M64" s="1162"/>
      <c r="N64" s="1162"/>
      <c r="O64" s="539"/>
      <c r="P64" s="1162"/>
      <c r="Q64" s="1162"/>
      <c r="R64" s="1157"/>
      <c r="S64" s="1157"/>
      <c r="BD64" s="1157"/>
      <c r="BE64" s="1157"/>
      <c r="BF64" s="1157"/>
      <c r="BG64" s="1157"/>
      <c r="BH64" s="1157"/>
      <c r="BI64" s="1157">
        <v>11</v>
      </c>
    </row>
    <row r="65" ht="19.949999999999999" customHeight="1">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r="66" ht="14.65" customHeight="1">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r="67" ht="19.949999999999999" customHeight="1">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r="68" ht="14.65" customHeight="1">
      <c r="O68" s="539"/>
      <c r="BI68" s="1157">
        <v>14</v>
      </c>
    </row>
    <row r="69" ht="14.25" hidden="1" customHeight="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autoFilter="0" deleteColumns="0" deleteRows="0" formatColumns="0" formatRows="0" insertColumns="1" insertRows="0" sort="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4">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890016-007A-493E-AFEE-00F6007E00B8}"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3B0086-0084-4061-89F3-009D0028007E}"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EF0016-0030-4EF4-82F2-004A009E00F7}"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2700C4-003B-476F-876F-007F00570004}"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B30081-000D-4E35-AA9D-00F700BB00B9}"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1.25" customHeight="1"/>
  <cols>
    <col customWidth="1" hidden="1" min="1" max="1" style="989" width="10.7109375"/>
    <col customWidth="1" hidden="1" min="2" max="2" style="1368" width="16.8515625"/>
    <col customWidth="1" hidden="1" min="3" max="3" style="1644" width="5.57421875"/>
    <col customWidth="1" min="4" max="4" style="1637" width="3.00390625"/>
    <col customWidth="1" min="5" max="5" style="1637" width="7.00390625"/>
    <col customWidth="1" min="6" max="6" style="1637" width="54.00390625"/>
    <col customWidth="1" min="7" max="7" style="1637" width="10.00390625"/>
    <col customWidth="1" hidden="1" min="8" max="8" style="1637" width="40.7109375"/>
    <col customWidth="1" min="9" max="9" style="1637" width="40.7109375"/>
    <col customWidth="1" min="10" max="10" style="1637" width="102.00390625"/>
    <col customWidth="1" min="11" max="11" style="1368" width="9.00390625"/>
    <col customWidth="1" min="12" max="12" style="1644" width="5.00390625"/>
    <col customWidth="1" min="13" max="13" style="1644" width="3.00390625"/>
    <col customWidth="1" min="14" max="17" style="1368" width="3.00390625"/>
    <col customWidth="1" min="18" max="18" style="1644" width="10.00390625"/>
    <col customWidth="1" min="19" max="19" style="1368" width="34.00390625"/>
    <col customWidth="1" min="20" max="20" style="1368" width="9.00390625"/>
    <col customWidth="1" min="21" max="21" style="738" width="8.00390625"/>
    <col customWidth="1" min="22" max="26" style="1368" width="8.00390625"/>
    <col customWidth="1" min="27" max="31" style="1634" width="8.00390625"/>
    <col hidden="1" min="32" max="32" style="1637" width="9.140625"/>
  </cols>
  <sheetData>
    <row r="1" ht="22.5" hidden="1" customHeight="1">
      <c r="AF1" s="1633" t="s">
        <v>14</v>
      </c>
    </row>
    <row r="2" ht="23.25" hidden="1" customHeight="1">
      <c r="B2" s="2101"/>
      <c r="C2" s="1169" t="s">
        <v>545</v>
      </c>
      <c r="D2" s="1640"/>
      <c r="E2" s="548">
        <f>B2</f>
        <v>0</v>
      </c>
      <c r="F2" s="549"/>
      <c r="G2" s="1648" t="s">
        <v>546</v>
      </c>
      <c r="H2" s="1648" t="s">
        <v>546</v>
      </c>
      <c r="I2" s="1648" t="s">
        <v>546</v>
      </c>
      <c r="J2" s="291" t="s">
        <v>547</v>
      </c>
      <c r="K2" s="545"/>
      <c r="AF2" s="1633">
        <v>0</v>
      </c>
    </row>
    <row r="3" s="1644" customFormat="1" ht="0.75" hidden="1" customHeight="1">
      <c r="B3" s="2101"/>
      <c r="C3" s="1169"/>
      <c r="D3" s="550"/>
      <c r="E3" s="551"/>
      <c r="F3" s="552" t="s">
        <v>548</v>
      </c>
      <c r="G3" s="553"/>
      <c r="H3" s="553">
        <f>H4*H5+H7</f>
        <v>0</v>
      </c>
      <c r="I3" s="553">
        <f>I4*I5+I6</f>
        <v>0</v>
      </c>
      <c r="J3" s="554"/>
      <c r="AF3" s="1638">
        <v>0</v>
      </c>
    </row>
    <row r="4" ht="23.25" hidden="1" customHeight="1">
      <c r="B4" s="2101"/>
      <c r="C4" s="1169"/>
      <c r="D4" s="1640"/>
      <c r="E4" s="548" t="str">
        <f>B2&amp;".1"</f>
        <v>.1</v>
      </c>
      <c r="F4" s="555" t="s">
        <v>549</v>
      </c>
      <c r="G4" s="556"/>
      <c r="H4" s="543"/>
      <c r="I4" s="543"/>
      <c r="J4" s="291" t="s">
        <v>550</v>
      </c>
      <c r="K4" s="545"/>
      <c r="AF4" s="1633">
        <v>0</v>
      </c>
    </row>
    <row r="5" ht="18.75" hidden="1" customHeight="1">
      <c r="B5" s="2101"/>
      <c r="C5" s="1169"/>
      <c r="D5" s="1640"/>
      <c r="E5" s="548" t="str">
        <f>B2&amp;".2"</f>
        <v>.2</v>
      </c>
      <c r="F5" s="555" t="s">
        <v>551</v>
      </c>
      <c r="G5" s="1648" t="s">
        <v>552</v>
      </c>
      <c r="H5" s="543"/>
      <c r="I5" s="543"/>
      <c r="J5" s="291"/>
      <c r="K5" s="545"/>
      <c r="AF5" s="1633">
        <v>0</v>
      </c>
    </row>
    <row r="6" ht="18.75" hidden="1" customHeight="1">
      <c r="B6" s="2101"/>
      <c r="C6" s="1169"/>
      <c r="D6" s="1640"/>
      <c r="E6" s="548" t="str">
        <f>B2&amp;".3"</f>
        <v>.3</v>
      </c>
      <c r="F6" s="555" t="s">
        <v>553</v>
      </c>
      <c r="G6" s="1648" t="s">
        <v>552</v>
      </c>
      <c r="H6" s="543"/>
      <c r="I6" s="543"/>
      <c r="J6" s="291"/>
      <c r="K6" s="545"/>
      <c r="AF6" s="1633">
        <v>0</v>
      </c>
    </row>
    <row r="7" ht="18.75" hidden="1" customHeight="1">
      <c r="B7" s="2101"/>
      <c r="C7" s="1169"/>
      <c r="D7" s="1640"/>
      <c r="E7" s="548" t="str">
        <f>B2&amp;".4"</f>
        <v>.4</v>
      </c>
      <c r="F7" s="555" t="s">
        <v>554</v>
      </c>
      <c r="G7" s="1648" t="s">
        <v>546</v>
      </c>
      <c r="H7" s="557"/>
      <c r="I7" s="557"/>
      <c r="J7" s="291"/>
      <c r="K7" s="545"/>
      <c r="AF7" s="1633">
        <v>0</v>
      </c>
    </row>
    <row r="8" s="1368" customFormat="1" ht="11.25" hidden="1" customHeight="1">
      <c r="A8" s="989"/>
      <c r="C8" s="1638"/>
      <c r="D8" s="539"/>
      <c r="H8" s="1162">
        <v>4</v>
      </c>
      <c r="I8" s="1162">
        <v>4</v>
      </c>
      <c r="L8" s="1638"/>
      <c r="M8" s="1638"/>
      <c r="R8" s="1638"/>
      <c r="AF8" s="1162">
        <v>0</v>
      </c>
    </row>
    <row r="9" s="1368" customFormat="1" ht="22.5" hidden="1" customHeight="1">
      <c r="A9" s="989"/>
      <c r="C9" s="1638"/>
      <c r="D9" s="540"/>
      <c r="E9" s="1650"/>
      <c r="F9" s="542"/>
      <c r="G9" s="1648" t="s">
        <v>552</v>
      </c>
      <c r="H9" s="543"/>
      <c r="I9" s="543"/>
      <c r="J9" s="544" t="s">
        <v>555</v>
      </c>
      <c r="K9" s="545"/>
      <c r="L9" s="1638"/>
      <c r="M9" s="1638"/>
      <c r="R9" s="1638"/>
      <c r="U9" s="546"/>
      <c r="AA9" s="1634"/>
      <c r="AB9" s="1634"/>
      <c r="AC9" s="1634"/>
      <c r="AD9" s="1634"/>
      <c r="AE9" s="1634"/>
      <c r="AF9" s="1162">
        <v>0</v>
      </c>
    </row>
    <row r="10" ht="11.25" hidden="1" customHeight="1">
      <c r="AF10" s="1633">
        <v>0</v>
      </c>
    </row>
    <row r="11" ht="18.75" hidden="1" customHeight="1">
      <c r="D11" s="1640"/>
      <c r="E11" s="548"/>
      <c r="F11" s="542"/>
      <c r="G11" s="1648" t="s">
        <v>556</v>
      </c>
      <c r="H11" s="543"/>
      <c r="I11" s="543"/>
      <c r="J11" s="291" t="s">
        <v>557</v>
      </c>
      <c r="K11" s="545"/>
      <c r="AF11" s="1633">
        <v>0</v>
      </c>
    </row>
    <row r="12" ht="11.25" hidden="1" customHeight="1">
      <c r="AF12" s="1633">
        <v>0</v>
      </c>
    </row>
    <row r="13" ht="22.5" hidden="1" customHeight="1">
      <c r="D13" s="1640"/>
      <c r="E13" s="548"/>
      <c r="F13" s="542"/>
      <c r="G13" s="971" t="s">
        <v>558</v>
      </c>
      <c r="H13" s="547"/>
      <c r="I13" s="547"/>
      <c r="J13" s="747" t="s">
        <v>559</v>
      </c>
      <c r="K13" s="545"/>
      <c r="AF13" s="1633">
        <v>0</v>
      </c>
    </row>
    <row r="14" ht="11.25" hidden="1" customHeight="1">
      <c r="AF14" s="1633">
        <v>0</v>
      </c>
    </row>
    <row r="15" ht="22.5" hidden="1" customHeight="1">
      <c r="D15" s="1640"/>
      <c r="E15" s="548"/>
      <c r="F15" s="542"/>
      <c r="G15" s="1648" t="s">
        <v>560</v>
      </c>
      <c r="H15" s="547"/>
      <c r="I15" s="547"/>
      <c r="J15" s="291" t="s">
        <v>561</v>
      </c>
      <c r="K15" s="545"/>
      <c r="AF15" s="1633">
        <v>0</v>
      </c>
    </row>
    <row r="16" ht="11.25" hidden="1" customHeight="1">
      <c r="AF16" s="1633">
        <v>0</v>
      </c>
    </row>
    <row r="17" ht="22.5" hidden="1" customHeight="1">
      <c r="D17" s="1640"/>
      <c r="E17" s="548"/>
      <c r="F17" s="542"/>
      <c r="G17" s="1648" t="s">
        <v>562</v>
      </c>
      <c r="H17" s="547"/>
      <c r="I17" s="547"/>
      <c r="J17" s="291" t="s">
        <v>563</v>
      </c>
      <c r="K17" s="545"/>
      <c r="AF17" s="1633">
        <v>0</v>
      </c>
    </row>
    <row r="18" ht="11.25" hidden="1" customHeight="1">
      <c r="AF18" s="1633">
        <v>0</v>
      </c>
    </row>
    <row r="19" s="1634" customFormat="1" ht="11.25" hidden="1" customHeight="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r="20" ht="11.5" customHeight="1">
      <c r="AF20" s="1633">
        <v>11</v>
      </c>
    </row>
    <row r="21" ht="25.199999999999999" customHeight="1">
      <c r="E21" s="2250" t="str">
        <f>FHD_NAME_FORM</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r="22" ht="25.199999999999999" customHeight="1">
      <c r="E22" s="2251" t="str">
        <f>IF(org=0,"Не определено",org)</f>
        <v xml:space="preserve">филиал ПАО "ОГК-2" - Рязанская ГРЭС</v>
      </c>
      <c r="F22" s="2251"/>
      <c r="G22" s="2251"/>
      <c r="H22" s="2251"/>
      <c r="I22" s="2251"/>
      <c r="AF22" s="1633">
        <v>24</v>
      </c>
    </row>
    <row r="23" ht="11.5" customHeight="1">
      <c r="E23" s="1137"/>
      <c r="F23" s="1137"/>
      <c r="G23" s="1137"/>
      <c r="H23" s="1137"/>
      <c r="I23" s="1137"/>
      <c r="AF23" s="1633">
        <v>11</v>
      </c>
    </row>
    <row r="24" s="1644" customFormat="1" ht="1.05" customHeight="1">
      <c r="A24" s="1169"/>
      <c r="D24" s="1644"/>
      <c r="H24" s="891"/>
      <c r="I24" s="891" t="s">
        <v>118</v>
      </c>
      <c r="AF24" s="1638">
        <v>1</v>
      </c>
    </row>
    <row r="25" ht="11.5" customHeight="1">
      <c r="E25" s="713"/>
      <c r="F25" s="2369" t="s">
        <v>106</v>
      </c>
      <c r="G25" s="2370"/>
      <c r="H25" s="1654" t="str">
        <f>IF(H24="","",INDEX(DIFFERENTIATION_UNMERGE_VD,MATCH(H24,DIFFERENTIATION_ID_DIFF,0)))</f>
        <v/>
      </c>
      <c r="I25" s="1654" t="str">
        <f>IF(I24="","",INDEX(DIFFERENTIATION_UNMERGE_VD,MATCH(I24,DIFFERENTIATION_ID_DIFF,0)))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25" s="2129"/>
      <c r="AF25" s="1633">
        <v>11</v>
      </c>
    </row>
    <row r="26" ht="11.5" customHeight="1">
      <c r="E26" s="713"/>
      <c r="F26" s="2369" t="s">
        <v>564</v>
      </c>
      <c r="G26" s="2370"/>
      <c r="H26" s="1654" t="str">
        <f>IF(H24="","",INDEX(DIFFERENTIATION_UNMERGE_AREA,MATCH(H24,DIFFERENTIATION_ID_DIFF,0)))</f>
        <v/>
      </c>
      <c r="I26" s="1654" t="str">
        <f>IF(I24="","",INDEX(DIFFERENTIATION_UNMERGE_AREA,MATCH(I24,DIFFERENTIATION_ID_DIFF,0)))</f>
        <v xml:space="preserve">без дифференциации</v>
      </c>
      <c r="J26" s="2129"/>
      <c r="AF26" s="1633">
        <v>11</v>
      </c>
    </row>
    <row r="27" ht="11.5" customHeight="1">
      <c r="E27" s="713"/>
      <c r="F27" s="2369" t="s">
        <v>565</v>
      </c>
      <c r="G27" s="2370"/>
      <c r="H27" s="1654" t="str">
        <f>IF(H24="","",INDEX(DIFFERENTIATION_UNMERGE_SYSTEM,MATCH(H24,DIFFERENTIATION_ID_DIFF,0)))</f>
        <v/>
      </c>
      <c r="I27" s="1654" t="str">
        <f>IF(I24="","",INDEX(DIFFERENTIATION_UNMERGE_SYSTEM,MATCH(I24,DIFFERENTIATION_ID_DIFF,0)))</f>
        <v xml:space="preserve">без дифференциации</v>
      </c>
      <c r="J27" s="2129"/>
      <c r="AF27" s="1633">
        <v>11</v>
      </c>
    </row>
    <row r="28" ht="11.5" customHeight="1">
      <c r="E28" s="2371" t="s">
        <v>300</v>
      </c>
      <c r="F28" s="2372"/>
      <c r="G28" s="2372"/>
      <c r="H28" s="1647"/>
      <c r="I28" s="1647"/>
      <c r="J28" s="2129"/>
      <c r="AF28" s="1633">
        <v>11</v>
      </c>
    </row>
    <row r="29" ht="24" customHeight="1">
      <c r="E29" s="1648" t="s">
        <v>88</v>
      </c>
      <c r="F29" s="1655" t="s">
        <v>302</v>
      </c>
      <c r="G29" s="1655" t="s">
        <v>566</v>
      </c>
      <c r="H29" s="1655" t="s">
        <v>303</v>
      </c>
      <c r="I29" s="1655" t="s">
        <v>303</v>
      </c>
      <c r="J29" s="2129"/>
      <c r="AF29" s="1633">
        <v>23</v>
      </c>
    </row>
    <row r="30" ht="19.949999999999999" customHeight="1">
      <c r="D30" s="1640"/>
      <c r="E30" s="548">
        <f>FHD_NUM_P_1</f>
        <v>1</v>
      </c>
      <c r="F30" s="1882" t="str">
        <f>FHD_P_1</f>
        <v xml:space="preserve">Выручка от регулируемого вида деятельности с распределением по видам деятельности</v>
      </c>
      <c r="G30" s="1880" t="s">
        <v>552</v>
      </c>
      <c r="H30" s="559"/>
      <c r="I30" s="559"/>
      <c r="J30" s="291" t="str">
        <f>FHD_NOTE_P_1</f>
        <v xml:space="preserve">Указывается выручка от регулируемого вида деятельности с распределением по видам деятельности.</v>
      </c>
      <c r="K30" s="545"/>
      <c r="AF30" s="1633">
        <v>19</v>
      </c>
    </row>
    <row r="31" ht="11.5" customHeight="1">
      <c r="D31" s="1640"/>
      <c r="E31" s="548">
        <f>FHD_NUM_P_2</f>
        <v>2</v>
      </c>
      <c r="F31" s="1882" t="str">
        <f>FHD_P_2</f>
        <v xml:space="preserve">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 xml:space="preserve">Указывается суммарная себестоимость производимых товаров.</v>
      </c>
      <c r="K31" s="1638" t="s">
        <v>567</v>
      </c>
      <c r="AF31" s="1633">
        <v>11</v>
      </c>
    </row>
    <row r="32" ht="11.5" customHeight="1">
      <c r="D32" s="1640"/>
      <c r="E32" s="548" t="str">
        <f>FHD_NUM_P_3</f>
        <v>2.1</v>
      </c>
      <c r="F32" s="1526" t="str">
        <f>FHD_P_3</f>
        <v xml:space="preserve">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r="33" ht="11.25" customHeight="1">
      <c r="A33" s="2373" t="s">
        <v>568</v>
      </c>
      <c r="D33" s="1640"/>
      <c r="E33" s="548" t="str">
        <f>FHD_NUM_P_4</f>
        <v>2.2</v>
      </c>
      <c r="F33" s="1526" t="str">
        <f>FHD_P_4</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 xml:space="preserve">Указываются суммарные расходы на приобретение топлива всех видов.</v>
      </c>
      <c r="K33" s="1638" t="str">
        <f>IF((LEN(E33)-LEN(SUBSTITUTE(E33,".","")))/LEN(".")=1,"p","")</f>
        <v>p</v>
      </c>
      <c r="AF33" s="1633">
        <v>0</v>
      </c>
    </row>
    <row r="34" s="1643" customFormat="1" ht="0.75" customHeight="1">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r="35" s="1643" customFormat="1" ht="0.75" customHeight="1">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r="36" s="1643" customFormat="1" ht="0.75" customHeight="1">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r="37" s="1643" customFormat="1" ht="0.75" customHeight="1">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r="38" s="1643" customFormat="1" ht="0.75" customHeight="1">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r="39" s="1643" customFormat="1" ht="0.75" customHeight="1">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r="40" s="1368" customFormat="1" ht="15" customHeight="1">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r="41" ht="11.25" hidden="1" customHeight="1">
      <c r="A41" s="2373" t="s">
        <v>570</v>
      </c>
      <c r="D41" s="1640"/>
      <c r="E41" s="548" t="str">
        <f>FHD_NUM_P_5</f>
        <v/>
      </c>
      <c r="F41" s="1526" t="str">
        <f>FHD_P_5</f>
        <v/>
      </c>
      <c r="G41" s="1880" t="s">
        <v>552</v>
      </c>
      <c r="H41" s="559"/>
      <c r="I41" s="559"/>
      <c r="J41" s="291" t="str">
        <f>FHD_NOTE_P_5</f>
        <v/>
      </c>
      <c r="K41" s="1638" t="str">
        <f>IF((LEN(E41)-LEN(SUBSTITUTE(E41,".","")))/LEN(".")=1,"p","")</f>
        <v/>
      </c>
      <c r="AF41" s="1633">
        <v>0</v>
      </c>
    </row>
    <row r="42" ht="11.25" hidden="1" customHeight="1">
      <c r="A42" s="2373"/>
      <c r="D42" s="1640"/>
      <c r="E42" s="548" t="str">
        <f>FHD_NUM_P_6</f>
        <v/>
      </c>
      <c r="F42" s="1526" t="str">
        <f>FHD_P_6</f>
        <v/>
      </c>
      <c r="G42" s="1880" t="s">
        <v>552</v>
      </c>
      <c r="H42" s="559"/>
      <c r="I42" s="559"/>
      <c r="J42" s="291" t="str">
        <f>FHD_NOTE_P_6</f>
        <v/>
      </c>
      <c r="K42" s="1638" t="str">
        <f>IF((LEN(E42)-LEN(SUBSTITUTE(E42,".","")))/LEN(".")=1,"p","")</f>
        <v/>
      </c>
      <c r="AF42" s="1633">
        <v>0</v>
      </c>
    </row>
    <row r="43" ht="11.25" hidden="1" customHeight="1">
      <c r="A43" s="2373"/>
      <c r="D43" s="1640"/>
      <c r="E43" s="548" t="str">
        <f>FHD_NUM_P_7</f>
        <v/>
      </c>
      <c r="F43" s="1526" t="str">
        <f>FHD_P_7</f>
        <v/>
      </c>
      <c r="G43" s="1880" t="s">
        <v>552</v>
      </c>
      <c r="H43" s="559"/>
      <c r="I43" s="559"/>
      <c r="J43" s="291" t="str">
        <f>FHD_NOTE_P_7</f>
        <v/>
      </c>
      <c r="K43" s="1638" t="str">
        <f>IF((LEN(E43)-LEN(SUBSTITUTE(E43,".","")))/LEN(".")=1,"p","")</f>
        <v/>
      </c>
      <c r="AF43" s="1633">
        <v>0</v>
      </c>
    </row>
    <row r="44" ht="11.5" customHeight="1">
      <c r="D44" s="1640"/>
      <c r="E44" s="548" t="str">
        <f>FHD_NUM_P_8</f>
        <v>2.3</v>
      </c>
      <c r="F44" s="1526" t="str">
        <f>FHD_P_8</f>
        <v xml:space="preserve">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r="45" ht="11.5" customHeight="1">
      <c r="D45" s="1640"/>
      <c r="E45" s="548" t="str">
        <f>FHD_NUM_P_9</f>
        <v>2.3.1</v>
      </c>
      <c r="F45" s="1652" t="str">
        <f>FHD_P_9</f>
        <v xml:space="preserve">Средневзвешенная стоимость 1 кВт.ч (с учетом мощности)</v>
      </c>
      <c r="G45" s="1880" t="s">
        <v>571</v>
      </c>
      <c r="H45" s="559"/>
      <c r="I45" s="559"/>
      <c r="J45" s="291" t="str">
        <f>FHD_NOTE_P_9</f>
        <v/>
      </c>
      <c r="K45" s="1638" t="str">
        <f>IF((LEN(E45)-LEN(SUBSTITUTE(E45,".","")))/LEN(".")=1,"p","")</f>
        <v/>
      </c>
      <c r="AF45" s="1633">
        <v>11</v>
      </c>
    </row>
    <row r="46" s="1368" customFormat="1" ht="11.5" customHeight="1">
      <c r="A46" s="989"/>
      <c r="C46" s="1638"/>
      <c r="D46" s="576"/>
      <c r="E46" s="548" t="str">
        <f>FHD_NUM_P_10</f>
        <v>2.3.2</v>
      </c>
      <c r="F46" s="1652" t="str">
        <f>FHD_P_10</f>
        <v xml:space="preserve">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r="47" s="1368" customFormat="1" ht="11.25" customHeight="1">
      <c r="A47" s="991" t="s">
        <v>573</v>
      </c>
      <c r="C47" s="1638"/>
      <c r="D47" s="577"/>
      <c r="E47" s="548" t="str">
        <f>FHD_NUM_P_11</f>
        <v>2.4</v>
      </c>
      <c r="F47" s="1526" t="str">
        <f>FHD_P_11</f>
        <v xml:space="preserve">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r="48" s="1368" customFormat="1" ht="18.75" customHeight="1">
      <c r="A48" s="991" t="s">
        <v>574</v>
      </c>
      <c r="C48" s="1638"/>
      <c r="D48" s="1640"/>
      <c r="E48" s="548" t="str">
        <f>FHD_NUM_P_12</f>
        <v>2.5</v>
      </c>
      <c r="F48" s="1526" t="str">
        <f>FHD_P_12</f>
        <v xml:space="preserve">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r="49" s="1367" customFormat="1" ht="11.5" customHeight="1">
      <c r="A49" s="990"/>
      <c r="C49" s="732"/>
      <c r="D49" s="675"/>
      <c r="E49" s="548" t="str">
        <f>FHD_NUM_P_13</f>
        <v>2.6</v>
      </c>
      <c r="F49" s="1526"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r="50" s="1367" customFormat="1" ht="11.5" customHeight="1">
      <c r="A50" s="990"/>
      <c r="C50" s="732"/>
      <c r="D50" s="675"/>
      <c r="E50" s="548" t="str">
        <f>FHD_NUM_P_14</f>
        <v>2.6.1</v>
      </c>
      <c r="F50" s="1652" t="str">
        <f>FHD_P_14</f>
        <v xml:space="preserve">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r="51" s="1367" customFormat="1" ht="11.5" customHeight="1">
      <c r="A51" s="990"/>
      <c r="C51" s="732"/>
      <c r="D51" s="675"/>
      <c r="E51" s="548" t="str">
        <f>FHD_NUM_P_15</f>
        <v>2.6.2</v>
      </c>
      <c r="F51" s="1652"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r="52" s="1368" customFormat="1" ht="11.5" customHeight="1">
      <c r="A52" s="989"/>
      <c r="C52" s="1638"/>
      <c r="D52" s="1640"/>
      <c r="E52" s="548" t="str">
        <f>FHD_NUM_P_16</f>
        <v>2.7</v>
      </c>
      <c r="F52" s="1526"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r="53" s="1368" customFormat="1" ht="11.5" customHeight="1">
      <c r="A53" s="989"/>
      <c r="C53" s="1638"/>
      <c r="D53" s="1640"/>
      <c r="E53" s="548" t="str">
        <f>FHD_NUM_P_17</f>
        <v>2.7.1</v>
      </c>
      <c r="F53" s="1652" t="str">
        <f>FHD_P_17</f>
        <v xml:space="preserve">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r="54" s="1368" customFormat="1" ht="11.5" customHeight="1">
      <c r="A54" s="989"/>
      <c r="C54" s="1638"/>
      <c r="D54" s="1640"/>
      <c r="E54" s="548" t="str">
        <f>FHD_NUM_P_18</f>
        <v>2.7.2</v>
      </c>
      <c r="F54" s="1652"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r="55" s="1368" customFormat="1" ht="11.5" customHeight="1">
      <c r="A55" s="989"/>
      <c r="C55" s="1638"/>
      <c r="D55" s="577"/>
      <c r="E55" s="548" t="str">
        <f>FHD_NUM_P_19</f>
        <v>2.8</v>
      </c>
      <c r="F55" s="1526" t="str">
        <f>FHD_P_19</f>
        <v xml:space="preserve">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r="56" s="1368" customFormat="1" ht="11.5" customHeight="1">
      <c r="A56" s="989"/>
      <c r="C56" s="1638"/>
      <c r="D56" s="577"/>
      <c r="E56" s="548" t="str">
        <f>FHD_NUM_P_20</f>
        <v>2.8.1</v>
      </c>
      <c r="F56" s="1652" t="str">
        <f>FHD_P_20</f>
        <v xml:space="preserve">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r="57" s="1368" customFormat="1" ht="11.5" customHeight="1">
      <c r="A57" s="989"/>
      <c r="C57" s="1638"/>
      <c r="D57" s="577"/>
      <c r="E57" s="548" t="str">
        <f>FHD_NUM_P_21</f>
        <v>2.8.2</v>
      </c>
      <c r="F57" s="1652" t="str">
        <f>FHD_P_21</f>
        <v xml:space="preserve">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r="58" s="1368" customFormat="1" ht="11.5" customHeight="1">
      <c r="A58" s="989"/>
      <c r="C58" s="1638"/>
      <c r="D58" s="1640"/>
      <c r="E58" s="548" t="str">
        <f>FHD_NUM_P_22</f>
        <v>2.9</v>
      </c>
      <c r="F58" s="1526" t="str">
        <f>FHD_P_22</f>
        <v xml:space="preserve">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r="59" s="1368" customFormat="1" ht="11.5" customHeight="1">
      <c r="A59" s="989"/>
      <c r="C59" s="1638"/>
      <c r="D59" s="577"/>
      <c r="E59" s="548" t="str">
        <f>FHD_NUM_P_23</f>
        <v>2.10</v>
      </c>
      <c r="F59" s="1526" t="str">
        <f>FHD_P_23</f>
        <v xml:space="preserve">Общепроизводственные расходы, в том числе:</v>
      </c>
      <c r="G59" s="1880" t="s">
        <v>552</v>
      </c>
      <c r="H59" s="559"/>
      <c r="I59" s="559"/>
      <c r="J59" s="291" t="str">
        <f>FHD_NOTE_P_23</f>
        <v xml:space="preserve">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r="60" s="1368" customFormat="1" ht="11.5" customHeight="1">
      <c r="A60" s="989"/>
      <c r="C60" s="1638"/>
      <c r="D60" s="577"/>
      <c r="E60" s="548" t="str">
        <f>FHD_NUM_P_24</f>
        <v>2.10.1</v>
      </c>
      <c r="F60" s="1652" t="str">
        <f>FHD_P_24</f>
        <v xml:space="preserve">Расходы на текущий ремонт</v>
      </c>
      <c r="G60" s="1880" t="s">
        <v>552</v>
      </c>
      <c r="H60" s="559"/>
      <c r="I60" s="559"/>
      <c r="J60" s="291" t="str">
        <f>FHD_NOTE_P_24</f>
        <v xml:space="preserve">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r="61" s="1368" customFormat="1" ht="11.5" customHeight="1">
      <c r="A61" s="989"/>
      <c r="C61" s="1638"/>
      <c r="D61" s="577"/>
      <c r="E61" s="548" t="str">
        <f>FHD_NUM_P_25</f>
        <v>2.10.2</v>
      </c>
      <c r="F61" s="1652" t="str">
        <f>FHD_P_25</f>
        <v xml:space="preserve">Расходы на капитальный ремонт</v>
      </c>
      <c r="G61" s="1880" t="s">
        <v>552</v>
      </c>
      <c r="H61" s="559"/>
      <c r="I61" s="559"/>
      <c r="J61" s="291" t="str">
        <f>FHD_NOTE_P_25</f>
        <v xml:space="preserve">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r="62" s="1368" customFormat="1" ht="11.5" customHeight="1">
      <c r="A62" s="989"/>
      <c r="C62" s="1638"/>
      <c r="D62" s="1640"/>
      <c r="E62" s="548" t="str">
        <f>FHD_NUM_P_26</f>
        <v>2.11</v>
      </c>
      <c r="F62" s="1526" t="str">
        <f>FHD_P_26</f>
        <v xml:space="preserve">Общехозяйственные расходы, в том числе:</v>
      </c>
      <c r="G62" s="1880" t="s">
        <v>552</v>
      </c>
      <c r="H62" s="559"/>
      <c r="I62" s="559"/>
      <c r="J62" s="291" t="str">
        <f>FHD_NOTE_P_26</f>
        <v xml:space="preserve">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r="63" s="1368" customFormat="1" ht="11.5" customHeight="1">
      <c r="A63" s="989"/>
      <c r="C63" s="1638"/>
      <c r="D63" s="1640"/>
      <c r="E63" s="548" t="str">
        <f>FHD_NUM_P_27</f>
        <v>2.11.1</v>
      </c>
      <c r="F63" s="1652" t="str">
        <f>FHD_P_27</f>
        <v xml:space="preserve">Расходы на текущий ремонт</v>
      </c>
      <c r="G63" s="1880" t="s">
        <v>552</v>
      </c>
      <c r="H63" s="559"/>
      <c r="I63" s="559"/>
      <c r="J63" s="291" t="str">
        <f>FHD_NOTE_P_27</f>
        <v xml:space="preserve">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r="64" s="1368" customFormat="1" ht="11.5" customHeight="1">
      <c r="A64" s="989"/>
      <c r="C64" s="1638"/>
      <c r="D64" s="1640"/>
      <c r="E64" s="548" t="str">
        <f>FHD_NUM_P_28</f>
        <v>2.11.2</v>
      </c>
      <c r="F64" s="1652" t="str">
        <f>FHD_P_28</f>
        <v xml:space="preserve">Расходы на капитальный ремонт</v>
      </c>
      <c r="G64" s="1880" t="s">
        <v>552</v>
      </c>
      <c r="H64" s="559"/>
      <c r="I64" s="559"/>
      <c r="J64" s="291" t="str">
        <f>FHD_NOTE_P_28</f>
        <v xml:space="preserve">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r="65" s="1368" customFormat="1" ht="11.5" customHeight="1">
      <c r="A65" s="989"/>
      <c r="C65" s="1638"/>
      <c r="D65" s="1640"/>
      <c r="E65" s="548" t="str">
        <f>FHD_NUM_P_29</f>
        <v>2.12</v>
      </c>
      <c r="F65" s="1526" t="str">
        <f>FHD_P_29</f>
        <v xml:space="preserve">Расходы на капитальный и текущий ремонт основных средств</v>
      </c>
      <c r="G65" s="1880" t="s">
        <v>552</v>
      </c>
      <c r="H65" s="559"/>
      <c r="I65" s="559"/>
      <c r="J65" s="291" t="str">
        <f>FHD_NOTE_P_29</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r="66" s="1368" customFormat="1" ht="11.5" customHeight="1">
      <c r="A66" s="989"/>
      <c r="C66" s="1638"/>
      <c r="D66" s="1640"/>
      <c r="E66" s="548" t="str">
        <f>FHD_NUM_P_30</f>
        <v>2.12.1</v>
      </c>
      <c r="F66" s="1652"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r="67" s="1368" customFormat="1" ht="23.25" hidden="1" customHeight="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r="68" s="1368" customFormat="1" ht="47.25" hidden="1" customHeight="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r="69" s="1368" customFormat="1" ht="11.5" customHeight="1">
      <c r="A69" s="989"/>
      <c r="C69" s="1638"/>
      <c r="D69" s="1640"/>
      <c r="E69" s="548" t="str">
        <f>FHD_NUM_P_33</f>
        <v>2.13</v>
      </c>
      <c r="F69" s="1526" t="str">
        <f>FHD_P_33</f>
        <v xml:space="preserve">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r="70" s="1644" customFormat="1" ht="1.05" customHeight="1">
      <c r="A70" s="1169"/>
      <c r="D70" s="550"/>
      <c r="E70" s="1015" t="str">
        <f>E69&amp;".0"</f>
        <v>2.13.0</v>
      </c>
      <c r="F70" s="993"/>
      <c r="G70" s="1015"/>
      <c r="H70" s="994"/>
      <c r="I70" s="994"/>
      <c r="J70" s="995"/>
      <c r="K70" s="1638" t="str">
        <f>IF((LEN(E70)-LEN(SUBSTITUTE(E70,".","")))/LEN(".")=1,"p","")</f>
        <v/>
      </c>
      <c r="AF70" s="1638">
        <v>1</v>
      </c>
    </row>
    <row r="71" s="1368" customFormat="1" ht="14.65" customHeight="1">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r="72" s="1368" customFormat="1" ht="18.75" customHeight="1">
      <c r="A72" s="991" t="s">
        <v>578</v>
      </c>
      <c r="C72" s="1638"/>
      <c r="D72" s="1640"/>
      <c r="E72" s="548" t="str">
        <f>FHD_NUM_P_34</f>
        <v>3</v>
      </c>
      <c r="F72" s="1882" t="str">
        <f>FHD_P_34</f>
        <v xml:space="preserve">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r="73" s="1368" customFormat="1" ht="19.949999999999999" customHeight="1">
      <c r="A73" s="989"/>
      <c r="C73" s="1638"/>
      <c r="D73" s="577"/>
      <c r="E73" s="548" t="str">
        <f>FHD_NUM_P_35</f>
        <v>4</v>
      </c>
      <c r="F73" s="1882" t="str">
        <f>FHD_P_35</f>
        <v xml:space="preserve">Чистая прибыль, полученная от регулируемого вида деятельности, в том числе:</v>
      </c>
      <c r="G73" s="1880" t="s">
        <v>552</v>
      </c>
      <c r="H73" s="559"/>
      <c r="I73" s="559"/>
      <c r="J73" s="291" t="str">
        <f>FHD_NOTE_P_35</f>
        <v xml:space="preserve">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r="74" s="1368" customFormat="1" ht="19.949999999999999" customHeight="1">
      <c r="A74" s="989"/>
      <c r="C74" s="1638"/>
      <c r="D74" s="1640"/>
      <c r="E74" s="548" t="str">
        <f>FHD_NUM_P_36</f>
        <v>4.1</v>
      </c>
      <c r="F74" s="1526"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r="75" s="1368" customFormat="1" ht="19.949999999999999" customHeight="1">
      <c r="A75" s="989"/>
      <c r="C75" s="1638"/>
      <c r="D75" s="1640"/>
      <c r="E75" s="548" t="str">
        <f>FHD_NUM_P_37</f>
        <v>5</v>
      </c>
      <c r="F75" s="1882" t="str">
        <f>FHD_P_37</f>
        <v xml:space="preserve">Изменение стоимости основных фондов, в том числе:</v>
      </c>
      <c r="G75" s="1880" t="s">
        <v>552</v>
      </c>
      <c r="H75" s="559"/>
      <c r="I75" s="559"/>
      <c r="J75" s="291" t="str">
        <f>FHD_NOTE_P_37</f>
        <v xml:space="preserve">Указывается общее изменение стоимости основных фондов.</v>
      </c>
      <c r="K75" s="545"/>
      <c r="L75" s="1638"/>
      <c r="M75" s="1638"/>
      <c r="R75" s="1638"/>
      <c r="U75" s="546"/>
      <c r="AA75" s="1634"/>
      <c r="AB75" s="1634"/>
      <c r="AC75" s="1634"/>
      <c r="AD75" s="1634"/>
      <c r="AE75" s="1634"/>
      <c r="AF75" s="1162">
        <v>19</v>
      </c>
    </row>
    <row r="76" s="1368" customFormat="1" ht="19.949999999999999" customHeight="1">
      <c r="A76" s="989"/>
      <c r="C76" s="1638"/>
      <c r="D76" s="1640"/>
      <c r="E76" s="548" t="str">
        <f>FHD_NUM_P_38</f>
        <v>5.1</v>
      </c>
      <c r="F76" s="1526" t="str">
        <f>FHD_P_38</f>
        <v xml:space="preserve">Изменение стоимости основных фондов за счет:</v>
      </c>
      <c r="G76" s="1880" t="s">
        <v>552</v>
      </c>
      <c r="H76" s="559"/>
      <c r="I76" s="559"/>
      <c r="J76" s="291" t="str">
        <f>FHD_NOTE_P_38</f>
        <v xml:space="preserve">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r="77" s="1368" customFormat="1" ht="19.949999999999999" customHeight="1">
      <c r="A77" s="989"/>
      <c r="C77" s="1638"/>
      <c r="D77" s="1640"/>
      <c r="E77" s="548" t="str">
        <f>FHD_NUM_P_39</f>
        <v>5.1.1</v>
      </c>
      <c r="F77" s="1652" t="str">
        <f>FHD_P_39</f>
        <v xml:space="preserve">Изменения стоимости основных фондов за счет их ввода в эксплуатацию</v>
      </c>
      <c r="G77" s="2074" t="s">
        <v>552</v>
      </c>
      <c r="H77" s="559"/>
      <c r="I77" s="559"/>
      <c r="J77" s="291" t="str">
        <f>FHD_NOTE_P_39</f>
        <v xml:space="preserve">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r="78" s="1368" customFormat="1" ht="19.949999999999999" customHeight="1">
      <c r="A78" s="989"/>
      <c r="C78" s="1638"/>
      <c r="D78" s="1640"/>
      <c r="E78" s="548" t="str">
        <f>FHD_NUM_P_40</f>
        <v>5.1.2</v>
      </c>
      <c r="F78" s="2078" t="str">
        <f>FHD_P_40</f>
        <v xml:space="preserve">Изменения стоимости основных фондов за счет их вывода в эксплуатацию</v>
      </c>
      <c r="G78" s="2073" t="s">
        <v>552</v>
      </c>
      <c r="H78" s="978"/>
      <c r="I78" s="559"/>
      <c r="J78" s="291" t="str">
        <f>FHD_NOTE_P_40</f>
        <v xml:space="preserve">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r="79" s="1368" customFormat="1" ht="19.949999999999999" customHeight="1">
      <c r="A79" s="989"/>
      <c r="C79" s="1638"/>
      <c r="D79" s="1640"/>
      <c r="E79" s="548" t="str">
        <f>FHD_NUM_P_41</f>
        <v>5.2</v>
      </c>
      <c r="F79" s="2077" t="str">
        <f>FHD_P_41</f>
        <v xml:space="preserve">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r="80" s="1368" customFormat="1" ht="20.25" hidden="1" customHeight="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r="81" s="1368" customFormat="1" ht="19.949999999999999" customHeight="1">
      <c r="A81" s="989"/>
      <c r="C81" s="1638"/>
      <c r="D81" s="1640"/>
      <c r="E81" s="548" t="str">
        <f>FHD_NUM_P_43</f>
        <v>6</v>
      </c>
      <c r="F81" s="1882" t="str">
        <f>FHD_P_43</f>
        <v xml:space="preserve">Годовая бухгалтерская (финансовая) отчетность, включая бухгалтерский баланс и приложения к нему</v>
      </c>
      <c r="G81" s="2076" t="s">
        <v>306</v>
      </c>
      <c r="H81" s="1057"/>
      <c r="I81" s="820"/>
      <c r="J81" s="291" t="str">
        <f>FHD_NOTE_P_43</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r="82" s="1368" customFormat="1" ht="18.75" hidden="1" customHeight="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r="83" s="1368" customFormat="1" ht="18.75" hidden="1" customHeight="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r="84" s="1368" customFormat="1" ht="18.75" hidden="1" customHeight="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r="85" s="1368" customFormat="1" ht="18.75" hidden="1" customHeight="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r="86" s="1637" customFormat="1" ht="18.75" hidden="1" customHeight="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r="87" s="1637" customFormat="1" ht="18.75" hidden="1" customHeight="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r="88" s="1637" customFormat="1" ht="18.75" hidden="1" customHeight="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r="89" s="1637" customFormat="1" ht="18.75" hidden="1" customHeight="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r="90" s="1637" customFormat="1" ht="18.75" hidden="1" customHeight="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r="91" s="1368" customFormat="1" ht="18.75" hidden="1" customHeight="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r="92" s="1368" customFormat="1" ht="18.75" hidden="1" customHeight="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r="93" s="1368" customFormat="1" ht="18.75" hidden="1" customHeight="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r="94" s="1368" customFormat="1" ht="18.75" hidden="1" customHeight="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r="95" s="1637" customFormat="1" ht="18.75" hidden="1" customHeight="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r="96" ht="18.75" hidden="1" customHeight="1">
      <c r="A96" s="2373" t="s">
        <v>584</v>
      </c>
      <c r="D96" s="1640"/>
      <c r="E96" s="548" t="str">
        <f>FHD_NUM_P_58</f>
        <v/>
      </c>
      <c r="F96" s="1882" t="str">
        <f>FHD_P_58</f>
        <v/>
      </c>
      <c r="G96" s="1883" t="s">
        <v>581</v>
      </c>
      <c r="H96" s="979"/>
      <c r="I96" s="579"/>
      <c r="J96" s="291" t="str">
        <f>FHD_NOTE_P_58</f>
        <v/>
      </c>
      <c r="K96" s="545"/>
      <c r="AF96" s="1633">
        <v>0</v>
      </c>
    </row>
    <row r="97" ht="18.75" hidden="1" customHeight="1">
      <c r="A97" s="2373"/>
      <c r="D97" s="1640"/>
      <c r="E97" s="548" t="str">
        <f>FHD_NUM_P_59</f>
        <v/>
      </c>
      <c r="F97" s="1882" t="str">
        <f>FHD_P_59</f>
        <v/>
      </c>
      <c r="G97" s="1883" t="s">
        <v>581</v>
      </c>
      <c r="H97" s="979"/>
      <c r="I97" s="579"/>
      <c r="J97" s="291" t="str">
        <f>FHD_NOTE_P_59</f>
        <v/>
      </c>
      <c r="K97" s="545"/>
      <c r="AF97" s="1633">
        <v>0</v>
      </c>
    </row>
    <row r="98" ht="18.75" hidden="1" customHeight="1">
      <c r="A98" s="2373"/>
      <c r="D98" s="1640"/>
      <c r="E98" s="548" t="str">
        <f>FHD_NUM_P_60</f>
        <v/>
      </c>
      <c r="F98" s="1882" t="str">
        <f>FHD_P_60</f>
        <v/>
      </c>
      <c r="G98" s="1883" t="s">
        <v>581</v>
      </c>
      <c r="H98" s="979"/>
      <c r="I98" s="579"/>
      <c r="J98" s="291" t="str">
        <f>FHD_NOTE_P_60</f>
        <v/>
      </c>
      <c r="K98" s="545"/>
      <c r="AF98" s="1633">
        <v>0</v>
      </c>
    </row>
    <row r="99" s="1368" customFormat="1" ht="18.75" customHeight="1">
      <c r="A99" s="2373" t="s">
        <v>585</v>
      </c>
      <c r="C99" s="1638"/>
      <c r="D99" s="1640"/>
      <c r="E99" s="548" t="str">
        <f>FHD_NUM_P_61</f>
        <v>7</v>
      </c>
      <c r="F99" s="1882" t="str">
        <f>FHD_P_61</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r="100" s="1644" customFormat="1" ht="0.75" customHeight="1">
      <c r="A100" s="2373"/>
      <c r="D100" s="550"/>
      <c r="E100" s="1015" t="str">
        <f>E99&amp;".0"</f>
        <v>7.0</v>
      </c>
      <c r="F100" s="996"/>
      <c r="G100" s="997"/>
      <c r="H100" s="994"/>
      <c r="I100" s="994"/>
      <c r="J100" s="998"/>
      <c r="AF100" s="1638">
        <v>0</v>
      </c>
    </row>
    <row r="101" ht="15" customHeight="1">
      <c r="A101" s="2373"/>
      <c r="D101" s="1635"/>
      <c r="E101" s="973"/>
      <c r="F101" s="974" t="s">
        <v>586</v>
      </c>
      <c r="G101" s="574"/>
      <c r="H101" s="575"/>
      <c r="I101" s="575"/>
      <c r="J101" s="1006" t="s">
        <v>587</v>
      </c>
      <c r="K101" s="545"/>
      <c r="AF101" s="1633">
        <v>0</v>
      </c>
    </row>
    <row r="102" s="1368" customFormat="1" ht="18.75" customHeight="1">
      <c r="A102" s="2373"/>
      <c r="C102" s="1638"/>
      <c r="D102" s="1640"/>
      <c r="E102" s="548" t="str">
        <f>FHD_NUM_P_62</f>
        <v>8</v>
      </c>
      <c r="F102" s="1882" t="str">
        <f>FHD_P_62</f>
        <v xml:space="preserve">Тепловая нагрузка по договорам, заключенным в рамках осуществления регулируемых видов деятельности</v>
      </c>
      <c r="G102" s="1879" t="s">
        <v>556</v>
      </c>
      <c r="H102" s="559"/>
      <c r="I102" s="559"/>
      <c r="J102" s="291" t="str">
        <f>FHD_NOTE_P_62</f>
        <v xml:space="preserve">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r="103" s="1368" customFormat="1" ht="18.75" customHeight="1">
      <c r="A103" s="2373"/>
      <c r="C103" s="1638"/>
      <c r="D103" s="1640"/>
      <c r="E103" s="548" t="str">
        <f>FHD_NUM_P_63</f>
        <v>9</v>
      </c>
      <c r="F103" s="1882" t="str">
        <f>FHD_P_63</f>
        <v xml:space="preserve">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r="104" s="1368" customFormat="1" ht="18.75" customHeight="1">
      <c r="A104" s="2373"/>
      <c r="C104" s="1638" t="s">
        <v>588</v>
      </c>
      <c r="D104" s="1640"/>
      <c r="E104" s="548" t="str">
        <f>FHD_NUM_P_64</f>
        <v>9.1</v>
      </c>
      <c r="F104" s="1882" t="str">
        <f>FHD_P_64</f>
        <v xml:space="preserve">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 xml:space="preserve">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r="105" s="1368" customFormat="1" ht="18.75" customHeight="1">
      <c r="A105" s="2373"/>
      <c r="C105" s="1638"/>
      <c r="D105" s="1640"/>
      <c r="E105" s="548" t="str">
        <f>FHD_NUM_P_65</f>
        <v>10</v>
      </c>
      <c r="F105" s="1882" t="str">
        <f>FHD_P_65</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r="106" s="1368" customFormat="1" ht="18.75" customHeight="1">
      <c r="A106" s="2373"/>
      <c r="C106" s="1638"/>
      <c r="D106" s="1640"/>
      <c r="E106" s="548" t="str">
        <f>FHD_NUM_P_66</f>
        <v>10.1</v>
      </c>
      <c r="F106" s="1526" t="str">
        <f>FHD_P_66</f>
        <v xml:space="preserve">По приборам учёта</v>
      </c>
      <c r="G106" s="1879" t="s">
        <v>583</v>
      </c>
      <c r="H106" s="579"/>
      <c r="I106" s="579"/>
      <c r="J106" s="291" t="str">
        <f>FHD_NOTE_P_66</f>
        <v/>
      </c>
      <c r="K106" s="545"/>
      <c r="L106" s="1638"/>
      <c r="M106" s="1638"/>
      <c r="R106" s="1638"/>
      <c r="U106" s="546"/>
      <c r="AA106" s="1634"/>
      <c r="AB106" s="1634"/>
      <c r="AC106" s="1634"/>
      <c r="AD106" s="1634"/>
      <c r="AE106" s="1634"/>
      <c r="AF106" s="1162">
        <v>0</v>
      </c>
    </row>
    <row r="107" s="1368" customFormat="1" ht="18.75" customHeight="1">
      <c r="A107" s="2373"/>
      <c r="C107" s="1638"/>
      <c r="D107" s="1640"/>
      <c r="E107" s="548" t="str">
        <f>FHD_NUM_P_67</f>
        <v>10.1.1</v>
      </c>
      <c r="F107" s="1652" t="str">
        <f>FHD_P_67</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r="108" s="1368" customFormat="1" ht="18.75" customHeight="1">
      <c r="A108" s="2373"/>
      <c r="C108" s="1638"/>
      <c r="D108" s="1640"/>
      <c r="E108" s="548" t="str">
        <f>FHD_NUM_P_68</f>
        <v>10.2</v>
      </c>
      <c r="F108" s="1526" t="str">
        <f>FHD_P_68</f>
        <v xml:space="preserve">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r="109" s="1368" customFormat="1" ht="18.75" customHeight="1">
      <c r="A109" s="2373"/>
      <c r="C109" s="1638"/>
      <c r="D109" s="1640"/>
      <c r="E109" s="548" t="str">
        <f>FHD_NUM_P_69</f>
        <v>10.3</v>
      </c>
      <c r="F109" s="1526" t="str">
        <f>FHD_P_69</f>
        <v xml:space="preserve">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r="110" s="1368" customFormat="1" ht="22.5" customHeight="1">
      <c r="A110" s="2373"/>
      <c r="C110" s="1638"/>
      <c r="D110" s="1640"/>
      <c r="E110" s="548" t="str">
        <f>FHD_NUM_P_70</f>
        <v>11</v>
      </c>
      <c r="F110" s="1882" t="str">
        <f>FHD_P_70</f>
        <v xml:space="preserve">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r="111" s="1368" customFormat="1" ht="22.5" customHeight="1">
      <c r="A111" s="2373"/>
      <c r="C111" s="1638"/>
      <c r="D111" s="1640"/>
      <c r="E111" s="548" t="str">
        <f>FHD_NUM_P_71</f>
        <v>12</v>
      </c>
      <c r="F111" s="1882" t="str">
        <f>FHD_P_71</f>
        <v xml:space="preserve">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r="112" ht="19.949999999999999" customHeight="1">
      <c r="D112" s="1640"/>
      <c r="E112" s="548" t="str">
        <f>FHD_NUM_P_72</f>
        <v>13</v>
      </c>
      <c r="F112" s="1882" t="str">
        <f>FHD_P_72</f>
        <v xml:space="preserve">Среднесписочная численность основного производственного персонала</v>
      </c>
      <c r="G112" s="1878" t="s">
        <v>590</v>
      </c>
      <c r="H112" s="579"/>
      <c r="I112" s="579"/>
      <c r="J112" s="291" t="str">
        <f>FHD_NOTE_P_72</f>
        <v/>
      </c>
      <c r="K112" s="545"/>
      <c r="AF112" s="1633">
        <v>19</v>
      </c>
    </row>
    <row r="113" ht="18.75" customHeight="1">
      <c r="A113" s="991" t="s">
        <v>591</v>
      </c>
      <c r="D113" s="1640"/>
      <c r="E113" s="548" t="str">
        <f>FHD_NUM_P_73</f>
        <v>14</v>
      </c>
      <c r="F113" s="1882" t="str">
        <f>FHD_P_73</f>
        <v xml:space="preserve">Среднесписочная численность административно-управленческого персонала</v>
      </c>
      <c r="G113" s="972" t="s">
        <v>590</v>
      </c>
      <c r="H113" s="970"/>
      <c r="I113" s="970"/>
      <c r="J113" s="291" t="str">
        <f>FHD_NOTE_P_73</f>
        <v/>
      </c>
      <c r="K113" s="545"/>
      <c r="AF113" s="1633">
        <v>0</v>
      </c>
    </row>
    <row r="114" ht="33.75" hidden="1" customHeight="1">
      <c r="A114" s="991" t="s">
        <v>592</v>
      </c>
      <c r="D114" s="1640"/>
      <c r="E114" s="548" t="str">
        <f>FHD_NUM_P_74</f>
        <v/>
      </c>
      <c r="F114" s="1882" t="str">
        <f>FHD_P_74</f>
        <v/>
      </c>
      <c r="G114" s="1878" t="s">
        <v>593</v>
      </c>
      <c r="H114" s="579"/>
      <c r="I114" s="579"/>
      <c r="J114" s="291" t="str">
        <f>FHD_NOTE_P_74</f>
        <v/>
      </c>
      <c r="K114" s="545"/>
      <c r="AF114" s="1633">
        <v>0</v>
      </c>
    </row>
    <row r="115" s="1637" customFormat="1" ht="18.75" hidden="1" customHeight="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r="116" s="1637" customFormat="1" ht="18.75" hidden="1" customHeight="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r="117" s="1637" customFormat="1" ht="18.75" hidden="1" customHeight="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r="118" s="1644" customFormat="1" ht="0.75" hidden="1" customHeight="1">
      <c r="A118" s="2375"/>
      <c r="D118" s="550"/>
      <c r="E118" s="1015" t="str">
        <f>E117&amp;".0"</f>
        <v>.0</v>
      </c>
      <c r="F118" s="999"/>
      <c r="G118" s="1653"/>
      <c r="H118" s="994"/>
      <c r="I118" s="994"/>
      <c r="J118" s="998"/>
      <c r="AF118" s="1638">
        <v>0</v>
      </c>
    </row>
    <row r="119" s="1637" customFormat="1" ht="15" hidden="1" customHeight="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r="120" ht="22.5" customHeight="1">
      <c r="A120" s="2373" t="s">
        <v>597</v>
      </c>
      <c r="D120" s="1640"/>
      <c r="E120" s="548" t="str">
        <f>FHD_NUM_P_78</f>
        <v>15</v>
      </c>
      <c r="F120" s="1882" t="str">
        <f>FHD_P_78</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r="121" s="1644" customFormat="1" ht="0.75" customHeight="1">
      <c r="A121" s="2373"/>
      <c r="D121" s="550"/>
      <c r="E121" s="1015" t="str">
        <f>E120&amp;".0"</f>
        <v>15.0</v>
      </c>
      <c r="F121" s="999"/>
      <c r="G121" s="1653"/>
      <c r="H121" s="994"/>
      <c r="I121" s="994"/>
      <c r="J121" s="998"/>
      <c r="AF121" s="1638">
        <v>0</v>
      </c>
    </row>
    <row r="122" ht="15" customHeight="1">
      <c r="A122" s="2373"/>
      <c r="D122" s="1635"/>
      <c r="E122" s="572"/>
      <c r="F122" s="1170" t="s">
        <v>586</v>
      </c>
      <c r="G122" s="574"/>
      <c r="H122" s="575"/>
      <c r="I122" s="575"/>
      <c r="J122" s="1006" t="s">
        <v>598</v>
      </c>
      <c r="K122" s="545"/>
      <c r="AF122" s="1633">
        <v>0</v>
      </c>
    </row>
    <row r="123" ht="22.5" customHeight="1">
      <c r="A123" s="2373"/>
      <c r="D123" s="1640"/>
      <c r="E123" s="548" t="str">
        <f>FHD_NUM_P_79</f>
        <v>16</v>
      </c>
      <c r="F123" s="1882" t="str">
        <f>FHD_P_79</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r="124" s="1644" customFormat="1" ht="0.75" customHeight="1">
      <c r="A124" s="2373"/>
      <c r="D124" s="550"/>
      <c r="E124" s="1015" t="str">
        <f>E123&amp;".0"</f>
        <v>16.0</v>
      </c>
      <c r="F124" s="1000"/>
      <c r="G124" s="1653"/>
      <c r="H124" s="994"/>
      <c r="I124" s="994"/>
      <c r="J124" s="998"/>
      <c r="AF124" s="1638">
        <v>0</v>
      </c>
    </row>
    <row r="125" ht="15" customHeight="1">
      <c r="A125" s="2373"/>
      <c r="D125" s="1635"/>
      <c r="E125" s="572"/>
      <c r="F125" s="1170" t="s">
        <v>586</v>
      </c>
      <c r="G125" s="574"/>
      <c r="H125" s="575"/>
      <c r="I125" s="575"/>
      <c r="J125" s="1006" t="s">
        <v>599</v>
      </c>
      <c r="K125" s="545"/>
      <c r="AF125" s="1633">
        <v>0</v>
      </c>
    </row>
    <row r="126" ht="22.5" customHeight="1">
      <c r="A126" s="2373"/>
      <c r="D126" s="1640"/>
      <c r="E126" s="548" t="str">
        <f>FHD_NUM_P_80</f>
        <v>17</v>
      </c>
      <c r="F126" s="1882" t="str">
        <f>FHD_P_80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 xml:space="preserve">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r="127" ht="18.75" customHeight="1">
      <c r="A127" s="2373"/>
      <c r="D127" s="1640"/>
      <c r="E127" s="548" t="str">
        <f>FHD_NUM_P_81</f>
        <v>18</v>
      </c>
      <c r="F127" s="1882" t="str">
        <f>FHD_P_81</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 xml:space="preserve">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r="128" ht="18.75" customHeight="1">
      <c r="A128" s="2373"/>
      <c r="C128" s="1638" t="s">
        <v>588</v>
      </c>
      <c r="D128" s="1640"/>
      <c r="E128" s="548" t="str">
        <f>FHD_NUM_P_82</f>
        <v>19</v>
      </c>
      <c r="F128" s="1882" t="str">
        <f>FHD_P_82</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 xml:space="preserve">Указывается ссылка на документ, предварительно загруженный в хранилище файлов ФГИС ЕИАС.</v>
      </c>
      <c r="K128" s="545"/>
      <c r="AF128" s="1633">
        <v>0</v>
      </c>
    </row>
    <row r="129" ht="18.75" customHeight="1">
      <c r="A129" s="2373"/>
      <c r="C129" s="1638" t="s">
        <v>588</v>
      </c>
      <c r="D129" s="1640"/>
      <c r="E129" s="548" t="str">
        <f>FHD_NUM_P_83</f>
        <v>19.1</v>
      </c>
      <c r="F129" s="1526" t="str">
        <f>FHD_P_83</f>
        <v xml:space="preserve">Информация о показателях физического износа объектов теплоснабжения</v>
      </c>
      <c r="G129" s="1880" t="s">
        <v>306</v>
      </c>
      <c r="H129" s="403"/>
      <c r="I129" s="403"/>
      <c r="J129" s="291" t="str">
        <f>FHD_NOTE_P_83</f>
        <v xml:space="preserve">Указывается ссылка на документ, предварительно загруженный в хранилище файлов ФГИС ЕИАС.</v>
      </c>
      <c r="K129" s="545"/>
      <c r="AF129" s="1633">
        <v>0</v>
      </c>
    </row>
    <row r="130" ht="18.75" customHeight="1">
      <c r="A130" s="2373"/>
      <c r="C130" s="1638" t="s">
        <v>588</v>
      </c>
      <c r="D130" s="1640"/>
      <c r="E130" s="548" t="str">
        <f>FHD_NUM_P_84</f>
        <v>19.2</v>
      </c>
      <c r="F130" s="1526" t="str">
        <f>FHD_P_84</f>
        <v xml:space="preserve">Информация о показателях энергетической эффективности объектов теплоснабжения</v>
      </c>
      <c r="G130" s="1880" t="s">
        <v>306</v>
      </c>
      <c r="H130" s="403"/>
      <c r="I130" s="403"/>
      <c r="J130" s="291" t="str">
        <f>FHD_NOTE_P_84</f>
        <v xml:space="preserve">Указывается ссылка на документ, предварительно загруженный в хранилище файлов ФГИС ЕИАС.</v>
      </c>
      <c r="K130" s="545"/>
      <c r="AF130" s="1633">
        <v>0</v>
      </c>
    </row>
    <row r="131" ht="11.5" customHeight="1">
      <c r="D131" s="1640"/>
      <c r="AF131" s="1633">
        <v>11</v>
      </c>
    </row>
    <row r="132" ht="13.5" customHeight="1">
      <c r="D132" s="1640"/>
      <c r="E132" s="338"/>
      <c r="F132" s="371"/>
      <c r="G132" s="371"/>
      <c r="H132" s="371"/>
      <c r="I132" s="1649"/>
      <c r="J132" s="583"/>
      <c r="AF132" s="1633">
        <v>13</v>
      </c>
    </row>
    <row r="133" s="1643" customFormat="1" ht="11.5" customHeight="1">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r="134" s="1643" customFormat="1" ht="11.5" customHeight="1">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r="135" s="1643" customFormat="1" ht="11.5" customHeight="1">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r="136" s="1643" customFormat="1" ht="11.5" customHeight="1">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r="137" s="1643" customFormat="1" ht="11.5" customHeight="1">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r="138" s="1643" customFormat="1" ht="11.5" customHeight="1">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r="139" s="1643" customFormat="1" ht="11.5" customHeight="1">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r="140" s="1643" customFormat="1" ht="11.5" customHeight="1">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r="141" s="1643" customFormat="1" ht="11.5" customHeight="1">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r="142" s="1643" customFormat="1" ht="11.5" customHeight="1">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r="143" s="1643" customFormat="1" ht="11.5" customHeight="1">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r="144" s="1643" customFormat="1" ht="11.5" customHeight="1">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r="145" s="1643" customFormat="1" ht="11.5" customHeight="1">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r="146" s="1643" customFormat="1" ht="11.5" customHeight="1">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r="147" s="1643" customFormat="1" ht="11.5" customHeight="1">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r="148" s="1643" customFormat="1" ht="11.5" customHeight="1">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r="149" s="1643" customFormat="1" ht="11.5" customHeight="1">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r="150" s="1643" customFormat="1" ht="11.5" customHeight="1">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r="151" s="1643" customFormat="1" ht="11.5" customHeight="1">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r="152" s="1643" customFormat="1" ht="11.5" customHeight="1">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r="153" s="1643" customFormat="1" ht="11.5" customHeight="1">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r="154" s="1643" customFormat="1" ht="11.5" customHeight="1">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r="155" s="1643" customFormat="1" ht="11.5" customHeight="1">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r="156" s="1643" customFormat="1" ht="11.5" customHeight="1">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r="157" s="1643" customFormat="1" ht="11.5" customHeight="1">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r="158" s="1643" customFormat="1" ht="11.5" customHeight="1">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r="159" s="1643" customFormat="1" ht="11.5" customHeight="1">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r="160" s="1643" customFormat="1" ht="11.5" customHeight="1">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r="161" s="1643" customFormat="1" ht="11.5" customHeight="1">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r="162" s="1643" customFormat="1" ht="11.5" customHeight="1">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r="163" s="1643" customFormat="1" ht="11.5" customHeight="1">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r="164" s="1643" customFormat="1" ht="11.5" customHeight="1">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r="165" s="1643" customFormat="1" ht="11.5" customHeight="1">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r="166" s="1643" customFormat="1" ht="11.5" customHeight="1">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r="167" s="1643" customFormat="1" ht="11.5" customHeight="1">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r="168" s="1643" customFormat="1" ht="11.5" customHeight="1">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r="169" s="1643" customFormat="1" ht="11.5" customHeight="1">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r="170" s="1643" customFormat="1" ht="11.5" customHeight="1">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r="171" s="1643" customFormat="1" ht="11.5" customHeight="1">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r="172" s="1643" customFormat="1" ht="11.5" customHeight="1">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r="173" s="1643" customFormat="1" ht="11.5" customHeight="1">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r="174" s="1643" customFormat="1" ht="11.5" customHeight="1">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r="175" s="1643" customFormat="1" ht="11.5" customHeight="1">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r="176" s="1643" customFormat="1" ht="11.5" customHeight="1">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r="177" s="1643" customFormat="1" ht="11.5" customHeight="1">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r="178" s="1643" customFormat="1" ht="11.5" customHeight="1">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r="179" s="1643" customFormat="1" ht="11.5" customHeight="1">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r="180" s="1643" customFormat="1" ht="11.5" customHeight="1">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r="181" s="1643" customFormat="1" ht="11.5" customHeight="1">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r="182" s="1643" customFormat="1" ht="11.5" customHeight="1">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r="183" s="1643" customFormat="1" ht="11.5" customHeight="1">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r="184" s="1643" customFormat="1" ht="11.5" customHeight="1">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r="185" s="1643" customFormat="1" ht="11.5" customHeight="1">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r="186" s="1643" customFormat="1" ht="11.5" customHeight="1">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r="187" s="1643" customFormat="1" ht="11.5" customHeight="1">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r="188" s="1643" customFormat="1" ht="11.5" customHeight="1">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r="189" s="1643" customFormat="1" ht="11.5" customHeight="1">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r="190" s="1643" customFormat="1" ht="11.5" customHeight="1">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r="191" s="1643" customFormat="1" ht="11.5" customHeight="1">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r="192" s="1643" customFormat="1" ht="11.5" customHeight="1">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r="193" s="1643" customFormat="1" ht="11.5" customHeight="1">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r="194" s="1643" customFormat="1" ht="11.5" customHeight="1">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r="195" s="1643" customFormat="1" ht="11.5" customHeight="1">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r="196" s="1643" customFormat="1" ht="11.5" customHeight="1">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r="197" s="1643" customFormat="1" ht="11.5" customHeight="1">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r="198" s="1643" customFormat="1" ht="11.5" customHeight="1">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r="199" s="1643" customFormat="1" ht="11.5" customHeight="1">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r="200" s="1643" customFormat="1" ht="11.5" customHeight="1">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r="201" s="1643" customFormat="1" ht="11.5" customHeight="1">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r="202" s="1643" customFormat="1" ht="11.5" customHeight="1">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r="203" s="1643" customFormat="1" ht="11.5" customHeight="1">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r="204" s="1643" customFormat="1" ht="11.5" customHeight="1">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r="205" s="1643" customFormat="1" ht="11.5" customHeight="1">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r="206" s="1643" customFormat="1" ht="11.5" customHeight="1">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r="207" s="1643" customFormat="1" ht="11.5" customHeight="1">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r="208" s="1643" customFormat="1" ht="11.5" customHeight="1">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r="209" s="1643" customFormat="1" ht="11.5" customHeight="1">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r="210" s="1643" customFormat="1" ht="11.5" customHeight="1">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r="211" s="1643" customFormat="1" ht="11.5" customHeight="1">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r="212" s="1643" customFormat="1" ht="11.5" customHeight="1">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r="213" s="1643" customFormat="1" ht="11.5" customHeight="1">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r="214" s="1643" customFormat="1" ht="11.5" customHeight="1">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r="215" s="1643" customFormat="1" ht="11.5" customHeight="1">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r="216" s="1643" customFormat="1" ht="11.5" customHeight="1">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r="217" s="1643" customFormat="1" ht="11.5" customHeight="1">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r="218" s="1643" customFormat="1" ht="11.5" customHeight="1">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r="219" s="1643" customFormat="1" ht="11.5" customHeight="1">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r="220" s="1643" customFormat="1" ht="11.5" customHeight="1">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r="221" s="1643" customFormat="1" ht="11.5" customHeight="1">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r="222" s="1643" customFormat="1" ht="11.5" customHeight="1">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r="223" s="1643" customFormat="1" ht="11.5" customHeight="1">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r="224" s="1643" customFormat="1" ht="11.5" customHeight="1">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r="225" s="1643" customFormat="1" ht="11.5" customHeight="1">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r="226" s="1643" customFormat="1" ht="11.5" customHeight="1">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r="227" s="1643" customFormat="1" ht="11.5" customHeight="1">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r="228" s="1643" customFormat="1" ht="11.5" customHeight="1">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r="229" s="1643" customFormat="1" ht="11.5" customHeight="1">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r="230" s="1643" customFormat="1" ht="11.5" customHeight="1">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r="231" s="1643" customFormat="1" ht="11.5" customHeight="1">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r="232" s="1643" customFormat="1" ht="11.5" customHeight="1">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r="233" s="1643" customFormat="1" ht="11.5" customHeight="1">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r="234" s="1643" customFormat="1" ht="11.5" customHeight="1">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r="235" s="1643" customFormat="1" ht="11.5" customHeight="1">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r="236" s="1643" customFormat="1" ht="11.5" customHeight="1">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r="237" s="1643" customFormat="1" ht="11.5" customHeight="1">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r="238" s="1643" customFormat="1" ht="11.5" customHeight="1">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r="239" s="1643" customFormat="1" ht="11.5" customHeight="1">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r="240" s="1643" customFormat="1" ht="11.5" customHeight="1">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r="241" s="1643" customFormat="1" ht="11.5" customHeight="1">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r="242" s="1643" customFormat="1" ht="11.5" customHeight="1">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r="243" s="1643" customFormat="1" ht="11.5" customHeight="1">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r="244" s="1643" customFormat="1" ht="11.5" customHeight="1">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r="245" s="1643" customFormat="1" ht="11.5" customHeight="1">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r="246" s="1643" customFormat="1" ht="11.5" customHeight="1">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r="247" s="1643" customFormat="1" ht="11.5" customHeight="1">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r="248" s="1643" customFormat="1" ht="11.5" customHeight="1">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r="249" s="1643" customFormat="1" ht="11.5" customHeight="1">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r="250" s="1643" customFormat="1" ht="11.5" customHeight="1">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r="251" s="1643" customFormat="1" ht="11.5" customHeight="1">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r="252" s="1643" customFormat="1" ht="11.5" customHeight="1">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r="253" s="1643" customFormat="1" ht="11.5" customHeight="1">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r="254" s="1643" customFormat="1" ht="11.5" customHeight="1">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r="255" s="1643" customFormat="1" ht="11.5" customHeight="1">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r="256" s="1643" customFormat="1" ht="11.5" customHeight="1">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r="257" s="1643" customFormat="1" ht="11.5" customHeight="1">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r="258" s="1643" customFormat="1" ht="11.5" customHeight="1">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r="259" s="1643" customFormat="1" ht="11.5" customHeight="1">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r="260" s="1643" customFormat="1" ht="11.5" customHeight="1">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r="261" s="1643" customFormat="1" ht="11.5" customHeight="1">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r="262" s="1643" customFormat="1" ht="11.5" customHeight="1">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r="263" s="1643" customFormat="1" ht="11.5" customHeight="1">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r="264" s="1643" customFormat="1" ht="11.5" customHeight="1">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r="265" s="1643" customFormat="1" ht="11.5" customHeight="1">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r="266" s="1643" customFormat="1" ht="11.5" customHeight="1">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r="267" s="1643" customFormat="1" ht="11.5" customHeight="1">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r="268" s="1643" customFormat="1" ht="11.5" customHeight="1">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r="269" s="1643" customFormat="1" ht="11.5" customHeight="1">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r="270" s="1643" customFormat="1" ht="11.5" customHeight="1">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r="271" s="1643" customFormat="1" ht="11.5" customHeight="1">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r="272" s="1643" customFormat="1" ht="11.5" customHeight="1">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r="273" s="1643" customFormat="1" ht="11.5" customHeight="1">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r="274" s="1643" customFormat="1" ht="11.5" customHeight="1">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r="275" s="1643" customFormat="1" ht="11.5" customHeight="1">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r="276" s="1643" customFormat="1" ht="11.5" customHeight="1">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r="277" s="1643" customFormat="1" ht="11.5" customHeight="1">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r="278" s="1643" customFormat="1" ht="11.5" customHeight="1">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r="279" s="1643" customFormat="1" ht="11.5" customHeight="1">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r="280" s="1643" customFormat="1" ht="11.5" customHeight="1">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r="281" s="1643" customFormat="1" ht="11.5" customHeight="1">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r="282" s="1643" customFormat="1" ht="11.5" customHeight="1">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r="283" s="1643" customFormat="1" ht="11.5" customHeight="1">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r="284" s="1643" customFormat="1" ht="11.5" customHeight="1">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r="285" s="1643" customFormat="1" ht="11.5" customHeight="1">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r="286" s="1643" customFormat="1" ht="11.5" customHeight="1">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r="287" s="1643" customFormat="1" ht="11.5" customHeight="1">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r="288" s="1643" customFormat="1" ht="11.5" customHeight="1">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r="289" ht="11.5" customHeight="1">
      <c r="AF289" s="1633">
        <v>11</v>
      </c>
    </row>
    <row r="290" ht="11.5" customHeight="1">
      <c r="AF290" s="1633">
        <v>11</v>
      </c>
    </row>
    <row r="291" ht="11.5" customHeight="1">
      <c r="AF291" s="1633">
        <v>11</v>
      </c>
    </row>
    <row r="292" ht="11.5" customHeight="1">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r="293" ht="11.5" customHeight="1">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r="294" ht="11.5" customHeight="1">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r="295" ht="11.5" customHeight="1">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r="296" ht="11.5" customHeight="1">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r="297" ht="11.5" customHeight="1">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r="298" ht="11.5" customHeight="1">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r="299" ht="11.5" customHeight="1">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r="300" ht="11.5" customHeight="1">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r="301" ht="11.5" customHeight="1">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r="302" ht="11.5" customHeight="1">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r="303" ht="11.25" hidden="1" customHeight="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autoFilter="0" deleteColumns="0" deleteRows="0" formatColumns="0" formatRows="0" insertColumns="1" insertRows="0" sort="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
    <dataValidation sqref="H68:I68 H66:I66"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x14:dataValidation xr:uid="{009900D2-00F4-49A2-AEEF-006E001E0036}" type="list" allowBlank="1" error="Выберите значение из списка" errorTitle="Ошибка" prompt="Выберите значение из списка" showErrorMessage="1" showInputMessage="1">
          <x14:formula1>
            <xm:f>kind_of_purchase_method</xm:f>
          </x14:formula1>
          <xm:sqref>H7:I7</xm:sqref>
        </x14:dataValidation>
        <x14:dataValidation xr:uid="{00510076-00AC-464D-9CA4-0095001C0092}"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F12 F10 H70:I70</xm:sqref>
        </x14:dataValidation>
        <x14:dataValidation xr:uid="{00EA0099-008D-4130-B9CE-00C900F50003}" type="textLength" allowBlank="1" error="Допускается ввод не более 900 символов!" errorTitle="Ошибка" operator="lessThanOrEqual" showErrorMessage="1" showInputMessage="1">
          <x14:formula1>
            <xm:f>900</xm:f>
          </x14:formula1>
          <xm:sqref>G4 H34:I34 H39:I39</xm:sqref>
        </x14:dataValidation>
        <x14:dataValidation xr:uid="{00D40031-0062-469E-8229-00E100910048}" type="decimal" allowBlank="1" error="Допускается ввод только неотрицательных чисел!" errorTitle="Ошибка" showErrorMessage="1">
          <x14:formula1>
            <xm:f>0</xm:f>
          </x14:formula1>
          <x14:formula2>
            <xm:f>9.99999999999999E+23</xm:f>
          </x14:formula2>
          <xm:sqref>H67:I67 H69:I69 H91:I94 H127:I127 H30:I30 H32:I33 H35:I38 H40:I65 H82:I86 H17:I17 H9:I13 H15:I15 H96:I119 H74:I74 H88:I89 H4:I6</xm:sqref>
        </x14:dataValidation>
        <x14:dataValidation xr:uid="{002600BC-003E-4E94-9592-006B009F0080}" type="textLength" allowBlank="1" error="Допускается ввод не более 900 символов!" errorTitle="Ошибка" operator="lessThanOrEqual" prompt="Введите источник тепловой энергии" showErrorMessage="1" showInputMessage="1">
          <x14:formula1>
            <xm:f>900</xm:f>
          </x14:formula1>
          <xm:sqref>1:1</xm:sqref>
        </x14:dataValidation>
        <x14:dataValidation xr:uid="{000100F8-0023-43FD-88BE-00AD0051005A}" type="list" allowBlank="1" error="Выберите значение из списка" errorTitle="Ошибка" prompt="Выберите значение из списка" showErrorMessage="1" showInputMessage="1">
          <x14:formula1>
            <xm:f>kind_of_fuels</xm:f>
          </x14:formula1>
          <xm:sqref>F2</xm:sqref>
        </x14:dataValidation>
        <x14:dataValidation xr:uid="{00970032-000D-4C4F-A95D-007300C10018}" type="list" allowBlank="1" error="Выберите значение из списка" errorTitle="Ошибка" prompt="Выберите значение из списка" showErrorMessage="1" showInputMessage="1">
          <x14:formula1>
            <xm:f>kind_of_volume_te_unit</xm:f>
          </x14:formula1>
          <xm:sqref>G93</xm:sqref>
        </x14:dataValidation>
        <x14:dataValidation xr:uid="{00F70011-0047-4776-AB36-00150014009E}"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H128:I130 H81:I81</xm:sqref>
        </x14:dataValidation>
        <x14:dataValidation xr:uid="{001500A1-00D5-49BA-A279-0019007C00E6}" type="decimal" allowBlank="1" error="Допускается ввод только действительных чисел!" errorTitle="Ошибка" showErrorMessage="1">
          <x14:formula1>
            <xm:f>-9.99999999999999E+23</xm:f>
          </x14:formula1>
          <x14:formula2>
            <xm:f>9.99999999999999E+23</xm:f>
          </x14:formula2>
          <xm:sqref>H72:I73</xm:sqref>
        </x14:dataValidation>
        <x14:dataValidation xr:uid="{00890025-00B5-4971-8832-00BC004E0027}" type="decimal" allowBlank="1" error="Допускается ввод только действительных чисел!" errorTitle="Ошибка" showErrorMessage="1">
          <x14:formula1>
            <xm:f>-9.99999999999999E+37</xm:f>
          </x14:formula1>
          <x14:formula2>
            <xm:f>9.99999999999999E+37</xm:f>
          </x14:formula2>
          <xm:sqref>H123:I123 H120:I120 H126:I126 H75:I80</xm:sqref>
        </x14:dataValidation>
        <x14:dataValidation xr:uid="{0044005D-0004-46A6-A7CF-00D100990076}" type="decimal" allowBlank="1" error="Введите значение от 0 до 100%" errorTitle="Ошибка" showErrorMessage="1">
          <x14:formula1>
            <xm:f>0</xm:f>
          </x14:formula1>
          <x14:formula2>
            <xm:f>100</xm:f>
          </x14:formula2>
          <xm:sqref>H90:I90 H95:I95</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1.25" customHeight="1"/>
  <cols>
    <col customWidth="1" hidden="1" min="1" max="1" style="945" width="14.7109375"/>
    <col customWidth="1" hidden="1" min="2" max="2" style="1634" width="17.00390625"/>
    <col customWidth="1" min="3" max="3" style="1637" width="3.00390625"/>
    <col customWidth="1" hidden="1" min="4" max="4" style="1637" width="1.8515625"/>
    <col customWidth="1" min="5" max="6" style="1637" width="7.00390625"/>
    <col customWidth="1" min="7" max="7" style="1637" width="29.00390625"/>
    <col customWidth="1" min="8" max="8" style="1637" width="3.7109375"/>
    <col customWidth="1" min="9" max="9" style="1637" width="5.00390625"/>
    <col customWidth="1" min="10" max="11" style="1637" width="24.00390625"/>
    <col customWidth="1" min="12" max="12" style="1637" width="3.00390625"/>
    <col customWidth="1" min="13" max="13" style="1637" width="6.00390625"/>
    <col customWidth="1" min="14" max="14" style="1637" width="25.00390625"/>
    <col customWidth="1" min="15" max="18" style="1637" width="18.00390625"/>
    <col customWidth="1" min="19" max="19" style="1637" width="93.00390625"/>
    <col customWidth="1" min="20" max="20" style="1637" width="10.00390625"/>
    <col customWidth="1" min="21" max="21" style="1644" width="10.00390625"/>
    <col customWidth="1" min="22" max="22" style="1644" width="11.00390625"/>
    <col customWidth="1" min="23" max="27" style="1634" width="10.00390625"/>
    <col customWidth="1" min="28" max="83" style="1637" width="8.00390625"/>
    <col hidden="1" min="84" max="84" style="1637" width="9.140625"/>
  </cols>
  <sheetData>
    <row r="1" ht="22.5" hidden="1" customHeight="1">
      <c r="CF1" s="507" t="s">
        <v>14</v>
      </c>
    </row>
    <row r="2" ht="11.25" hidden="1" customHeight="1">
      <c r="CF2" s="507">
        <v>0</v>
      </c>
    </row>
    <row r="3" ht="11.25" hidden="1" customHeight="1">
      <c r="CF3" s="507">
        <v>0</v>
      </c>
    </row>
    <row r="4" ht="3" customHeight="1">
      <c r="C4" s="511"/>
      <c r="D4" s="511"/>
      <c r="E4" s="511"/>
      <c r="F4" s="511"/>
      <c r="G4" s="511"/>
      <c r="H4" s="511"/>
      <c r="I4" s="511"/>
      <c r="J4" s="511"/>
      <c r="K4" s="168"/>
      <c r="L4" s="168"/>
      <c r="M4" s="168"/>
      <c r="CF4" s="507">
        <v>3</v>
      </c>
    </row>
    <row r="5" ht="29.25" customHeight="1">
      <c r="C5" s="511"/>
      <c r="D5" s="1059"/>
      <c r="E5" s="2239" t="str">
        <f>FHD20_NAME_FORM</f>
        <v xml:space="preserve">Форма 11. Информация о расходах на капитальный и текущий ремонт основных средств</v>
      </c>
      <c r="F5" s="2239"/>
      <c r="G5" s="2239"/>
      <c r="H5" s="2239"/>
      <c r="I5" s="2239"/>
      <c r="J5" s="2239"/>
      <c r="K5" s="2239"/>
      <c r="L5" s="615"/>
      <c r="M5" s="615"/>
      <c r="CF5" s="507">
        <v>28</v>
      </c>
    </row>
    <row r="6" s="1637" customFormat="1" ht="16.800000000000001" customHeight="1">
      <c r="A6" s="612"/>
      <c r="B6" s="761"/>
      <c r="C6" s="511"/>
      <c r="D6" s="1060"/>
      <c r="E6" s="2178" t="str">
        <f>IF(org=0,"Не определено",org)</f>
        <v xml:space="preserve">филиал ПАО "ОГК-2" - Рязанская ГРЭС</v>
      </c>
      <c r="F6" s="2178"/>
      <c r="G6" s="2178"/>
      <c r="H6" s="2178"/>
      <c r="I6" s="2178"/>
      <c r="J6" s="2178"/>
      <c r="K6" s="2178"/>
      <c r="L6" s="615"/>
      <c r="M6" s="615"/>
      <c r="U6" s="613"/>
      <c r="V6" s="613"/>
      <c r="W6" s="614"/>
      <c r="X6" s="761"/>
      <c r="Y6" s="761"/>
      <c r="Z6" s="761"/>
      <c r="AA6" s="761"/>
      <c r="CF6" s="760">
        <v>16</v>
      </c>
    </row>
    <row r="7" ht="11.5" customHeight="1">
      <c r="C7" s="511"/>
      <c r="D7" s="511"/>
      <c r="E7" s="511"/>
      <c r="F7" s="511"/>
      <c r="G7" s="524"/>
      <c r="H7" s="524"/>
      <c r="I7" s="524"/>
      <c r="J7" s="524"/>
      <c r="K7" s="616"/>
      <c r="L7" s="616"/>
      <c r="M7" s="616"/>
      <c r="R7" s="754"/>
      <c r="CF7" s="507">
        <v>11</v>
      </c>
    </row>
    <row r="8" s="1643" customFormat="1" ht="4.2000000000000002" customHeight="1">
      <c r="A8" s="623"/>
      <c r="B8" s="568"/>
      <c r="C8" s="353"/>
      <c r="D8" s="353"/>
      <c r="E8" s="353"/>
      <c r="F8" s="353"/>
      <c r="G8" s="977"/>
      <c r="H8" s="977"/>
      <c r="I8" s="977"/>
      <c r="J8" s="977"/>
      <c r="K8" s="1020"/>
      <c r="L8" s="1020"/>
      <c r="M8" s="1020"/>
      <c r="R8" s="1021"/>
      <c r="U8" s="613"/>
      <c r="V8" s="613"/>
      <c r="W8" s="624"/>
      <c r="X8" s="568"/>
      <c r="Y8" s="568"/>
      <c r="Z8" s="568"/>
      <c r="AA8" s="568"/>
      <c r="CF8" s="498">
        <v>4</v>
      </c>
    </row>
    <row r="9" ht="19.949999999999999" customHeight="1">
      <c r="D9" s="291"/>
      <c r="E9" s="2103" t="s">
        <v>300</v>
      </c>
      <c r="F9" s="2104"/>
      <c r="G9" s="2104"/>
      <c r="H9" s="2104"/>
      <c r="I9" s="2104"/>
      <c r="J9" s="2104"/>
      <c r="K9" s="2104"/>
      <c r="L9" s="2104"/>
      <c r="M9" s="2104"/>
      <c r="N9" s="2104"/>
      <c r="O9" s="2104"/>
      <c r="P9" s="2104"/>
      <c r="Q9" s="2104"/>
      <c r="R9" s="2105"/>
      <c r="S9" s="2129" t="s">
        <v>301</v>
      </c>
      <c r="T9" s="336"/>
      <c r="CF9" s="507">
        <v>19</v>
      </c>
    </row>
    <row r="10" ht="48.25" customHeight="1">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r="11" s="1644" customFormat="1" ht="15" hidden="1" customHeight="1">
      <c r="A11" s="1054"/>
      <c r="D11" s="1027" t="s">
        <v>110</v>
      </c>
      <c r="E11" s="1027"/>
      <c r="F11" s="1027" t="s">
        <v>111</v>
      </c>
      <c r="G11" s="1027" t="s">
        <v>90</v>
      </c>
      <c r="H11" s="1027"/>
      <c r="I11" s="1027" t="s">
        <v>91</v>
      </c>
      <c r="J11" s="1027" t="s">
        <v>112</v>
      </c>
      <c r="K11" s="1027" t="s">
        <v>92</v>
      </c>
      <c r="L11" s="1027"/>
      <c r="M11" s="1027" t="s">
        <v>93</v>
      </c>
      <c r="N11" s="1027" t="s">
        <v>113</v>
      </c>
      <c r="O11" s="1027" t="s">
        <v>150</v>
      </c>
      <c r="P11" s="1027" t="s">
        <v>151</v>
      </c>
      <c r="Q11" s="1027" t="s">
        <v>152</v>
      </c>
      <c r="R11" s="1027" t="s">
        <v>153</v>
      </c>
      <c r="S11" s="1027" t="s">
        <v>154</v>
      </c>
      <c r="U11" s="613"/>
      <c r="V11" s="613"/>
      <c r="W11" s="613"/>
      <c r="CF11" s="513">
        <v>0</v>
      </c>
    </row>
    <row r="12" s="1637" customFormat="1" ht="1.05" customHeight="1">
      <c r="A12" s="617"/>
      <c r="B12" s="364"/>
      <c r="D12" s="550"/>
      <c r="E12" s="348"/>
      <c r="F12" s="348"/>
      <c r="Q12" s="618"/>
      <c r="R12" s="619"/>
      <c r="T12" s="620"/>
      <c r="U12" s="621"/>
      <c r="V12" s="621"/>
      <c r="W12" s="622"/>
      <c r="X12" s="364"/>
      <c r="Y12" s="364"/>
      <c r="Z12" s="364"/>
      <c r="AA12" s="364"/>
      <c r="CF12" s="511">
        <v>1</v>
      </c>
    </row>
    <row r="13" s="1643" customFormat="1" ht="1.05" customHeight="1">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r="14" s="1852" customFormat="1" ht="15" hidden="1" customHeight="1">
      <c r="A14" s="625" t="s">
        <v>118</v>
      </c>
      <c r="B14" s="626"/>
      <c r="C14" s="626"/>
      <c r="D14" s="2382" t="s">
        <v>110</v>
      </c>
      <c r="E14" s="2379" t="s">
        <v>106</v>
      </c>
      <c r="F14" s="2380"/>
      <c r="G14" s="2381"/>
      <c r="H14" s="2385" t="str">
        <f>IF(A14="","",INDEX(DIFFERENTIATION_UNMERGE_VD,MATCH(A14,DIFFERENTIATION_ID_DIFF,0)))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r="15" s="1852" customFormat="1" ht="15" hidden="1" customHeight="1">
      <c r="A15" s="625"/>
      <c r="B15" s="626"/>
      <c r="C15" s="626"/>
      <c r="D15" s="2383"/>
      <c r="E15" s="2379" t="s">
        <v>564</v>
      </c>
      <c r="F15" s="2380"/>
      <c r="G15" s="2381"/>
      <c r="H15" s="2385" t="str">
        <f>IF(A14="","",INDEX(DIFFERENTIATION_UNMERGE_AREA,MATCH(A14,DIFFERENTIATION_ID_DIFF,0)))</f>
        <v xml:space="preserve">без дифференциации</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r="16" s="1852" customFormat="1" ht="15" hidden="1" customHeight="1">
      <c r="A16" s="625"/>
      <c r="B16" s="626"/>
      <c r="C16" s="626"/>
      <c r="D16" s="2383"/>
      <c r="E16" s="2379" t="s">
        <v>565</v>
      </c>
      <c r="F16" s="2380"/>
      <c r="G16" s="2381"/>
      <c r="H16" s="2385" t="str">
        <f>IF(A14="","",INDEX(DIFFERENTIATION_UNMERGE_SYSTEM,MATCH(A14,DIFFERENTIATION_ID_DIFF,0)))</f>
        <v xml:space="preserve">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r="17" s="1852" customFormat="1" ht="22.5" hidden="1" customHeight="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r="18" s="1852" customFormat="1" ht="11.25" hidden="1" customHeight="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r="19" s="1852" customFormat="1" ht="11.25" hidden="1" customHeight="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r="20" s="1852" customFormat="1" ht="22.5" hidden="1" customHeight="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r="21" s="1852" customFormat="1" ht="11.25" hidden="1" customHeight="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r="22" s="1852" customFormat="1" ht="11.25" hidden="1" customHeight="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r="23" ht="19.949999999999999" customHeight="1">
      <c r="D23" s="1049"/>
      <c r="E23" s="1049"/>
      <c r="F23" s="1049"/>
      <c r="G23" s="1049"/>
      <c r="H23" s="1049"/>
      <c r="I23" s="1049"/>
      <c r="J23" s="1049"/>
      <c r="K23" s="1049"/>
      <c r="L23" s="1049"/>
      <c r="M23" s="1049"/>
      <c r="N23" s="1049"/>
      <c r="O23" s="1049"/>
      <c r="P23" s="1049"/>
      <c r="Q23" s="1049"/>
      <c r="R23" s="1049"/>
      <c r="S23" s="1049"/>
      <c r="T23" s="336"/>
      <c r="CF23" s="507">
        <v>19</v>
      </c>
    </row>
    <row r="24" ht="11.5" customHeight="1">
      <c r="D24" s="511"/>
      <c r="CF24" s="507">
        <v>11</v>
      </c>
    </row>
    <row r="25" ht="11.5" customHeight="1">
      <c r="D25" s="656"/>
      <c r="E25" s="656"/>
      <c r="F25" s="656"/>
      <c r="G25" s="657"/>
      <c r="CF25" s="507">
        <v>11</v>
      </c>
    </row>
    <row r="26" ht="11.5" customHeight="1">
      <c r="CF26" s="507">
        <v>11</v>
      </c>
    </row>
    <row r="27" ht="11.5" customHeight="1">
      <c r="D27" s="658"/>
      <c r="E27" s="2386"/>
      <c r="F27" s="2386"/>
      <c r="G27" s="2386"/>
      <c r="H27" s="2386"/>
      <c r="I27" s="2386"/>
      <c r="J27" s="2386"/>
      <c r="K27" s="2386"/>
      <c r="L27" s="2386"/>
      <c r="M27" s="2386"/>
      <c r="N27" s="2386"/>
      <c r="O27" s="2386"/>
      <c r="P27" s="2386"/>
      <c r="Q27" s="2386"/>
      <c r="R27" s="2386"/>
      <c r="CF27" s="507">
        <v>11</v>
      </c>
    </row>
    <row r="28" ht="11.5" customHeight="1">
      <c r="F28" s="760"/>
      <c r="G28" s="760"/>
      <c r="CF28" s="507">
        <v>11</v>
      </c>
    </row>
    <row r="29" ht="11.25" hidden="1" customHeight="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autoFilter="0" deleteColumns="0" deleteRows="0" formatColumns="0" formatRows="0" insertColumns="1" insertRows="0" sort="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1.25" customHeight="1"/>
  <cols>
    <col customWidth="1" hidden="1" min="1" max="5" style="989" width="10.7109375"/>
    <col customWidth="1" hidden="1" min="6" max="6" style="1368" width="16.8515625"/>
    <col customWidth="1" hidden="1" min="7" max="7" style="1644" width="5.57421875"/>
    <col customWidth="1" min="8" max="8" style="1637" width="3.00390625"/>
    <col customWidth="1" min="9" max="9" style="1637" width="7.00390625"/>
    <col customWidth="1" min="10" max="10" style="1637" width="56.00390625"/>
    <col customWidth="1" min="11" max="11" style="1637" width="10.00390625"/>
    <col customWidth="1" hidden="1" min="12" max="12" style="1637" width="40.57421875"/>
    <col customWidth="1" min="13" max="13" style="1637" width="40.7109375"/>
    <col customWidth="1" hidden="1" min="14" max="14" style="1368" width="9.7109375"/>
    <col customWidth="1" min="15" max="15" style="1637" width="102.00390625"/>
    <col customWidth="1" min="16" max="16" style="1368" width="9.00390625"/>
    <col customWidth="1" min="17" max="17" style="1644" width="5.00390625"/>
    <col customWidth="1" min="18" max="18" style="1644" width="3.00390625"/>
    <col customWidth="1" min="19" max="22" style="1368" width="3.00390625"/>
    <col customWidth="1" min="23" max="23" style="1644" width="10.00390625"/>
    <col customWidth="1" min="24" max="24" style="1368" width="34.00390625"/>
    <col customWidth="1" min="25" max="25" style="1368" width="9.00390625"/>
    <col customWidth="1" min="26" max="26" style="738" width="8.00390625"/>
    <col customWidth="1" min="27" max="31" style="1368" width="8.00390625"/>
    <col customWidth="1" min="32" max="36" style="1634" width="8.00390625"/>
    <col customWidth="1" hidden="1" min="37" max="37" style="1637" width="5.421875"/>
  </cols>
  <sheetData>
    <row r="1" s="1368" customFormat="1" ht="33.75" hidden="1" customHeight="1">
      <c r="A1" s="989"/>
      <c r="B1" s="989"/>
      <c r="C1" s="989"/>
      <c r="D1" s="989"/>
      <c r="E1" s="989"/>
      <c r="G1" s="1638"/>
      <c r="H1" s="880"/>
      <c r="L1" s="1368">
        <v>4</v>
      </c>
      <c r="M1" s="1368">
        <v>4</v>
      </c>
      <c r="Q1" s="1638"/>
      <c r="R1" s="1638"/>
      <c r="W1" s="1638"/>
      <c r="AK1" s="1368" t="s">
        <v>14</v>
      </c>
    </row>
    <row r="2" s="1368" customFormat="1" ht="78.75" hidden="1" customHeight="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r="3" ht="11.25" hidden="1" customHeight="1">
      <c r="E3" s="2053" t="s">
        <v>618</v>
      </c>
      <c r="L3" s="1633">
        <f>0</f>
        <v>0</v>
      </c>
      <c r="M3" s="1633">
        <v>1</v>
      </c>
      <c r="AK3" s="1633">
        <v>0</v>
      </c>
    </row>
    <row r="4" s="1634" customFormat="1" ht="11.25" hidden="1" customHeight="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r="5" ht="11.5" customHeight="1">
      <c r="AK5" s="1633">
        <v>11</v>
      </c>
    </row>
    <row r="6" ht="57.75" customHeight="1">
      <c r="I6" s="2309" t="s">
        <v>619</v>
      </c>
      <c r="J6" s="2309"/>
      <c r="K6" s="2309"/>
      <c r="L6" s="2309"/>
      <c r="M6" s="2309"/>
      <c r="O6" s="558"/>
      <c r="AK6" s="1633">
        <v>55</v>
      </c>
    </row>
    <row r="7" ht="25.199999999999999" customHeight="1">
      <c r="I7" s="2251" t="str">
        <f>IF(org=0,"Не определено",org)</f>
        <v xml:space="preserve">филиал ПАО "ОГК-2" - Рязанская ГРЭС</v>
      </c>
      <c r="J7" s="2251"/>
      <c r="K7" s="2251"/>
      <c r="L7" s="2251"/>
      <c r="M7" s="2251"/>
      <c r="AK7" s="1633">
        <v>24</v>
      </c>
    </row>
    <row r="8" ht="11.5" customHeight="1">
      <c r="I8" s="1137"/>
      <c r="J8" s="1137"/>
      <c r="K8" s="1137"/>
      <c r="L8" s="1137"/>
      <c r="M8" s="1137"/>
      <c r="AK8" s="1633">
        <v>11</v>
      </c>
    </row>
    <row r="9" s="1644" customFormat="1" ht="30" hidden="1" customHeight="1">
      <c r="A9" s="1169"/>
      <c r="B9" s="1169"/>
      <c r="C9" s="1169"/>
      <c r="E9" s="1169"/>
      <c r="H9" s="1644"/>
      <c r="L9" s="891"/>
      <c r="M9" s="891" t="s">
        <v>118</v>
      </c>
      <c r="AK9" s="1638">
        <v>1</v>
      </c>
    </row>
    <row r="10" ht="11.5" customHeight="1">
      <c r="E10" s="2052" t="s">
        <v>620</v>
      </c>
      <c r="I10" s="713"/>
      <c r="J10" s="2369" t="s">
        <v>106</v>
      </c>
      <c r="K10" s="2370"/>
      <c r="L10" s="2031" t="str">
        <f>IF(L9="","",INDEX(DIFFERENTIATION_UNMERGE_VD,MATCH(L9,DIFFERENTIATION_ID_DIFF,0)))</f>
        <v/>
      </c>
      <c r="M10" s="2031" t="str">
        <f>IF(M9="","",INDEX(DIFFERENTIATION_UNMERGE_VD,MATCH(M9,DIFFERENTIATION_ID_DIFF,0)))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O10" s="2129" t="s">
        <v>301</v>
      </c>
      <c r="AK10" s="1633">
        <v>11</v>
      </c>
    </row>
    <row r="11" ht="11.5" customHeight="1">
      <c r="E11" s="2052" t="s">
        <v>621</v>
      </c>
      <c r="I11" s="713"/>
      <c r="J11" s="2369" t="s">
        <v>564</v>
      </c>
      <c r="K11" s="2370"/>
      <c r="L11" s="2031" t="str">
        <f>IF(L9="","",INDEX(DIFFERENTIATION_UNMERGE_AREA,MATCH(L9,DIFFERENTIATION_ID_DIFF,0)))</f>
        <v/>
      </c>
      <c r="M11" s="2031" t="str">
        <f>IF(M9="","",INDEX(DIFFERENTIATION_UNMERGE_AREA,MATCH(M9,DIFFERENTIATION_ID_DIFF,0)))</f>
        <v xml:space="preserve">без дифференциации</v>
      </c>
      <c r="O11" s="2129"/>
      <c r="AK11" s="1633">
        <v>11</v>
      </c>
    </row>
    <row r="12" ht="11.5" customHeight="1">
      <c r="E12" s="2052" t="s">
        <v>622</v>
      </c>
      <c r="I12" s="1664"/>
      <c r="J12" s="2369" t="s">
        <v>565</v>
      </c>
      <c r="K12" s="2370"/>
      <c r="L12" s="2031" t="str">
        <f>IF(L9="","",INDEX(DIFFERENTIATION_UNMERGE_SYSTEM,MATCH(L9,DIFFERENTIATION_ID_DIFF,0)))</f>
        <v/>
      </c>
      <c r="M12" s="2031" t="str">
        <f>IF(M9="","",INDEX(DIFFERENTIATION_UNMERGE_SYSTEM,MATCH(M9,DIFFERENTIATION_ID_DIFF,0)))</f>
        <v xml:space="preserve">без дифференциации</v>
      </c>
      <c r="O12" s="2129"/>
      <c r="AK12" s="1633">
        <v>11</v>
      </c>
    </row>
    <row r="13" ht="11.5" customHeight="1">
      <c r="E13" s="2052" t="s">
        <v>623</v>
      </c>
      <c r="F13" s="2052" t="s">
        <v>624</v>
      </c>
      <c r="I13" s="2371" t="s">
        <v>300</v>
      </c>
      <c r="J13" s="2372"/>
      <c r="K13" s="2372"/>
      <c r="L13" s="2029"/>
      <c r="M13" s="2069"/>
      <c r="O13" s="2129"/>
      <c r="AK13" s="1633">
        <v>11</v>
      </c>
    </row>
    <row r="14" ht="24" customHeight="1">
      <c r="I14" s="2022" t="s">
        <v>88</v>
      </c>
      <c r="J14" s="2022" t="s">
        <v>302</v>
      </c>
      <c r="K14" s="2022" t="s">
        <v>566</v>
      </c>
      <c r="L14" s="2062" t="s">
        <v>303</v>
      </c>
      <c r="M14" s="2063" t="s">
        <v>303</v>
      </c>
      <c r="O14" s="2129"/>
      <c r="AK14" s="1633">
        <v>23</v>
      </c>
    </row>
    <row r="15" ht="24" customHeight="1">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r="16" ht="35.649999999999999" customHeight="1">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r="17" s="1644" customFormat="1" ht="17.25" hidden="1" customHeight="1">
      <c r="A17" s="1169"/>
      <c r="B17" s="1169"/>
      <c r="C17" s="1169"/>
      <c r="D17" s="1169"/>
      <c r="E17" s="1169"/>
      <c r="H17" s="1326"/>
      <c r="I17" s="1015" t="s">
        <v>636</v>
      </c>
      <c r="J17" s="993"/>
      <c r="K17" s="1015"/>
      <c r="L17" s="994"/>
      <c r="M17" s="994"/>
      <c r="O17" s="1387"/>
      <c r="AK17" s="1638">
        <v>1</v>
      </c>
    </row>
    <row r="18" s="1368" customFormat="1" ht="24" customHeight="1">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r="19" ht="19.949999999999999" customHeight="1">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r="20" ht="77.700000000000003" customHeight="1">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r="21" ht="35.649999999999999" customHeight="1">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r="22" ht="48.25" customHeight="1">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r="23" ht="19.949999999999999" customHeight="1">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r="24" ht="19.949999999999999" customHeight="1">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r="25" ht="24" customHeight="1">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r="26" ht="24" customHeight="1">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r="27" ht="24" customHeight="1">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r="28" ht="35.649999999999999" customHeight="1">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r="29" ht="35.649999999999999" customHeight="1">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r="30" ht="24" customHeight="1">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r="31" ht="24" customHeight="1">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r="32" ht="48.25" customHeight="1">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r="33" s="1368" customFormat="1" ht="48.25" customHeight="1">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r="34" ht="108" customHeight="1">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r="35" s="1643" customFormat="1" ht="11.5" customHeight="1">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r="36" s="1643" customFormat="1" ht="11.5" customHeight="1">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r="37" s="1643" customFormat="1" ht="11.5" customHeight="1">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r="38" s="1643" customFormat="1" ht="11.5" customHeight="1">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r="39" s="1643" customFormat="1" ht="11.5" customHeight="1">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r="40" s="1643" customFormat="1" ht="11.5" customHeight="1">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r="41" s="1643" customFormat="1" ht="11.5" customHeight="1">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r="42" s="1643" customFormat="1" ht="11.5" customHeight="1">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r="43" s="1643" customFormat="1" ht="11.5" customHeight="1">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r="44" s="1643" customFormat="1" ht="11.5" customHeight="1">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r="45" s="1643" customFormat="1" ht="11.5" customHeight="1">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r="46" s="1643" customFormat="1" ht="11.5" customHeight="1">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r="47" s="1643" customFormat="1" ht="11.5" customHeight="1">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r="48" s="1643" customFormat="1" ht="11.5" customHeight="1">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r="49" s="1643" customFormat="1" ht="11.5" customHeight="1">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r="50" s="1643" customFormat="1" ht="11.5" customHeight="1">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r="51" s="1643" customFormat="1" ht="11.5" customHeight="1">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r="52" s="1643" customFormat="1" ht="11.5" customHeight="1">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r="53" s="1643" customFormat="1" ht="11.5" customHeight="1">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r="54" s="1643" customFormat="1" ht="11.5" customHeight="1">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r="55" s="1643" customFormat="1" ht="11.5" customHeight="1">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r="56" s="1643" customFormat="1" ht="11.5" customHeight="1">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r="57" s="1643" customFormat="1" ht="11.5" customHeight="1">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r="58" s="1643" customFormat="1" ht="11.5" customHeight="1">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r="59" s="1643" customFormat="1" ht="11.5" customHeight="1">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r="60" s="1643" customFormat="1" ht="11.5" customHeight="1">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r="61" s="1643" customFormat="1" ht="11.5" customHeight="1">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r="62" s="1643" customFormat="1" ht="11.5" customHeight="1">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r="63" s="1643" customFormat="1" ht="11.5" customHeight="1">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r="64" s="1643" customFormat="1" ht="11.5" customHeight="1">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r="65" s="1643" customFormat="1" ht="11.5" customHeight="1">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r="66" s="1643" customFormat="1" ht="11.5" customHeight="1">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r="67" s="1643" customFormat="1" ht="11.5" customHeight="1">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r="68" s="1643" customFormat="1" ht="11.5" customHeight="1">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r="69" s="1643" customFormat="1" ht="11.5" customHeight="1">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r="70" s="1643" customFormat="1" ht="11.5" customHeight="1">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r="71" s="1643" customFormat="1" ht="11.5" customHeight="1">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r="72" s="1643" customFormat="1" ht="11.5" customHeight="1">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r="73" s="1643" customFormat="1" ht="11.5" customHeight="1">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r="74" s="1643" customFormat="1" ht="11.5" customHeight="1">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r="75" s="1643" customFormat="1" ht="11.5" customHeight="1">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r="76" s="1643" customFormat="1" ht="11.5" customHeight="1">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r="77" s="1643" customFormat="1" ht="11.5" customHeight="1">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r="78" s="1643" customFormat="1" ht="11.5" customHeight="1">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r="79" s="1643" customFormat="1" ht="11.5" customHeight="1">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r="80" s="1643" customFormat="1" ht="11.5" customHeight="1">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r="81" s="1643" customFormat="1" ht="11.5" customHeight="1">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r="82" s="1643" customFormat="1" ht="11.5" customHeight="1">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r="83" s="1643" customFormat="1" ht="11.5" customHeight="1">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r="84" s="1643" customFormat="1" ht="11.5" customHeight="1">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r="85" s="1643" customFormat="1" ht="11.5" customHeight="1">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r="86" s="1643" customFormat="1" ht="11.5" customHeight="1">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r="87" s="1643" customFormat="1" ht="11.5" customHeight="1">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r="88" s="1643" customFormat="1" ht="11.5" customHeight="1">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r="89" s="1643" customFormat="1" ht="11.5" customHeight="1">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r="90" s="1643" customFormat="1" ht="11.5" customHeight="1">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r="91" s="1643" customFormat="1" ht="11.5" customHeight="1">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r="92" s="1643" customFormat="1" ht="11.5" customHeight="1">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r="93" s="1643" customFormat="1" ht="11.5" customHeight="1">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r="94" s="1643" customFormat="1" ht="11.5" customHeight="1">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r="95" s="1643" customFormat="1" ht="11.5" customHeight="1">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r="96" s="1643" customFormat="1" ht="11.5" customHeight="1">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r="97" s="1643" customFormat="1" ht="11.5" customHeight="1">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r="98" s="1643" customFormat="1" ht="11.5" customHeight="1">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r="99" s="1643" customFormat="1" ht="11.5" customHeight="1">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r="100" s="1643" customFormat="1" ht="11.5" customHeight="1">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r="101" s="1643" customFormat="1" ht="11.5" customHeight="1">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r="102" s="1643" customFormat="1" ht="11.5" customHeight="1">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r="103" s="1643" customFormat="1" ht="11.5" customHeight="1">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r="104" s="1643" customFormat="1" ht="11.5" customHeight="1">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r="105" s="1643" customFormat="1" ht="11.5" customHeight="1">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r="106" s="1643" customFormat="1" ht="11.5" customHeight="1">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r="107" s="1643" customFormat="1" ht="11.5" customHeight="1">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r="108" s="1643" customFormat="1" ht="11.5" customHeight="1">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r="109" s="1643" customFormat="1" ht="11.5" customHeight="1">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r="110" s="1643" customFormat="1" ht="11.5" customHeight="1">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r="111" s="1643" customFormat="1" ht="11.5" customHeight="1">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r="112" s="1643" customFormat="1" ht="11.5" customHeight="1">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r="113" s="1643" customFormat="1" ht="11.5" customHeight="1">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r="114" s="1643" customFormat="1" ht="11.5" customHeight="1">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r="115" s="1643" customFormat="1" ht="11.5" customHeight="1">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r="116" s="1643" customFormat="1" ht="11.5" customHeight="1">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r="117" s="1643" customFormat="1" ht="11.5" customHeight="1">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r="118" s="1643" customFormat="1" ht="11.5" customHeight="1">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r="119" s="1643" customFormat="1" ht="11.5" customHeight="1">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r="120" s="1643" customFormat="1" ht="11.5" customHeight="1">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r="121" s="1643" customFormat="1" ht="11.5" customHeight="1">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r="122" s="1643" customFormat="1" ht="11.5" customHeight="1">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r="123" s="1643" customFormat="1" ht="11.5" customHeight="1">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r="124" s="1643" customFormat="1" ht="11.5" customHeight="1">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r="125" s="1643" customFormat="1" ht="11.5" customHeight="1">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r="126" s="1643" customFormat="1" ht="11.5" customHeight="1">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r="127" s="1643" customFormat="1" ht="11.5" customHeight="1">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r="128" s="1643" customFormat="1" ht="11.5" customHeight="1">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r="129" s="1643" customFormat="1" ht="11.5" customHeight="1">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r="130" s="1643" customFormat="1" ht="11.5" customHeight="1">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r="131" s="1643" customFormat="1" ht="11.5" customHeight="1">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r="132" s="1643" customFormat="1" ht="11.5" customHeight="1">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r="133" s="1643" customFormat="1" ht="11.5" customHeight="1">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r="134" s="1643" customFormat="1" ht="11.5" customHeight="1">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r="135" s="1643" customFormat="1" ht="11.5" customHeight="1">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r="136" s="1643" customFormat="1" ht="11.5" customHeight="1">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r="137" s="1643" customFormat="1" ht="11.5" customHeight="1">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r="138" s="1643" customFormat="1" ht="11.5" customHeight="1">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r="139" s="1643" customFormat="1" ht="11.5" customHeight="1">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r="140" s="1643" customFormat="1" ht="11.5" customHeight="1">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r="141" s="1643" customFormat="1" ht="11.5" customHeight="1">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r="142" s="1643" customFormat="1" ht="11.5" customHeight="1">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r="143" s="1643" customFormat="1" ht="11.5" customHeight="1">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r="144" s="1643" customFormat="1" ht="11.5" customHeight="1">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r="145" s="1643" customFormat="1" ht="11.5" customHeight="1">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r="146" s="1643" customFormat="1" ht="11.5" customHeight="1">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r="147" s="1643" customFormat="1" ht="11.5" customHeight="1">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r="148" s="1643" customFormat="1" ht="11.5" customHeight="1">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r="149" s="1643" customFormat="1" ht="11.5" customHeight="1">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r="150" s="1643" customFormat="1" ht="11.5" customHeight="1">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r="151" s="1643" customFormat="1" ht="11.5" customHeight="1">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r="152" s="1643" customFormat="1" ht="11.5" customHeight="1">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r="153" s="1643" customFormat="1" ht="11.5" customHeight="1">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r="154" s="1643" customFormat="1" ht="11.5" customHeight="1">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r="155" s="1643" customFormat="1" ht="11.5" customHeight="1">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r="156" s="1643" customFormat="1" ht="11.5" customHeight="1">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r="157" s="1643" customFormat="1" ht="11.5" customHeight="1">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r="158" s="1643" customFormat="1" ht="11.5" customHeight="1">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r="159" s="1643" customFormat="1" ht="11.5" customHeight="1">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r="160" s="1643" customFormat="1" ht="11.5" customHeight="1">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r="161" s="1643" customFormat="1" ht="11.5" customHeight="1">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r="162" s="1643" customFormat="1" ht="11.5" customHeight="1">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r="163" s="1643" customFormat="1" ht="11.5" customHeight="1">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r="164" s="1643" customFormat="1" ht="11.5" customHeight="1">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r="165" s="1643" customFormat="1" ht="11.5" customHeight="1">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r="166" s="1643" customFormat="1" ht="11.5" customHeight="1">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r="167" s="1643" customFormat="1" ht="11.5" customHeight="1">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r="168" s="1643" customFormat="1" ht="11.5" customHeight="1">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r="169" s="1643" customFormat="1" ht="11.5" customHeight="1">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r="170" s="1643" customFormat="1" ht="11.5" customHeight="1">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r="171" s="1643" customFormat="1" ht="11.5" customHeight="1">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r="172" s="1643" customFormat="1" ht="11.5" customHeight="1">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r="173" s="1643" customFormat="1" ht="11.5" customHeight="1">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r="174" s="1643" customFormat="1" ht="11.5" customHeight="1">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r="175" s="1643" customFormat="1" ht="11.5" customHeight="1">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r="176" s="1643" customFormat="1" ht="11.5" customHeight="1">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r="177" s="1643" customFormat="1" ht="11.5" customHeight="1">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r="178" s="1643" customFormat="1" ht="11.5" customHeight="1">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r="179" s="1643" customFormat="1" ht="11.5" customHeight="1">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r="180" s="1643" customFormat="1" ht="11.5" customHeight="1">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r="181" s="1643" customFormat="1" ht="11.5" customHeight="1">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r="182" s="1643" customFormat="1" ht="11.5" customHeight="1">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r="183" s="1643" customFormat="1" ht="11.5" customHeight="1">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r="184" s="1643" customFormat="1" ht="11.5" customHeight="1">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r="185" s="1643" customFormat="1" ht="11.5" customHeight="1">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r="186" s="1643" customFormat="1" ht="11.5" customHeight="1">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r="187" s="1643" customFormat="1" ht="11.5" customHeight="1">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r="188" s="1643" customFormat="1" ht="11.5" customHeight="1">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r="189" s="1643" customFormat="1" ht="11.5" customHeight="1">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r="190" ht="11.5" customHeight="1">
      <c r="AK190" s="1633">
        <v>11</v>
      </c>
    </row>
    <row r="191" ht="11.5" customHeight="1">
      <c r="AK191" s="1633">
        <v>11</v>
      </c>
    </row>
    <row r="192" ht="11.5" customHeight="1">
      <c r="AK192" s="1633">
        <v>11</v>
      </c>
    </row>
    <row r="193" ht="11.5" customHeight="1">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r="194" ht="11.5" customHeight="1">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r="195" ht="11.5" customHeight="1">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r="196" ht="11.5" customHeight="1">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r="197" ht="11.5" customHeight="1">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r="198" ht="11.5" customHeight="1">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r="199" ht="11.5" customHeight="1">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r="200" ht="11.5" customHeight="1">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r="201" ht="11.5" customHeight="1">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r="202" ht="11.5" customHeight="1">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r="203" ht="11.5" customHeight="1">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r="204" ht="12.75" hidden="1" customHeight="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autoFilter="0" deleteColumns="0" deleteRows="0" insertColumns="1" insertRows="0" sort="0"/>
  <mergeCells count="7">
    <mergeCell ref="I6:M6"/>
    <mergeCell ref="I7:M7"/>
    <mergeCell ref="J10:K10"/>
    <mergeCell ref="O10:O14"/>
    <mergeCell ref="J11:K11"/>
    <mergeCell ref="J12:K12"/>
    <mergeCell ref="I13:K13"/>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4">
        <x14:dataValidation xr:uid="{00A00085-0091-43B9-823F-008000720018}" type="decimal" allowBlank="1" error="Допускается ввод только неотрицательных чисел!" errorTitle="Ошибка" showErrorMessage="1">
          <x14:formula1>
            <xm:f>0</xm:f>
          </x14:formula1>
          <x14:formula2>
            <xm:f>9.99999999999999E+23</xm:f>
          </x14:formula2>
          <xm:sqref>L32:M33 L19:M29 L16:M16 L2:M2</xm:sqref>
        </x14:dataValidation>
        <x14:dataValidation xr:uid="{009B00DD-00BB-4474-938B-001A009F000E}"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L17:M17</xm:sqref>
        </x14:dataValidation>
        <x14:dataValidation xr:uid="{00C50003-00E5-404F-853D-00C0009A0009}" type="whole" allowBlank="1" error="Допускается ввод только неотрицательных целых чисел!" errorTitle="Ошибка" showErrorMessage="1">
          <x14:formula1>
            <xm:f>0</xm:f>
          </x14:formula1>
          <x14:formula2>
            <xm:f>9.99999999999999E+23</xm:f>
          </x14:formula2>
          <xm:sqref>L30:M31</xm:sqref>
        </x14:dataValidation>
        <x14:dataValidation xr:uid="{00F10068-00E8-4AD9-A73E-008B00D5007E}"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L15:M15 L34:M34</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10.57421875" defaultRowHeight="14.25" customHeight="1"/>
  <cols>
    <col hidden="1" min="1" max="4" style="1637" width="10.57421875"/>
    <col customWidth="1" hidden="1" min="5" max="5" style="2399" width="9.140625"/>
    <col customWidth="1" hidden="1" min="6" max="7" style="1368" width="9.140625"/>
    <col customWidth="1" min="8" max="8" style="346" width="3.00390625"/>
    <col customWidth="1" min="9" max="9" style="1637" width="6.00390625"/>
    <col customWidth="1" min="10" max="10" style="1637" width="63.00390625"/>
    <col customWidth="1" min="11" max="11" style="1637" width="9.00390625"/>
    <col customWidth="1" min="12" max="12" style="1637" width="39.00390625"/>
    <col customWidth="1" min="13" max="13" style="1637" width="89.00390625"/>
    <col customWidth="1" min="14" max="14" style="1637" width="10.00390625"/>
    <col customWidth="1" min="15" max="16" style="1626" width="10.00390625"/>
    <col customWidth="1" min="17" max="22" style="1637" width="10.00390625"/>
    <col hidden="1" min="23" max="23" style="1637" width="10.57421875"/>
  </cols>
  <sheetData>
    <row r="1" ht="22.5" hidden="1" customHeight="1">
      <c r="S1" s="257"/>
      <c r="T1" s="257"/>
      <c r="V1" s="257"/>
      <c r="W1" s="1633" t="s">
        <v>14</v>
      </c>
    </row>
    <row r="2" ht="22.5" hidden="1" customHeight="1">
      <c r="B2" s="2055" t="s">
        <v>687</v>
      </c>
      <c r="C2" s="2055" t="s">
        <v>688</v>
      </c>
      <c r="D2" s="2054" t="s">
        <v>627</v>
      </c>
      <c r="E2" s="2060">
        <f>I2-3</f>
        <v>-3</v>
      </c>
      <c r="F2" s="2060">
        <f>J2</f>
        <v>0</v>
      </c>
      <c r="H2" s="1732" t="s">
        <v>689</v>
      </c>
      <c r="I2" s="2026"/>
      <c r="J2" s="1684"/>
      <c r="K2" s="2020" t="s">
        <v>306</v>
      </c>
      <c r="L2" s="1166"/>
      <c r="M2" s="299"/>
      <c r="N2" s="1626"/>
      <c r="P2" s="1633"/>
      <c r="W2" s="1633">
        <v>0</v>
      </c>
    </row>
    <row r="3" ht="14.25" hidden="1" customHeight="1">
      <c r="W3" s="1633">
        <v>0</v>
      </c>
    </row>
    <row r="4" ht="6.2999999999999998" customHeight="1">
      <c r="H4" s="378"/>
      <c r="I4" s="459"/>
      <c r="J4" s="459"/>
      <c r="K4" s="459"/>
      <c r="L4" s="87"/>
      <c r="M4" s="87"/>
      <c r="W4" s="1633">
        <v>6</v>
      </c>
    </row>
    <row r="5" ht="50.25" customHeight="1">
      <c r="H5" s="378"/>
      <c r="I5" s="2250" t="s">
        <v>690</v>
      </c>
      <c r="J5" s="2250"/>
      <c r="K5" s="2250"/>
      <c r="L5" s="2250"/>
      <c r="M5" s="268"/>
      <c r="W5" s="1633">
        <v>48</v>
      </c>
    </row>
    <row r="6" ht="18" customHeight="1">
      <c r="H6" s="378"/>
      <c r="I6" s="2251" t="str">
        <f>IF(org=0,"Не определено",org)</f>
        <v xml:space="preserve">филиал ПАО "ОГК-2" - Рязанская ГРЭС</v>
      </c>
      <c r="J6" s="2251"/>
      <c r="K6" s="2251"/>
      <c r="L6" s="2251"/>
      <c r="M6" s="268"/>
      <c r="W6" s="1633">
        <v>17</v>
      </c>
    </row>
    <row r="7" ht="14.65" customHeight="1">
      <c r="H7" s="378"/>
      <c r="I7" s="459"/>
      <c r="J7" s="465"/>
      <c r="K7" s="465"/>
      <c r="L7" s="754"/>
      <c r="M7" s="195"/>
      <c r="W7" s="1633">
        <v>14</v>
      </c>
    </row>
    <row r="8" ht="14.65" customHeight="1">
      <c r="H8" s="378"/>
      <c r="I8" s="2388" t="s">
        <v>300</v>
      </c>
      <c r="J8" s="2389"/>
      <c r="K8" s="2389"/>
      <c r="L8" s="2390"/>
      <c r="M8" s="2391" t="s">
        <v>301</v>
      </c>
      <c r="W8" s="1633">
        <v>14</v>
      </c>
    </row>
    <row r="9" ht="35.649999999999999" customHeight="1">
      <c r="E9" s="2053" t="s">
        <v>618</v>
      </c>
      <c r="F9" s="2053" t="s">
        <v>624</v>
      </c>
      <c r="H9" s="378"/>
      <c r="I9" s="2027" t="s">
        <v>88</v>
      </c>
      <c r="J9" s="2028" t="s">
        <v>302</v>
      </c>
      <c r="K9" s="2066" t="s">
        <v>566</v>
      </c>
      <c r="L9" s="2067" t="s">
        <v>303</v>
      </c>
      <c r="M9" s="2391"/>
      <c r="W9" s="1633">
        <v>34</v>
      </c>
    </row>
    <row r="10" ht="35.649999999999999" customHeight="1">
      <c r="B10" s="2055" t="s">
        <v>691</v>
      </c>
      <c r="C10" s="2055" t="s">
        <v>692</v>
      </c>
      <c r="D10" s="2054" t="s">
        <v>627</v>
      </c>
      <c r="E10" s="2058" t="s">
        <v>628</v>
      </c>
      <c r="F10" s="2058" t="s">
        <v>628</v>
      </c>
      <c r="H10" s="378"/>
      <c r="I10" s="2026" t="s">
        <v>110</v>
      </c>
      <c r="J10" s="1888" t="s">
        <v>693</v>
      </c>
      <c r="K10" s="2020" t="s">
        <v>306</v>
      </c>
      <c r="L10" s="820"/>
      <c r="M10" s="299" t="s">
        <v>694</v>
      </c>
      <c r="W10" s="1633">
        <v>34</v>
      </c>
    </row>
    <row r="11" ht="50.25" customHeight="1">
      <c r="B11" s="2055" t="s">
        <v>695</v>
      </c>
      <c r="C11" s="2055" t="s">
        <v>696</v>
      </c>
      <c r="D11" s="2054" t="s">
        <v>627</v>
      </c>
      <c r="E11" s="2058" t="s">
        <v>628</v>
      </c>
      <c r="F11" s="2058" t="s">
        <v>628</v>
      </c>
      <c r="H11" s="378"/>
      <c r="I11" s="2026" t="s">
        <v>111</v>
      </c>
      <c r="J11" s="1888" t="s">
        <v>697</v>
      </c>
      <c r="K11" s="2020" t="s">
        <v>306</v>
      </c>
      <c r="L11" s="820"/>
      <c r="M11" s="299" t="s">
        <v>694</v>
      </c>
      <c r="W11" s="1633">
        <v>48</v>
      </c>
    </row>
    <row r="12" ht="48.25" customHeight="1">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r="13" ht="14.65" customHeight="1">
      <c r="E13" s="345"/>
      <c r="H13" s="378"/>
      <c r="I13" s="349"/>
      <c r="J13" s="653" t="s">
        <v>702</v>
      </c>
      <c r="K13" s="573"/>
      <c r="L13" s="216"/>
      <c r="M13" s="299"/>
      <c r="W13" s="1633">
        <v>14</v>
      </c>
    </row>
    <row r="14" ht="14.65" customHeight="1">
      <c r="E14" s="345"/>
      <c r="H14" s="378"/>
      <c r="I14" s="1059"/>
      <c r="J14" s="1679"/>
      <c r="K14" s="1680"/>
      <c r="L14" s="1681"/>
      <c r="M14" s="2030"/>
      <c r="W14" s="1633">
        <v>14</v>
      </c>
    </row>
    <row r="15" ht="14.65" customHeight="1">
      <c r="I15" s="1683"/>
      <c r="J15" s="2387"/>
      <c r="K15" s="2387"/>
      <c r="L15" s="2387"/>
      <c r="M15" s="2387"/>
      <c r="W15" s="1633">
        <v>14</v>
      </c>
    </row>
    <row r="16" ht="21" hidden="1" customHeight="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autoFilter="0" deleteColumns="0" deleteRows="0" formatColumns="0" formatRows="0" insertColumns="1" insertRows="0" sort="0"/>
  <mergeCells count="5">
    <mergeCell ref="J15:M15"/>
    <mergeCell ref="I5:L5"/>
    <mergeCell ref="I6:L6"/>
    <mergeCell ref="I8:L8"/>
    <mergeCell ref="M8:M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2">
        <x14:dataValidation xr:uid="{008800B4-0005-457A-9D51-007F00E9005A}" type="textLength" allowBlank="1" error="Допускается ввод не более 900 символов!" errorTitle="Ошибка" operator="lessThanOrEqual" showErrorMessage="1" showInputMessage="1">
          <x14:formula1>
            <xm:f>900</xm:f>
          </x14:formula1>
          <xm:sqref>M10 J2</xm:sqref>
        </x14:dataValidation>
        <x14:dataValidation xr:uid="{009300B4-002E-4D8A-B810-005100CE00A4}"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ErrorMessage="1" showInputMessage="1">
          <x14:formula1>
            <xm:f>900</xm:f>
          </x14:formula1>
          <xm:sqref>L2 L10:L12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1.25" customHeight="1"/>
  <cols>
    <col customWidth="1" hidden="1" min="1" max="1" style="989" width="10.7109375"/>
    <col customWidth="1" hidden="1" min="2" max="2" style="1368" width="16.8515625"/>
    <col customWidth="1" hidden="1" min="3" max="3" style="1644" width="5.57421875"/>
    <col customWidth="1" min="4" max="4" style="1637" width="3.00390625"/>
    <col customWidth="1" min="5" max="5" style="1637" width="7.00390625"/>
    <col customWidth="1" min="6" max="6" style="1637" width="56.00390625"/>
    <col customWidth="1" min="7" max="7" style="1637" width="10.00390625"/>
    <col customWidth="1" hidden="1" min="8" max="8" style="1637" width="40.7109375"/>
    <col customWidth="1" min="9" max="9" style="1637" width="40.00390625"/>
    <col customWidth="1" min="10" max="10" style="1637" width="102.00390625"/>
    <col customWidth="1" min="11" max="11" style="1368" width="9.00390625"/>
    <col customWidth="1" min="12" max="12" style="1644" width="5.00390625"/>
    <col customWidth="1" min="13" max="13" style="1644" width="3.00390625"/>
    <col customWidth="1" min="14" max="17" style="1368" width="3.00390625"/>
    <col customWidth="1" min="18" max="18" style="1644" width="10.00390625"/>
    <col customWidth="1" min="19" max="19" style="1368" width="34.00390625"/>
    <col customWidth="1" min="20" max="20" style="1368" width="9.00390625"/>
    <col customWidth="1" min="21" max="21" style="738" width="8.00390625"/>
    <col customWidth="1" min="22" max="26" style="1368" width="8.00390625"/>
    <col customWidth="1" min="27" max="31" style="1634" width="8.00390625"/>
    <col customWidth="1" hidden="1" min="32" max="32" style="1637" width="10.421875"/>
  </cols>
  <sheetData>
    <row r="1" s="1368" customFormat="1" ht="22.5" hidden="1" customHeight="1">
      <c r="A1" s="989"/>
      <c r="C1" s="1638"/>
      <c r="D1" s="539"/>
      <c r="H1" s="1162">
        <v>4</v>
      </c>
      <c r="I1" s="1162">
        <v>4</v>
      </c>
      <c r="L1" s="1638"/>
      <c r="M1" s="1638"/>
      <c r="R1" s="1638"/>
      <c r="AF1" s="1162" t="s">
        <v>14</v>
      </c>
    </row>
    <row r="2" s="1368" customFormat="1" ht="22.5" hidden="1" customHeight="1">
      <c r="A2" s="989"/>
      <c r="C2" s="1638"/>
      <c r="D2" s="540"/>
      <c r="E2" s="1639"/>
      <c r="F2" s="542"/>
      <c r="G2" s="1641" t="s">
        <v>552</v>
      </c>
      <c r="H2" s="543"/>
      <c r="I2" s="543"/>
      <c r="J2" s="544" t="s">
        <v>703</v>
      </c>
      <c r="K2" s="545"/>
      <c r="L2" s="1638"/>
      <c r="M2" s="1638"/>
      <c r="R2" s="1638"/>
      <c r="U2" s="546"/>
      <c r="AA2" s="1634"/>
      <c r="AB2" s="1634"/>
      <c r="AC2" s="1634"/>
      <c r="AD2" s="1634"/>
      <c r="AE2" s="1634"/>
      <c r="AF2" s="1162">
        <v>0</v>
      </c>
    </row>
    <row r="3" ht="11.25" hidden="1" customHeight="1">
      <c r="AF3" s="1633">
        <v>0</v>
      </c>
    </row>
    <row r="4" s="1634" customFormat="1" ht="11.25" hidden="1" customHeight="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r="5" ht="11.5" customHeight="1">
      <c r="AF5" s="1633">
        <v>11</v>
      </c>
    </row>
    <row r="6" ht="31.5" customHeight="1">
      <c r="E6" s="2309" t="s">
        <v>704</v>
      </c>
      <c r="F6" s="2309"/>
      <c r="G6" s="2309"/>
      <c r="H6" s="2309"/>
      <c r="I6" s="2309"/>
      <c r="J6" s="558"/>
      <c r="AF6" s="1633">
        <v>30</v>
      </c>
    </row>
    <row r="7" ht="11.5" customHeight="1">
      <c r="E7" s="2251" t="str">
        <f>IF(org=0,"Не определено",org)</f>
        <v xml:space="preserve">филиал ПАО "ОГК-2" - Рязанская ГРЭС</v>
      </c>
      <c r="F7" s="2251"/>
      <c r="G7" s="2251"/>
      <c r="H7" s="2251"/>
      <c r="I7" s="2251"/>
      <c r="AF7" s="1633">
        <v>11</v>
      </c>
    </row>
    <row r="8" ht="11.5" customHeight="1">
      <c r="E8" s="1137"/>
      <c r="F8" s="1137"/>
      <c r="G8" s="1137"/>
      <c r="H8" s="1137"/>
      <c r="I8" s="1137"/>
      <c r="AF8" s="1633">
        <v>11</v>
      </c>
    </row>
    <row r="9" s="1644" customFormat="1" ht="4.2000000000000002" customHeight="1">
      <c r="A9" s="1169"/>
      <c r="D9" s="1644"/>
      <c r="H9" s="891"/>
      <c r="I9" s="891" t="s">
        <v>118</v>
      </c>
      <c r="AF9" s="1638">
        <v>4</v>
      </c>
    </row>
    <row r="10" ht="11.5" customHeight="1">
      <c r="E10" s="713"/>
      <c r="F10" s="2369" t="s">
        <v>106</v>
      </c>
      <c r="G10" s="2370"/>
      <c r="H10" s="1554" t="str">
        <f>IF(H9="","",INDEX(DIFFERENTIATION_UNMERGE_VD,MATCH(H9,DIFFERENTIATION_ID_DIFF,0)))</f>
        <v/>
      </c>
      <c r="I10" s="1554" t="str">
        <f>IF(I9="","",INDEX(DIFFERENTIATION_UNMERGE_VD,MATCH(I9,DIFFERENTIATION_ID_DIFF,0)))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10" s="2129"/>
      <c r="AF10" s="1633">
        <v>11</v>
      </c>
    </row>
    <row r="11" ht="11.5" customHeight="1">
      <c r="E11" s="713"/>
      <c r="F11" s="2369" t="s">
        <v>564</v>
      </c>
      <c r="G11" s="2370"/>
      <c r="H11" s="1554" t="str">
        <f>IF(H9="","",INDEX(DIFFERENTIATION_UNMERGE_AREA,MATCH(H9,DIFFERENTIATION_ID_DIFF,0)))</f>
        <v/>
      </c>
      <c r="I11" s="1554" t="str">
        <f>IF(I9="","",INDEX(DIFFERENTIATION_UNMERGE_AREA,MATCH(I9,DIFFERENTIATION_ID_DIFF,0)))</f>
        <v xml:space="preserve">без дифференциации</v>
      </c>
      <c r="J11" s="2129"/>
      <c r="AF11" s="1633">
        <v>11</v>
      </c>
    </row>
    <row r="12" ht="1.05" customHeight="1">
      <c r="E12" s="1664"/>
      <c r="F12" s="2392" t="s">
        <v>565</v>
      </c>
      <c r="G12" s="2393"/>
      <c r="H12" s="1665" t="str">
        <f>IF(H9="","",INDEX(DIFFERENTIATION_UNMERGE_SYSTEM,MATCH(H9,DIFFERENTIATION_ID_DIFF,0)))</f>
        <v/>
      </c>
      <c r="I12" s="1665" t="str">
        <f>IF(I9="","",INDEX(DIFFERENTIATION_UNMERGE_SYSTEM,MATCH(I9,DIFFERENTIATION_ID_DIFF,0)))</f>
        <v xml:space="preserve">без дифференциации</v>
      </c>
      <c r="J12" s="2129"/>
      <c r="AF12" s="1633">
        <v>1</v>
      </c>
    </row>
    <row r="13" ht="11.5" customHeight="1">
      <c r="E13" s="2371" t="s">
        <v>300</v>
      </c>
      <c r="F13" s="2372"/>
      <c r="G13" s="2372"/>
      <c r="H13" s="1553"/>
      <c r="I13" s="1553"/>
      <c r="J13" s="2129"/>
      <c r="AF13" s="1633">
        <v>11</v>
      </c>
    </row>
    <row r="14" ht="24" customHeight="1">
      <c r="E14" s="1641" t="s">
        <v>88</v>
      </c>
      <c r="F14" s="1636" t="s">
        <v>302</v>
      </c>
      <c r="G14" s="1636" t="s">
        <v>566</v>
      </c>
      <c r="H14" s="1636" t="s">
        <v>303</v>
      </c>
      <c r="I14" s="1636" t="s">
        <v>303</v>
      </c>
      <c r="J14" s="2129"/>
      <c r="AF14" s="1633">
        <v>23</v>
      </c>
    </row>
    <row r="15" ht="19.949999999999999" customHeight="1">
      <c r="D15" s="1640"/>
      <c r="E15" s="1632" t="s">
        <v>110</v>
      </c>
      <c r="F15" s="709" t="s">
        <v>705</v>
      </c>
      <c r="G15" s="1648" t="s">
        <v>552</v>
      </c>
      <c r="H15" s="559"/>
      <c r="I15" s="559"/>
      <c r="J15" s="291" t="s">
        <v>706</v>
      </c>
      <c r="K15" s="545" t="s">
        <v>630</v>
      </c>
      <c r="AF15" s="1633">
        <v>19</v>
      </c>
    </row>
    <row r="16" ht="35.649999999999999" customHeight="1">
      <c r="D16" s="1640"/>
      <c r="E16" s="1632" t="s">
        <v>111</v>
      </c>
      <c r="F16" s="709" t="s">
        <v>707</v>
      </c>
      <c r="G16" s="1648" t="s">
        <v>552</v>
      </c>
      <c r="H16" s="560">
        <f>SUM(H17,H20:H32)</f>
        <v>0</v>
      </c>
      <c r="I16" s="560">
        <f>SUM(I17,I20,I23,I26,I29:I32)</f>
        <v>0</v>
      </c>
      <c r="J16" s="291" t="s">
        <v>708</v>
      </c>
      <c r="K16" s="545" t="s">
        <v>630</v>
      </c>
      <c r="AF16" s="1633">
        <v>34</v>
      </c>
    </row>
    <row r="17" ht="19.949999999999999" customHeight="1">
      <c r="D17" s="1640"/>
      <c r="E17" s="1666" t="s">
        <v>709</v>
      </c>
      <c r="F17" s="956" t="s">
        <v>710</v>
      </c>
      <c r="G17" s="1645" t="s">
        <v>552</v>
      </c>
      <c r="H17" s="559"/>
      <c r="I17" s="559"/>
      <c r="J17" s="291" t="s">
        <v>711</v>
      </c>
      <c r="K17" s="545"/>
      <c r="AF17" s="1633">
        <v>19</v>
      </c>
    </row>
    <row r="18" ht="24" customHeight="1">
      <c r="D18" s="1640"/>
      <c r="E18" s="1666" t="s">
        <v>712</v>
      </c>
      <c r="F18" s="1652" t="s">
        <v>713</v>
      </c>
      <c r="G18" s="1645" t="s">
        <v>552</v>
      </c>
      <c r="H18" s="559"/>
      <c r="I18" s="559"/>
      <c r="J18" s="291" t="s">
        <v>714</v>
      </c>
      <c r="K18" s="545"/>
      <c r="AF18" s="1633">
        <v>23</v>
      </c>
    </row>
    <row r="19" ht="35.649999999999999" customHeight="1">
      <c r="D19" s="1640"/>
      <c r="E19" s="1666" t="s">
        <v>715</v>
      </c>
      <c r="F19" s="1652" t="s">
        <v>716</v>
      </c>
      <c r="G19" s="1645" t="s">
        <v>552</v>
      </c>
      <c r="H19" s="559"/>
      <c r="I19" s="559"/>
      <c r="J19" s="291"/>
      <c r="K19" s="545"/>
      <c r="AF19" s="1633">
        <v>34</v>
      </c>
    </row>
    <row r="20" ht="19.949999999999999" customHeight="1">
      <c r="D20" s="1640"/>
      <c r="E20" s="1666" t="s">
        <v>307</v>
      </c>
      <c r="F20" s="956" t="s">
        <v>717</v>
      </c>
      <c r="G20" s="1645" t="s">
        <v>552</v>
      </c>
      <c r="H20" s="559"/>
      <c r="I20" s="559"/>
      <c r="J20" s="291" t="s">
        <v>718</v>
      </c>
      <c r="K20" s="545"/>
      <c r="AF20" s="1633">
        <v>19</v>
      </c>
    </row>
    <row r="21" ht="19.949999999999999" customHeight="1">
      <c r="D21" s="1640"/>
      <c r="E21" s="1666" t="s">
        <v>719</v>
      </c>
      <c r="F21" s="1652" t="s">
        <v>720</v>
      </c>
      <c r="G21" s="1645" t="s">
        <v>552</v>
      </c>
      <c r="H21" s="559"/>
      <c r="I21" s="559"/>
      <c r="J21" s="291"/>
      <c r="K21" s="545"/>
      <c r="AF21" s="1633">
        <v>19</v>
      </c>
    </row>
    <row r="22" ht="19.949999999999999" customHeight="1">
      <c r="D22" s="1640"/>
      <c r="E22" s="1666" t="s">
        <v>721</v>
      </c>
      <c r="F22" s="1652" t="s">
        <v>722</v>
      </c>
      <c r="G22" s="1645" t="s">
        <v>552</v>
      </c>
      <c r="H22" s="559"/>
      <c r="I22" s="559"/>
      <c r="J22" s="291"/>
      <c r="K22" s="545"/>
      <c r="AF22" s="1633">
        <v>19</v>
      </c>
    </row>
    <row r="23" ht="24" customHeight="1">
      <c r="D23" s="1640"/>
      <c r="E23" s="1666" t="s">
        <v>310</v>
      </c>
      <c r="F23" s="956" t="s">
        <v>723</v>
      </c>
      <c r="G23" s="1645" t="s">
        <v>552</v>
      </c>
      <c r="H23" s="559"/>
      <c r="I23" s="559"/>
      <c r="J23" s="291" t="s">
        <v>724</v>
      </c>
      <c r="K23" s="545"/>
      <c r="AF23" s="1633">
        <v>23</v>
      </c>
    </row>
    <row r="24" ht="19.949999999999999" customHeight="1">
      <c r="D24" s="1640"/>
      <c r="E24" s="1666" t="s">
        <v>725</v>
      </c>
      <c r="F24" s="1652" t="s">
        <v>726</v>
      </c>
      <c r="G24" s="1645" t="s">
        <v>552</v>
      </c>
      <c r="H24" s="559"/>
      <c r="I24" s="559"/>
      <c r="J24" s="291"/>
      <c r="K24" s="545"/>
      <c r="AF24" s="1633">
        <v>19</v>
      </c>
    </row>
    <row r="25" ht="35.649999999999999" customHeight="1">
      <c r="D25" s="1640"/>
      <c r="E25" s="1666" t="s">
        <v>727</v>
      </c>
      <c r="F25" s="1652" t="s">
        <v>728</v>
      </c>
      <c r="G25" s="1645" t="s">
        <v>552</v>
      </c>
      <c r="H25" s="559"/>
      <c r="I25" s="559"/>
      <c r="J25" s="291"/>
      <c r="K25" s="545"/>
      <c r="AF25" s="1633">
        <v>34</v>
      </c>
    </row>
    <row r="26" ht="24" customHeight="1">
      <c r="D26" s="1640"/>
      <c r="E26" s="1666" t="s">
        <v>729</v>
      </c>
      <c r="F26" s="956" t="s">
        <v>730</v>
      </c>
      <c r="G26" s="1645" t="s">
        <v>552</v>
      </c>
      <c r="H26" s="559"/>
      <c r="I26" s="559"/>
      <c r="J26" s="291" t="s">
        <v>731</v>
      </c>
      <c r="K26" s="545"/>
      <c r="AF26" s="1633">
        <v>23</v>
      </c>
    </row>
    <row r="27" ht="19.949999999999999" customHeight="1">
      <c r="D27" s="1640"/>
      <c r="E27" s="1677" t="s">
        <v>732</v>
      </c>
      <c r="F27" s="1652" t="s">
        <v>733</v>
      </c>
      <c r="G27" s="1656" t="s">
        <v>552</v>
      </c>
      <c r="H27" s="1678"/>
      <c r="I27" s="1678"/>
      <c r="J27" s="291"/>
      <c r="K27" s="545"/>
      <c r="AF27" s="1633">
        <v>19</v>
      </c>
    </row>
    <row r="28" ht="19.949999999999999" customHeight="1">
      <c r="D28" s="1640"/>
      <c r="E28" s="1677" t="s">
        <v>734</v>
      </c>
      <c r="F28" s="1652" t="s">
        <v>735</v>
      </c>
      <c r="G28" s="1656" t="s">
        <v>552</v>
      </c>
      <c r="H28" s="1678"/>
      <c r="I28" s="1678"/>
      <c r="J28" s="291"/>
      <c r="K28" s="545"/>
      <c r="AF28" s="1633">
        <v>19</v>
      </c>
    </row>
    <row r="29" ht="19.949999999999999" customHeight="1">
      <c r="D29" s="1640"/>
      <c r="E29" s="1677" t="s">
        <v>736</v>
      </c>
      <c r="F29" s="956" t="s">
        <v>737</v>
      </c>
      <c r="G29" s="1656" t="s">
        <v>552</v>
      </c>
      <c r="H29" s="1678"/>
      <c r="I29" s="1678"/>
      <c r="J29" s="291"/>
      <c r="K29" s="545"/>
      <c r="AF29" s="1633">
        <v>19</v>
      </c>
    </row>
    <row r="30" ht="19.949999999999999" customHeight="1">
      <c r="D30" s="1640"/>
      <c r="E30" s="1677" t="s">
        <v>738</v>
      </c>
      <c r="F30" s="956" t="s">
        <v>739</v>
      </c>
      <c r="G30" s="1656" t="s">
        <v>552</v>
      </c>
      <c r="H30" s="1678"/>
      <c r="I30" s="1678"/>
      <c r="J30" s="291"/>
      <c r="K30" s="545"/>
      <c r="AF30" s="1633">
        <v>19</v>
      </c>
    </row>
    <row r="31" ht="19.949999999999999" customHeight="1">
      <c r="D31" s="1640"/>
      <c r="E31" s="1677" t="s">
        <v>740</v>
      </c>
      <c r="F31" s="956" t="s">
        <v>741</v>
      </c>
      <c r="G31" s="1656" t="s">
        <v>552</v>
      </c>
      <c r="H31" s="1678"/>
      <c r="I31" s="1678"/>
      <c r="J31" s="291"/>
      <c r="K31" s="545"/>
      <c r="AF31" s="1633">
        <v>19</v>
      </c>
    </row>
    <row r="32" s="1368" customFormat="1" ht="35.649999999999999" customHeight="1">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r="33" s="1644" customFormat="1" ht="1.05" customHeight="1">
      <c r="A33" s="1169"/>
      <c r="D33" s="550"/>
      <c r="E33" s="804" t="str">
        <f>E32&amp;".0"</f>
        <v>2.8.0</v>
      </c>
      <c r="F33" s="993"/>
      <c r="G33" s="553"/>
      <c r="H33" s="994"/>
      <c r="I33" s="994"/>
      <c r="J33" s="995"/>
      <c r="AF33" s="1638">
        <v>1</v>
      </c>
    </row>
    <row r="34" s="1368" customFormat="1" ht="19.949999999999999" customHeight="1">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r="35" ht="60" customHeight="1">
      <c r="D35" s="1640"/>
      <c r="E35" s="1677" t="s">
        <v>746</v>
      </c>
      <c r="F35" s="956" t="s">
        <v>747</v>
      </c>
      <c r="G35" s="1656" t="s">
        <v>552</v>
      </c>
      <c r="H35" s="1678"/>
      <c r="I35" s="1678"/>
      <c r="J35" s="291" t="s">
        <v>748</v>
      </c>
      <c r="K35" s="545"/>
      <c r="AF35" s="1633">
        <v>57</v>
      </c>
    </row>
    <row r="36" s="1368" customFormat="1" ht="24" customHeight="1">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r="37" s="1368" customFormat="1" ht="35.649999999999999" customHeight="1">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r="38" s="1368" customFormat="1" ht="19.949999999999999" customHeight="1">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r="39" s="1368" customFormat="1" ht="24" customHeight="1">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r="40" s="1368" customFormat="1" ht="24" customHeight="1">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r="41" s="1368" customFormat="1" ht="24" customHeight="1">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r="42" s="1368" customFormat="1" ht="24" customHeight="1">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r="43" s="1368" customFormat="1" ht="35.649999999999999" customHeight="1">
      <c r="A43" s="989"/>
      <c r="C43" s="1638" t="s">
        <v>588</v>
      </c>
      <c r="D43" s="1640"/>
      <c r="E43" s="1666" t="s">
        <v>112</v>
      </c>
      <c r="F43" s="709" t="s">
        <v>629</v>
      </c>
      <c r="G43" s="1648" t="s">
        <v>766</v>
      </c>
      <c r="H43" s="403"/>
      <c r="I43" s="403"/>
      <c r="J43" s="291" t="s">
        <v>767</v>
      </c>
      <c r="K43" s="545"/>
      <c r="L43" s="1638"/>
      <c r="M43" s="1638"/>
      <c r="R43" s="1638"/>
      <c r="U43" s="546"/>
      <c r="AA43" s="1634"/>
      <c r="AB43" s="1634"/>
      <c r="AC43" s="1634"/>
      <c r="AD43" s="1634"/>
      <c r="AE43" s="1634"/>
      <c r="AF43" s="1162">
        <v>34</v>
      </c>
    </row>
    <row r="44" s="1368" customFormat="1" ht="35.649999999999999" customHeight="1">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r="45" s="1368" customFormat="1" ht="24" customHeight="1">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r="46" s="1368" customFormat="1" ht="19.949999999999999" customHeight="1">
      <c r="A46" s="989"/>
      <c r="C46" s="1638"/>
      <c r="D46" s="1640"/>
      <c r="E46" s="1666" t="s">
        <v>113</v>
      </c>
      <c r="F46" s="709" t="s">
        <v>774</v>
      </c>
      <c r="G46" s="1645" t="s">
        <v>590</v>
      </c>
      <c r="H46" s="579"/>
      <c r="I46" s="579"/>
      <c r="J46" s="291"/>
      <c r="K46" s="545"/>
      <c r="L46" s="1638"/>
      <c r="M46" s="1638"/>
      <c r="R46" s="1638"/>
      <c r="U46" s="546"/>
      <c r="AA46" s="1634"/>
      <c r="AB46" s="1634"/>
      <c r="AC46" s="1634"/>
      <c r="AD46" s="1634"/>
      <c r="AE46" s="1634"/>
      <c r="AF46" s="1162">
        <v>19</v>
      </c>
    </row>
    <row r="47" ht="11.5" customHeight="1">
      <c r="D47" s="1640"/>
      <c r="AF47" s="1633">
        <v>11</v>
      </c>
    </row>
    <row r="48" s="1643" customFormat="1" ht="11.5" customHeight="1">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r="49" s="1643" customFormat="1" ht="11.5" customHeight="1">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r="50" s="1643" customFormat="1" ht="11.5" customHeight="1">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r="51" s="1643" customFormat="1" ht="11.5" customHeight="1">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r="52" s="1643" customFormat="1" ht="11.5" customHeight="1">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r="53" s="1643" customFormat="1" ht="11.5" customHeight="1">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r="54" s="1643" customFormat="1" ht="11.5" customHeight="1">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r="55" s="1643" customFormat="1" ht="11.5" customHeight="1">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r="56" s="1643" customFormat="1" ht="11.5" customHeight="1">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r="57" s="1643" customFormat="1" ht="11.5" customHeight="1">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r="58" s="1643" customFormat="1" ht="11.5" customHeight="1">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r="59" s="1643" customFormat="1" ht="11.5" customHeight="1">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r="60" s="1643" customFormat="1" ht="11.5" customHeight="1">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r="61" s="1643" customFormat="1" ht="11.5" customHeight="1">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r="62" s="1643" customFormat="1" ht="11.5" customHeight="1">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r="63" s="1643" customFormat="1" ht="11.5" customHeight="1">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r="64" s="1643" customFormat="1" ht="11.5" customHeight="1">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r="65" s="1643" customFormat="1" ht="11.5" customHeight="1">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r="66" s="1643" customFormat="1" ht="11.5" customHeight="1">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r="67" s="1643" customFormat="1" ht="11.5" customHeight="1">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r="68" s="1643" customFormat="1" ht="11.5" customHeight="1">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r="69" s="1643" customFormat="1" ht="11.5" customHeight="1">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r="70" s="1643" customFormat="1" ht="11.5" customHeight="1">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r="71" s="1643" customFormat="1" ht="11.5" customHeight="1">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r="72" s="1643" customFormat="1" ht="11.5" customHeight="1">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r="73" s="1643" customFormat="1" ht="11.5" customHeight="1">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r="74" s="1643" customFormat="1" ht="11.5" customHeight="1">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r="75" s="1643" customFormat="1" ht="11.5" customHeight="1">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r="76" s="1643" customFormat="1" ht="11.5" customHeight="1">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r="77" s="1643" customFormat="1" ht="11.5" customHeight="1">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r="78" s="1643" customFormat="1" ht="11.5" customHeight="1">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r="79" s="1643" customFormat="1" ht="11.5" customHeight="1">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r="80" s="1643" customFormat="1" ht="11.5" customHeight="1">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r="81" s="1643" customFormat="1" ht="11.5" customHeight="1">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r="82" s="1643" customFormat="1" ht="11.5" customHeight="1">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r="83" s="1643" customFormat="1" ht="11.5" customHeight="1">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r="84" s="1643" customFormat="1" ht="11.5" customHeight="1">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r="85" s="1643" customFormat="1" ht="11.5" customHeight="1">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r="86" s="1643" customFormat="1" ht="11.5" customHeight="1">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r="87" s="1643" customFormat="1" ht="11.5" customHeight="1">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r="88" s="1643" customFormat="1" ht="11.5" customHeight="1">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r="89" s="1643" customFormat="1" ht="11.5" customHeight="1">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r="90" s="1643" customFormat="1" ht="11.5" customHeight="1">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r="91" s="1643" customFormat="1" ht="11.5" customHeight="1">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r="92" s="1643" customFormat="1" ht="11.5" customHeight="1">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r="93" s="1643" customFormat="1" ht="11.5" customHeight="1">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r="94" s="1643" customFormat="1" ht="11.5" customHeight="1">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r="95" s="1643" customFormat="1" ht="11.5" customHeight="1">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r="96" s="1643" customFormat="1" ht="11.5" customHeight="1">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r="97" s="1643" customFormat="1" ht="11.5" customHeight="1">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r="98" s="1643" customFormat="1" ht="11.5" customHeight="1">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r="99" s="1643" customFormat="1" ht="11.5" customHeight="1">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r="100" s="1643" customFormat="1" ht="11.5" customHeight="1">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r="101" s="1643" customFormat="1" ht="11.5" customHeight="1">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r="102" s="1643" customFormat="1" ht="11.5" customHeight="1">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r="103" s="1643" customFormat="1" ht="11.5" customHeight="1">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r="104" s="1643" customFormat="1" ht="11.5" customHeight="1">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r="105" s="1643" customFormat="1" ht="11.5" customHeight="1">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r="106" s="1643" customFormat="1" ht="11.5" customHeight="1">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r="107" s="1643" customFormat="1" ht="11.5" customHeight="1">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r="108" s="1643" customFormat="1" ht="11.5" customHeight="1">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r="109" s="1643" customFormat="1" ht="11.5" customHeight="1">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r="110" s="1643" customFormat="1" ht="11.5" customHeight="1">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r="111" s="1643" customFormat="1" ht="11.5" customHeight="1">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r="112" s="1643" customFormat="1" ht="11.5" customHeight="1">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r="113" s="1643" customFormat="1" ht="11.5" customHeight="1">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r="114" s="1643" customFormat="1" ht="11.5" customHeight="1">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r="115" s="1643" customFormat="1" ht="11.5" customHeight="1">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r="116" s="1643" customFormat="1" ht="11.5" customHeight="1">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r="117" s="1643" customFormat="1" ht="11.5" customHeight="1">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r="118" s="1643" customFormat="1" ht="11.5" customHeight="1">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r="119" s="1643" customFormat="1" ht="11.5" customHeight="1">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r="120" s="1643" customFormat="1" ht="11.5" customHeight="1">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r="121" s="1643" customFormat="1" ht="11.5" customHeight="1">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r="122" s="1643" customFormat="1" ht="11.5" customHeight="1">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r="123" s="1643" customFormat="1" ht="11.5" customHeight="1">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r="124" s="1643" customFormat="1" ht="11.5" customHeight="1">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r="125" s="1643" customFormat="1" ht="11.5" customHeight="1">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r="126" s="1643" customFormat="1" ht="11.5" customHeight="1">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r="127" s="1643" customFormat="1" ht="11.5" customHeight="1">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r="128" s="1643" customFormat="1" ht="11.5" customHeight="1">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r="129" s="1643" customFormat="1" ht="11.5" customHeight="1">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r="130" s="1643" customFormat="1" ht="11.5" customHeight="1">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r="131" s="1643" customFormat="1" ht="11.5" customHeight="1">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r="132" s="1643" customFormat="1" ht="11.5" customHeight="1">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r="133" s="1643" customFormat="1" ht="11.5" customHeight="1">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r="134" s="1643" customFormat="1" ht="11.5" customHeight="1">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r="135" s="1643" customFormat="1" ht="11.5" customHeight="1">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r="136" s="1643" customFormat="1" ht="11.5" customHeight="1">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r="137" s="1643" customFormat="1" ht="11.5" customHeight="1">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r="138" s="1643" customFormat="1" ht="11.5" customHeight="1">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r="139" s="1643" customFormat="1" ht="11.5" customHeight="1">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r="140" s="1643" customFormat="1" ht="11.5" customHeight="1">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r="141" s="1643" customFormat="1" ht="11.5" customHeight="1">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r="142" s="1643" customFormat="1" ht="11.5" customHeight="1">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r="143" s="1643" customFormat="1" ht="11.5" customHeight="1">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r="144" s="1643" customFormat="1" ht="11.5" customHeight="1">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r="145" s="1643" customFormat="1" ht="11.5" customHeight="1">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r="146" s="1643" customFormat="1" ht="11.5" customHeight="1">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r="147" s="1643" customFormat="1" ht="11.5" customHeight="1">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r="148" s="1643" customFormat="1" ht="11.5" customHeight="1">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r="149" s="1643" customFormat="1" ht="11.5" customHeight="1">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r="150" s="1643" customFormat="1" ht="11.5" customHeight="1">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r="151" s="1643" customFormat="1" ht="11.5" customHeight="1">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r="152" s="1643" customFormat="1" ht="11.5" customHeight="1">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r="153" s="1643" customFormat="1" ht="11.5" customHeight="1">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r="154" s="1643" customFormat="1" ht="11.5" customHeight="1">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r="155" s="1643" customFormat="1" ht="11.5" customHeight="1">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r="156" s="1643" customFormat="1" ht="11.5" customHeight="1">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r="157" s="1643" customFormat="1" ht="11.5" customHeight="1">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r="158" s="1643" customFormat="1" ht="11.5" customHeight="1">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r="159" s="1643" customFormat="1" ht="11.5" customHeight="1">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r="160" s="1643" customFormat="1" ht="11.5" customHeight="1">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r="161" s="1643" customFormat="1" ht="11.5" customHeight="1">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r="162" s="1643" customFormat="1" ht="11.5" customHeight="1">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r="163" s="1643" customFormat="1" ht="11.5" customHeight="1">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r="164" s="1643" customFormat="1" ht="11.5" customHeight="1">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r="165" s="1643" customFormat="1" ht="11.5" customHeight="1">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r="166" s="1643" customFormat="1" ht="11.5" customHeight="1">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r="167" s="1643" customFormat="1" ht="11.5" customHeight="1">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r="168" s="1643" customFormat="1" ht="11.5" customHeight="1">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r="169" s="1643" customFormat="1" ht="11.5" customHeight="1">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r="170" s="1643" customFormat="1" ht="11.5" customHeight="1">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r="171" s="1643" customFormat="1" ht="11.5" customHeight="1">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r="172" s="1643" customFormat="1" ht="11.5" customHeight="1">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r="173" s="1643" customFormat="1" ht="11.5" customHeight="1">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r="174" s="1643" customFormat="1" ht="11.5" customHeight="1">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r="175" s="1643" customFormat="1" ht="11.5" customHeight="1">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r="176" s="1643" customFormat="1" ht="11.5" customHeight="1">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r="177" s="1643" customFormat="1" ht="11.5" customHeight="1">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r="178" s="1643" customFormat="1" ht="11.5" customHeight="1">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r="179" s="1643" customFormat="1" ht="11.5" customHeight="1">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r="180" s="1643" customFormat="1" ht="11.5" customHeight="1">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r="181" s="1643" customFormat="1" ht="11.5" customHeight="1">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r="182" s="1643" customFormat="1" ht="11.5" customHeight="1">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r="183" s="1643" customFormat="1" ht="11.5" customHeight="1">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r="184" s="1643" customFormat="1" ht="11.5" customHeight="1">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r="185" s="1643" customFormat="1" ht="11.5" customHeight="1">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r="186" s="1643" customFormat="1" ht="11.5" customHeight="1">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r="187" s="1643" customFormat="1" ht="11.5" customHeight="1">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r="188" s="1643" customFormat="1" ht="11.5" customHeight="1">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r="189" s="1643" customFormat="1" ht="11.5" customHeight="1">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r="190" s="1643" customFormat="1" ht="11.5" customHeight="1">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r="191" s="1643" customFormat="1" ht="11.5" customHeight="1">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r="192" s="1643" customFormat="1" ht="11.5" customHeight="1">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r="193" s="1643" customFormat="1" ht="11.5" customHeight="1">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r="194" s="1643" customFormat="1" ht="11.5" customHeight="1">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r="195" s="1643" customFormat="1" ht="11.5" customHeight="1">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r="196" s="1643" customFormat="1" ht="11.5" customHeight="1">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r="197" s="1643" customFormat="1" ht="11.5" customHeight="1">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r="198" s="1643" customFormat="1" ht="11.5" customHeight="1">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r="199" s="1643" customFormat="1" ht="11.5" customHeight="1">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r="200" s="1643" customFormat="1" ht="11.5" customHeight="1">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r="201" s="1643" customFormat="1" ht="11.5" customHeight="1">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r="202" s="1643" customFormat="1" ht="11.5" customHeight="1">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r="203" ht="11.5" customHeight="1">
      <c r="AF203" s="1633">
        <v>11</v>
      </c>
    </row>
    <row r="204" ht="11.5" customHeight="1">
      <c r="AF204" s="1633">
        <v>11</v>
      </c>
    </row>
    <row r="205" ht="11.5" customHeight="1">
      <c r="AF205" s="1633">
        <v>11</v>
      </c>
    </row>
    <row r="206" ht="11.5" customHeight="1">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r="207" ht="11.5" customHeight="1">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r="208" ht="11.5" customHeight="1">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r="209" ht="11.5" customHeight="1">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r="210" ht="11.5" customHeight="1">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r="211" ht="11.5" customHeight="1">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r="212" ht="11.5" customHeight="1">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r="213" ht="11.5" customHeight="1">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r="214" ht="11.5" customHeight="1">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r="215" ht="11.5" customHeight="1">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r="216" ht="11.5" customHeight="1">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r="217" ht="11.25" hidden="1" customHeight="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autoFilter="0" deleteColumns="0" deleteRows="0" formatColumns="0" formatRows="0" insertColumns="1" insertRows="0" sort="0"/>
  <mergeCells count="7">
    <mergeCell ref="E6:I6"/>
    <mergeCell ref="E7:I7"/>
    <mergeCell ref="F10:G10"/>
    <mergeCell ref="J10:J14"/>
    <mergeCell ref="F11:G11"/>
    <mergeCell ref="F12:G12"/>
    <mergeCell ref="E13:G13"/>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D800DD-0011-4559-B44A-000E007400C8}" type="decimal" allowBlank="1" error="Допускается ввод только действительных чисел!" errorTitle="Ошибка" showErrorMessage="1">
          <x14:formula1>
            <xm:f>-9.99999999999999E+37</xm:f>
          </x14:formula1>
          <x14:formula2>
            <xm:f>9.99999999999999E+37</xm:f>
          </x14:formula2>
          <xm:sqref>H40:I42</xm:sqref>
        </x14:dataValidation>
        <x14:dataValidation xr:uid="{00AA00B0-0065-4F50-ADCB-00FC006800E6}" type="decimal" allowBlank="1" error="Допускается ввод только действительных чисел!" errorTitle="Ошибка" showErrorMessage="1">
          <x14:formula1>
            <xm:f>-9.99999999999999E+23</xm:f>
          </x14:formula1>
          <x14:formula2>
            <xm:f>9.99999999999999E+23</xm:f>
          </x14:formula2>
          <xm:sqref>H36:I37</xm:sqref>
        </x14:dataValidation>
        <x14:dataValidation xr:uid="{00D90051-0072-4235-B691-00BE0030004E}"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H43:I43</xm:sqref>
        </x14:dataValidation>
        <x14:dataValidation xr:uid="{0099005E-00A5-45D0-B514-00F100A20041}" type="decimal" allowBlank="1" error="Допускается ввод только неотрицательных чисел!" errorTitle="Ошибка" showErrorMessage="1">
          <x14:formula1>
            <xm:f>0</xm:f>
          </x14:formula1>
          <x14:formula2>
            <xm:f>9.99999999999999E+23</xm:f>
          </x14:formula2>
          <xm:sqref>H38:I39 H2:I2 H15:I15 H17:I32 H35:I35 H44:I46</xm:sqref>
        </x14:dataValidation>
        <x14:dataValidation xr:uid="{0064004B-008D-4B7E-B743-00B0006C0019}"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H33:I33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1.25" customHeight="1"/>
  <cols>
    <col customWidth="1" hidden="1" min="1" max="1" style="989" width="10.7109375"/>
    <col customWidth="1" hidden="1" min="2" max="2" style="1368" width="16.8515625"/>
    <col customWidth="1" hidden="1" min="3" max="3" style="1644" width="5.57421875"/>
    <col customWidth="1" min="4" max="4" style="1637" width="3.00390625"/>
    <col customWidth="1" min="5" max="5" style="1637" width="7.00390625"/>
    <col customWidth="1" min="6" max="6" style="1637" width="54.00390625"/>
    <col customWidth="1" min="7" max="7" style="1637" width="10.00390625"/>
    <col customWidth="1" hidden="1" min="8" max="8" style="1637" width="40.7109375"/>
    <col customWidth="1" min="9" max="9" style="1637" width="40.00390625"/>
    <col customWidth="1" min="10" max="10" style="1637" width="102.00390625"/>
    <col customWidth="1" min="11" max="11" style="1368" width="9.00390625"/>
    <col customWidth="1" min="12" max="12" style="1644" width="5.00390625"/>
    <col customWidth="1" min="13" max="13" style="1644" width="3.00390625"/>
    <col customWidth="1" min="14" max="17" style="1368" width="3.00390625"/>
    <col customWidth="1" min="18" max="18" style="1644" width="10.00390625"/>
    <col customWidth="1" min="19" max="19" style="1368" width="34.00390625"/>
    <col customWidth="1" min="20" max="20" style="1368" width="9.00390625"/>
    <col customWidth="1" min="21" max="21" style="738" width="8.00390625"/>
    <col customWidth="1" min="22" max="26" style="1368" width="8.00390625"/>
    <col customWidth="1" min="27" max="31" style="1634" width="8.00390625"/>
    <col hidden="1" min="32" max="32" style="1637" width="9.140625"/>
  </cols>
  <sheetData>
    <row r="1" s="1368" customFormat="1" ht="22.5" hidden="1" customHeight="1">
      <c r="A1" s="989"/>
      <c r="C1" s="1638"/>
      <c r="D1" s="539"/>
      <c r="H1" s="1162">
        <v>4</v>
      </c>
      <c r="I1" s="1162">
        <v>4</v>
      </c>
      <c r="L1" s="1638"/>
      <c r="M1" s="1638"/>
      <c r="R1" s="1638"/>
      <c r="AF1" s="1162" t="s">
        <v>14</v>
      </c>
    </row>
    <row r="2" s="1368" customFormat="1" ht="22.5" hidden="1" customHeight="1">
      <c r="A2" s="989"/>
      <c r="C2" s="1638"/>
      <c r="D2" s="540"/>
      <c r="E2" s="1660"/>
      <c r="F2" s="542"/>
      <c r="G2" s="1659" t="s">
        <v>552</v>
      </c>
      <c r="H2" s="543"/>
      <c r="I2" s="543"/>
      <c r="J2" s="544" t="s">
        <v>555</v>
      </c>
      <c r="K2" s="545"/>
      <c r="L2" s="1638"/>
      <c r="M2" s="1638"/>
      <c r="R2" s="1638"/>
      <c r="U2" s="546"/>
      <c r="AA2" s="1634"/>
      <c r="AB2" s="1634"/>
      <c r="AC2" s="1634"/>
      <c r="AD2" s="1634"/>
      <c r="AE2" s="1634"/>
      <c r="AF2" s="1162">
        <v>0</v>
      </c>
    </row>
    <row r="3" ht="11.25" hidden="1" customHeight="1">
      <c r="AF3" s="1633">
        <v>0</v>
      </c>
    </row>
    <row r="4" s="1634" customFormat="1" ht="11.25" hidden="1" customHeight="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r="5" ht="11.5" customHeight="1">
      <c r="AF5" s="1633">
        <v>11</v>
      </c>
    </row>
    <row r="6" ht="33.75" customHeight="1">
      <c r="E6" s="2250" t="s">
        <v>775</v>
      </c>
      <c r="F6" s="2250"/>
      <c r="G6" s="2250"/>
      <c r="H6" s="2250"/>
      <c r="I6" s="2250"/>
      <c r="J6" s="558"/>
      <c r="AF6" s="1633">
        <v>32</v>
      </c>
    </row>
    <row r="7" ht="25.199999999999999" customHeight="1">
      <c r="E7" s="2251" t="str">
        <f>IF(org=0,"Не определено",org)</f>
        <v xml:space="preserve">филиал ПАО "ОГК-2" - Рязанская ГРЭС</v>
      </c>
      <c r="F7" s="2251"/>
      <c r="G7" s="2251"/>
      <c r="H7" s="2251"/>
      <c r="I7" s="2251"/>
      <c r="AF7" s="1633">
        <v>24</v>
      </c>
    </row>
    <row r="8" ht="11.5" customHeight="1">
      <c r="E8" s="1137"/>
      <c r="F8" s="1137"/>
      <c r="G8" s="1137"/>
      <c r="H8" s="1137"/>
      <c r="I8" s="1137"/>
      <c r="AF8" s="1633">
        <v>11</v>
      </c>
    </row>
    <row r="9" s="1644" customFormat="1" ht="1.05" customHeight="1">
      <c r="A9" s="1169"/>
      <c r="D9" s="1644"/>
      <c r="H9" s="891"/>
      <c r="I9" s="891" t="s">
        <v>118</v>
      </c>
      <c r="AF9" s="1638">
        <v>1</v>
      </c>
    </row>
    <row r="10" ht="11.5" customHeight="1">
      <c r="E10" s="713"/>
      <c r="F10" s="2369" t="s">
        <v>106</v>
      </c>
      <c r="G10" s="2370"/>
      <c r="H10" s="1661" t="str">
        <f>IF(H9="","",INDEX(DIFFERENTIATION_UNMERGE_VD,MATCH(H9,DIFFERENTIATION_ID_DIFF,0)))</f>
        <v/>
      </c>
      <c r="I10" s="1661" t="str">
        <f>IF(I9="","",INDEX(DIFFERENTIATION_UNMERGE_VD,MATCH(I9,DIFFERENTIATION_ID_DIFF,0)))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10" s="2129"/>
      <c r="AF10" s="1633">
        <v>11</v>
      </c>
    </row>
    <row r="11" ht="11.5" customHeight="1">
      <c r="E11" s="713"/>
      <c r="F11" s="2369" t="s">
        <v>564</v>
      </c>
      <c r="G11" s="2370"/>
      <c r="H11" s="1661" t="str">
        <f>IF(H9="","",INDEX(DIFFERENTIATION_UNMERGE_AREA,MATCH(H9,DIFFERENTIATION_ID_DIFF,0)))</f>
        <v/>
      </c>
      <c r="I11" s="1661" t="str">
        <f>IF(I9="","",INDEX(DIFFERENTIATION_UNMERGE_AREA,MATCH(I9,DIFFERENTIATION_ID_DIFF,0)))</f>
        <v xml:space="preserve">без дифференциации</v>
      </c>
      <c r="J11" s="2129"/>
      <c r="AF11" s="1633">
        <v>11</v>
      </c>
    </row>
    <row r="12" ht="11.25" hidden="1" customHeight="1">
      <c r="E12" s="1664"/>
      <c r="F12" s="2392" t="s">
        <v>565</v>
      </c>
      <c r="G12" s="2393"/>
      <c r="H12" s="1665" t="str">
        <f>IF(H9="","",INDEX(DIFFERENTIATION_UNMERGE_SYSTEM,MATCH(H9,DIFFERENTIATION_ID_DIFF,0)))</f>
        <v/>
      </c>
      <c r="I12" s="1665" t="str">
        <f>IF(I9="","",INDEX(DIFFERENTIATION_UNMERGE_SYSTEM,MATCH(I9,DIFFERENTIATION_ID_DIFF,0)))</f>
        <v xml:space="preserve">без дифференциации</v>
      </c>
      <c r="J12" s="2129"/>
      <c r="AF12" s="1633">
        <v>0</v>
      </c>
    </row>
    <row r="13" ht="11.5" customHeight="1">
      <c r="E13" s="2371" t="s">
        <v>300</v>
      </c>
      <c r="F13" s="2372"/>
      <c r="G13" s="2372"/>
      <c r="H13" s="1658"/>
      <c r="I13" s="1658"/>
      <c r="J13" s="2129"/>
      <c r="AF13" s="1633">
        <v>11</v>
      </c>
    </row>
    <row r="14" ht="24" customHeight="1">
      <c r="E14" s="1659" t="s">
        <v>88</v>
      </c>
      <c r="F14" s="1662" t="s">
        <v>302</v>
      </c>
      <c r="G14" s="1662" t="s">
        <v>566</v>
      </c>
      <c r="H14" s="1662" t="s">
        <v>303</v>
      </c>
      <c r="I14" s="1662" t="s">
        <v>303</v>
      </c>
      <c r="J14" s="2129"/>
      <c r="AF14" s="1633">
        <v>23</v>
      </c>
    </row>
    <row r="15" ht="19.949999999999999" customHeight="1">
      <c r="D15" s="1640"/>
      <c r="E15" s="1632" t="s">
        <v>110</v>
      </c>
      <c r="F15" s="709" t="s">
        <v>776</v>
      </c>
      <c r="G15" s="1659" t="s">
        <v>552</v>
      </c>
      <c r="H15" s="559"/>
      <c r="I15" s="559"/>
      <c r="J15" s="291" t="s">
        <v>777</v>
      </c>
      <c r="K15" s="545" t="s">
        <v>630</v>
      </c>
      <c r="AF15" s="1633">
        <v>19</v>
      </c>
    </row>
    <row r="16" ht="24" customHeight="1">
      <c r="D16" s="1640"/>
      <c r="E16" s="1632" t="s">
        <v>111</v>
      </c>
      <c r="F16" s="1667" t="s">
        <v>778</v>
      </c>
      <c r="G16" s="1659" t="s">
        <v>552</v>
      </c>
      <c r="H16" s="560">
        <f>SUM(H17,H20:H27)</f>
        <v>0</v>
      </c>
      <c r="I16" s="560">
        <f>SUM(I17,I20:I27)</f>
        <v>0</v>
      </c>
      <c r="J16" s="291" t="s">
        <v>779</v>
      </c>
      <c r="K16" s="545" t="s">
        <v>630</v>
      </c>
      <c r="AF16" s="1633">
        <v>23</v>
      </c>
    </row>
    <row r="17" ht="35.649999999999999" customHeight="1">
      <c r="D17" s="1640"/>
      <c r="E17" s="1666" t="s">
        <v>709</v>
      </c>
      <c r="F17" s="1669" t="s">
        <v>780</v>
      </c>
      <c r="G17" s="1656" t="s">
        <v>552</v>
      </c>
      <c r="H17" s="559"/>
      <c r="I17" s="559"/>
      <c r="J17" s="291" t="s">
        <v>781</v>
      </c>
      <c r="K17" s="545"/>
      <c r="AF17" s="1633">
        <v>34</v>
      </c>
    </row>
    <row r="18" ht="19.949999999999999" customHeight="1">
      <c r="D18" s="1640"/>
      <c r="E18" s="1666" t="s">
        <v>712</v>
      </c>
      <c r="F18" s="1670" t="s">
        <v>782</v>
      </c>
      <c r="G18" s="1656" t="s">
        <v>552</v>
      </c>
      <c r="H18" s="559"/>
      <c r="I18" s="559"/>
      <c r="J18" s="291"/>
      <c r="K18" s="545"/>
      <c r="AF18" s="1633">
        <v>19</v>
      </c>
    </row>
    <row r="19" ht="24" customHeight="1">
      <c r="D19" s="1640"/>
      <c r="E19" s="1666" t="s">
        <v>715</v>
      </c>
      <c r="F19" s="1670" t="s">
        <v>783</v>
      </c>
      <c r="G19" s="1656" t="s">
        <v>552</v>
      </c>
      <c r="H19" s="559"/>
      <c r="I19" s="559"/>
      <c r="J19" s="291"/>
      <c r="K19" s="545"/>
      <c r="AF19" s="1633">
        <v>23</v>
      </c>
    </row>
    <row r="20" ht="35.649999999999999" customHeight="1">
      <c r="D20" s="1640"/>
      <c r="E20" s="1666" t="s">
        <v>307</v>
      </c>
      <c r="F20" s="1669" t="s">
        <v>784</v>
      </c>
      <c r="G20" s="1656" t="s">
        <v>552</v>
      </c>
      <c r="H20" s="559"/>
      <c r="I20" s="559"/>
      <c r="J20" s="291"/>
      <c r="K20" s="545"/>
      <c r="AF20" s="1633">
        <v>34</v>
      </c>
    </row>
    <row r="21" ht="48.25" customHeight="1">
      <c r="D21" s="1640"/>
      <c r="E21" s="1666" t="s">
        <v>310</v>
      </c>
      <c r="F21" s="1669" t="s">
        <v>785</v>
      </c>
      <c r="G21" s="1656" t="s">
        <v>552</v>
      </c>
      <c r="H21" s="559"/>
      <c r="I21" s="559"/>
      <c r="J21" s="291"/>
      <c r="K21" s="545"/>
      <c r="AF21" s="1633">
        <v>46</v>
      </c>
    </row>
    <row r="22" ht="60" customHeight="1">
      <c r="D22" s="1640"/>
      <c r="E22" s="1666" t="s">
        <v>729</v>
      </c>
      <c r="F22" s="1669" t="s">
        <v>786</v>
      </c>
      <c r="G22" s="1656" t="s">
        <v>552</v>
      </c>
      <c r="H22" s="559"/>
      <c r="I22" s="559"/>
      <c r="J22" s="291"/>
      <c r="K22" s="545"/>
      <c r="AF22" s="1633">
        <v>57</v>
      </c>
    </row>
    <row r="23" ht="35.649999999999999" customHeight="1">
      <c r="D23" s="1640"/>
      <c r="E23" s="1666" t="s">
        <v>736</v>
      </c>
      <c r="F23" s="1669" t="s">
        <v>787</v>
      </c>
      <c r="G23" s="1656" t="s">
        <v>552</v>
      </c>
      <c r="H23" s="559"/>
      <c r="I23" s="559"/>
      <c r="J23" s="291"/>
      <c r="K23" s="545"/>
      <c r="AF23" s="1633">
        <v>34</v>
      </c>
    </row>
    <row r="24" ht="35.649999999999999" customHeight="1">
      <c r="D24" s="1640"/>
      <c r="E24" s="1666" t="s">
        <v>738</v>
      </c>
      <c r="F24" s="1669" t="s">
        <v>788</v>
      </c>
      <c r="G24" s="1656" t="s">
        <v>552</v>
      </c>
      <c r="H24" s="559"/>
      <c r="I24" s="559"/>
      <c r="J24" s="291"/>
      <c r="K24" s="545"/>
      <c r="AF24" s="1633">
        <v>34</v>
      </c>
    </row>
    <row r="25" ht="24" customHeight="1">
      <c r="D25" s="1640"/>
      <c r="E25" s="1666" t="s">
        <v>740</v>
      </c>
      <c r="F25" s="1669" t="s">
        <v>789</v>
      </c>
      <c r="G25" s="1656" t="s">
        <v>552</v>
      </c>
      <c r="H25" s="559"/>
      <c r="I25" s="559"/>
      <c r="J25" s="291"/>
      <c r="K25" s="545"/>
      <c r="AF25" s="1633">
        <v>23</v>
      </c>
    </row>
    <row r="26" ht="76.5" customHeight="1">
      <c r="D26" s="1640"/>
      <c r="E26" s="1666" t="s">
        <v>742</v>
      </c>
      <c r="F26" s="1669" t="s">
        <v>790</v>
      </c>
      <c r="G26" s="1656" t="s">
        <v>552</v>
      </c>
      <c r="H26" s="559"/>
      <c r="I26" s="559"/>
      <c r="J26" s="291"/>
      <c r="K26" s="545"/>
      <c r="AF26" s="1633">
        <v>73</v>
      </c>
    </row>
    <row r="27" s="1368" customFormat="1" ht="35.649999999999999" customHeight="1">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r="28" s="1644" customFormat="1" ht="1.05" customHeight="1">
      <c r="A28" s="1169"/>
      <c r="D28" s="550"/>
      <c r="E28" s="804" t="str">
        <f>E27&amp;".0"</f>
        <v>2.9.0</v>
      </c>
      <c r="F28" s="993"/>
      <c r="G28" s="553"/>
      <c r="H28" s="994"/>
      <c r="I28" s="994"/>
      <c r="J28" s="995"/>
      <c r="AF28" s="1638">
        <v>1</v>
      </c>
    </row>
    <row r="29" s="1368" customFormat="1" ht="19.949999999999999" customHeight="1">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r="30" s="1368" customFormat="1" ht="24" customHeight="1">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r="31" s="1368" customFormat="1" ht="35.649999999999999" customHeight="1">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r="32" s="1368" customFormat="1" ht="24" customHeight="1">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r="33" s="1368" customFormat="1" ht="24" customHeight="1">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r="34" s="1368" customFormat="1" ht="24" customHeight="1">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r="35" s="1368" customFormat="1" ht="35.649999999999999" customHeight="1">
      <c r="A35" s="989"/>
      <c r="C35" s="1638" t="s">
        <v>588</v>
      </c>
      <c r="D35" s="1640"/>
      <c r="E35" s="1666" t="s">
        <v>112</v>
      </c>
      <c r="F35" s="1663" t="s">
        <v>629</v>
      </c>
      <c r="G35" s="1659" t="s">
        <v>306</v>
      </c>
      <c r="H35" s="403"/>
      <c r="I35" s="403"/>
      <c r="J35" s="291" t="s">
        <v>801</v>
      </c>
      <c r="K35" s="545"/>
      <c r="L35" s="1638"/>
      <c r="M35" s="1638"/>
      <c r="R35" s="1638"/>
      <c r="U35" s="546"/>
      <c r="AA35" s="1634"/>
      <c r="AB35" s="1634"/>
      <c r="AC35" s="1634"/>
      <c r="AD35" s="1634"/>
      <c r="AE35" s="1634"/>
      <c r="AF35" s="1162">
        <v>34</v>
      </c>
    </row>
    <row r="36" s="1368" customFormat="1" ht="35.649999999999999" customHeight="1">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r="37" s="1368" customFormat="1" ht="24" customHeight="1">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r="38" ht="11.5" customHeight="1">
      <c r="D38" s="1640"/>
      <c r="AF38" s="1633">
        <v>11</v>
      </c>
    </row>
    <row r="39" ht="27.300000000000001" customHeight="1">
      <c r="D39" s="1640"/>
      <c r="E39" s="1255" t="s">
        <v>804</v>
      </c>
      <c r="F39" s="2287" t="s">
        <v>805</v>
      </c>
      <c r="G39" s="2287"/>
      <c r="H39" s="371"/>
      <c r="I39" s="371"/>
      <c r="J39" s="371"/>
      <c r="AF39" s="1633">
        <v>26</v>
      </c>
    </row>
    <row r="40" s="1643" customFormat="1" ht="39.75" customHeight="1">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r="41" s="1643" customFormat="1" ht="11.5" customHeight="1">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r="42" s="1643" customFormat="1" ht="11.5" customHeight="1">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r="43" s="1643" customFormat="1" ht="11.5" customHeight="1">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r="44" s="1643" customFormat="1" ht="11.5" customHeight="1">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r="45" s="1643" customFormat="1" ht="11.5" customHeight="1">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r="46" s="1643" customFormat="1" ht="11.5" customHeight="1">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r="47" s="1643" customFormat="1" ht="11.5" customHeight="1">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r="48" s="1643" customFormat="1" ht="11.5" customHeight="1">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r="49" s="1643" customFormat="1" ht="11.5" customHeight="1">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r="50" s="1643" customFormat="1" ht="11.5" customHeight="1">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r="51" s="1643" customFormat="1" ht="11.5" customHeight="1">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r="52" s="1643" customFormat="1" ht="11.5" customHeight="1">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r="53" s="1643" customFormat="1" ht="11.5" customHeight="1">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r="54" s="1643" customFormat="1" ht="11.5" customHeight="1">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r="55" s="1643" customFormat="1" ht="11.5" customHeight="1">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r="56" s="1643" customFormat="1" ht="11.5" customHeight="1">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r="57" s="1643" customFormat="1" ht="11.5" customHeight="1">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r="58" s="1643" customFormat="1" ht="11.5" customHeight="1">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r="59" s="1643" customFormat="1" ht="11.5" customHeight="1">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r="60" s="1643" customFormat="1" ht="11.5" customHeight="1">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r="61" s="1643" customFormat="1" ht="11.5" customHeight="1">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r="62" s="1643" customFormat="1" ht="11.5" customHeight="1">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r="63" s="1643" customFormat="1" ht="11.5" customHeight="1">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r="64" s="1643" customFormat="1" ht="11.5" customHeight="1">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r="65" s="1643" customFormat="1" ht="11.5" customHeight="1">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r="66" s="1643" customFormat="1" ht="11.5" customHeight="1">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r="67" s="1643" customFormat="1" ht="11.5" customHeight="1">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r="68" s="1643" customFormat="1" ht="11.5" customHeight="1">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r="69" s="1643" customFormat="1" ht="11.5" customHeight="1">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r="70" s="1643" customFormat="1" ht="11.5" customHeight="1">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r="71" s="1643" customFormat="1" ht="11.5" customHeight="1">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r="72" s="1643" customFormat="1" ht="11.5" customHeight="1">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r="73" s="1643" customFormat="1" ht="11.5" customHeight="1">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r="74" s="1643" customFormat="1" ht="11.5" customHeight="1">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r="75" s="1643" customFormat="1" ht="11.5" customHeight="1">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r="76" s="1643" customFormat="1" ht="11.5" customHeight="1">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r="77" s="1643" customFormat="1" ht="11.5" customHeight="1">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r="78" s="1643" customFormat="1" ht="11.5" customHeight="1">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r="79" s="1643" customFormat="1" ht="11.5" customHeight="1">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r="80" s="1643" customFormat="1" ht="11.5" customHeight="1">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r="81" s="1643" customFormat="1" ht="11.5" customHeight="1">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r="82" s="1643" customFormat="1" ht="11.5" customHeight="1">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r="83" s="1643" customFormat="1" ht="11.5" customHeight="1">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r="84" s="1643" customFormat="1" ht="11.5" customHeight="1">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r="85" s="1643" customFormat="1" ht="11.5" customHeight="1">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r="86" s="1643" customFormat="1" ht="11.5" customHeight="1">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r="87" s="1643" customFormat="1" ht="11.5" customHeight="1">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r="88" s="1643" customFormat="1" ht="11.5" customHeight="1">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r="89" s="1643" customFormat="1" ht="11.5" customHeight="1">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r="90" s="1643" customFormat="1" ht="11.5" customHeight="1">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r="91" s="1643" customFormat="1" ht="11.5" customHeight="1">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r="92" s="1643" customFormat="1" ht="11.5" customHeight="1">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r="93" s="1643" customFormat="1" ht="11.5" customHeight="1">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r="94" s="1643" customFormat="1" ht="11.5" customHeight="1">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r="95" s="1643" customFormat="1" ht="11.5" customHeight="1">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r="96" s="1643" customFormat="1" ht="11.5" customHeight="1">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r="97" s="1643" customFormat="1" ht="11.5" customHeight="1">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r="98" s="1643" customFormat="1" ht="11.5" customHeight="1">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r="99" s="1643" customFormat="1" ht="11.5" customHeight="1">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r="100" s="1643" customFormat="1" ht="11.5" customHeight="1">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r="101" s="1643" customFormat="1" ht="11.5" customHeight="1">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r="102" s="1643" customFormat="1" ht="11.5" customHeight="1">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r="103" s="1643" customFormat="1" ht="11.5" customHeight="1">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r="104" s="1643" customFormat="1" ht="11.5" customHeight="1">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r="105" s="1643" customFormat="1" ht="11.5" customHeight="1">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r="106" s="1643" customFormat="1" ht="11.5" customHeight="1">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r="107" s="1643" customFormat="1" ht="11.5" customHeight="1">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r="108" s="1643" customFormat="1" ht="11.5" customHeight="1">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r="109" s="1643" customFormat="1" ht="11.5" customHeight="1">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r="110" s="1643" customFormat="1" ht="11.5" customHeight="1">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r="111" s="1643" customFormat="1" ht="11.5" customHeight="1">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r="112" s="1643" customFormat="1" ht="11.5" customHeight="1">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r="113" s="1643" customFormat="1" ht="11.5" customHeight="1">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r="114" s="1643" customFormat="1" ht="11.5" customHeight="1">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r="115" s="1643" customFormat="1" ht="11.5" customHeight="1">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r="116" s="1643" customFormat="1" ht="11.5" customHeight="1">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r="117" s="1643" customFormat="1" ht="11.5" customHeight="1">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r="118" s="1643" customFormat="1" ht="11.5" customHeight="1">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r="119" s="1643" customFormat="1" ht="11.5" customHeight="1">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r="120" s="1643" customFormat="1" ht="11.5" customHeight="1">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r="121" s="1643" customFormat="1" ht="11.5" customHeight="1">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r="122" s="1643" customFormat="1" ht="11.5" customHeight="1">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r="123" s="1643" customFormat="1" ht="11.5" customHeight="1">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r="124" s="1643" customFormat="1" ht="11.5" customHeight="1">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r="125" s="1643" customFormat="1" ht="11.5" customHeight="1">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r="126" s="1643" customFormat="1" ht="11.5" customHeight="1">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r="127" s="1643" customFormat="1" ht="11.5" customHeight="1">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r="128" s="1643" customFormat="1" ht="11.5" customHeight="1">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r="129" s="1643" customFormat="1" ht="11.5" customHeight="1">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r="130" s="1643" customFormat="1" ht="11.5" customHeight="1">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r="131" s="1643" customFormat="1" ht="11.5" customHeight="1">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r="132" s="1643" customFormat="1" ht="11.5" customHeight="1">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r="133" s="1643" customFormat="1" ht="11.5" customHeight="1">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r="134" s="1643" customFormat="1" ht="11.5" customHeight="1">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r="135" s="1643" customFormat="1" ht="11.5" customHeight="1">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r="136" s="1643" customFormat="1" ht="11.5" customHeight="1">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r="137" s="1643" customFormat="1" ht="11.5" customHeight="1">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r="138" s="1643" customFormat="1" ht="11.5" customHeight="1">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r="139" s="1643" customFormat="1" ht="11.5" customHeight="1">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r="140" s="1643" customFormat="1" ht="11.5" customHeight="1">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r="141" s="1643" customFormat="1" ht="11.5" customHeight="1">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r="142" s="1643" customFormat="1" ht="11.5" customHeight="1">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r="143" s="1643" customFormat="1" ht="11.5" customHeight="1">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r="144" s="1643" customFormat="1" ht="11.5" customHeight="1">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r="145" s="1643" customFormat="1" ht="11.5" customHeight="1">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r="146" s="1643" customFormat="1" ht="11.5" customHeight="1">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r="147" s="1643" customFormat="1" ht="11.5" customHeight="1">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r="148" s="1643" customFormat="1" ht="11.5" customHeight="1">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r="149" s="1643" customFormat="1" ht="11.5" customHeight="1">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r="150" s="1643" customFormat="1" ht="11.5" customHeight="1">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r="151" s="1643" customFormat="1" ht="11.5" customHeight="1">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r="152" s="1643" customFormat="1" ht="11.5" customHeight="1">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r="153" s="1643" customFormat="1" ht="11.5" customHeight="1">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r="154" s="1643" customFormat="1" ht="11.5" customHeight="1">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r="155" s="1643" customFormat="1" ht="11.5" customHeight="1">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r="156" s="1643" customFormat="1" ht="11.5" customHeight="1">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r="157" s="1643" customFormat="1" ht="11.5" customHeight="1">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r="158" s="1643" customFormat="1" ht="11.5" customHeight="1">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r="159" s="1643" customFormat="1" ht="11.5" customHeight="1">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r="160" s="1643" customFormat="1" ht="11.5" customHeight="1">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r="161" s="1643" customFormat="1" ht="11.5" customHeight="1">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r="162" s="1643" customFormat="1" ht="11.5" customHeight="1">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r="163" s="1643" customFormat="1" ht="11.5" customHeight="1">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r="164" s="1643" customFormat="1" ht="11.5" customHeight="1">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r="165" s="1643" customFormat="1" ht="11.5" customHeight="1">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r="166" s="1643" customFormat="1" ht="11.5" customHeight="1">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r="167" s="1643" customFormat="1" ht="11.5" customHeight="1">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r="168" s="1643" customFormat="1" ht="11.5" customHeight="1">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r="169" s="1643" customFormat="1" ht="11.5" customHeight="1">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r="170" s="1643" customFormat="1" ht="11.5" customHeight="1">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r="171" s="1643" customFormat="1" ht="11.5" customHeight="1">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r="172" s="1643" customFormat="1" ht="11.5" customHeight="1">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r="173" s="1643" customFormat="1" ht="11.5" customHeight="1">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r="174" s="1643" customFormat="1" ht="11.5" customHeight="1">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r="175" s="1643" customFormat="1" ht="11.5" customHeight="1">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r="176" s="1643" customFormat="1" ht="11.5" customHeight="1">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r="177" s="1643" customFormat="1" ht="11.5" customHeight="1">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r="178" s="1643" customFormat="1" ht="11.5" customHeight="1">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r="179" s="1643" customFormat="1" ht="11.5" customHeight="1">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r="180" s="1643" customFormat="1" ht="11.5" customHeight="1">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r="181" s="1643" customFormat="1" ht="11.5" customHeight="1">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r="182" s="1643" customFormat="1" ht="11.5" customHeight="1">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r="183" s="1643" customFormat="1" ht="11.5" customHeight="1">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r="184" s="1643" customFormat="1" ht="11.5" customHeight="1">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r="185" s="1643" customFormat="1" ht="11.5" customHeight="1">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r="186" s="1643" customFormat="1" ht="11.5" customHeight="1">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r="187" s="1643" customFormat="1" ht="11.5" customHeight="1">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r="188" s="1643" customFormat="1" ht="11.5" customHeight="1">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r="189" s="1643" customFormat="1" ht="11.5" customHeight="1">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r="190" s="1643" customFormat="1" ht="11.5" customHeight="1">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r="191" s="1643" customFormat="1" ht="11.5" customHeight="1">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r="192" s="1643" customFormat="1" ht="11.5" customHeight="1">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r="193" s="1643" customFormat="1" ht="11.5" customHeight="1">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r="194" s="1643" customFormat="1" ht="11.5" customHeight="1">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r="195" s="1643" customFormat="1" ht="11.5" customHeight="1">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r="196" ht="11.5" customHeight="1">
      <c r="AF196" s="1633">
        <v>11</v>
      </c>
    </row>
    <row r="197" ht="11.5" customHeight="1">
      <c r="AF197" s="1633">
        <v>11</v>
      </c>
    </row>
    <row r="198" ht="11.5" customHeight="1">
      <c r="AF198" s="1633">
        <v>11</v>
      </c>
    </row>
    <row r="199" ht="11.5" customHeight="1">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r="200" ht="11.5" customHeight="1">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r="201" ht="11.5" customHeight="1">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r="202" ht="11.5" customHeight="1">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r="203" ht="11.5" customHeight="1">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r="204" ht="11.5" customHeight="1">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r="205" ht="11.5" customHeight="1">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r="206" ht="11.5" customHeight="1">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r="207" ht="11.5" customHeight="1">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r="208" ht="11.5" customHeight="1">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r="209" ht="11.5" customHeight="1">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r="210" ht="11.25" hidden="1" customHeight="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autoFilter="0" deleteColumns="0" deleteRows="0" formatColumns="0" formatRows="0" insertColumns="1" insertRows="0" sort="0"/>
  <mergeCells count="9">
    <mergeCell ref="F40:G40"/>
    <mergeCell ref="E6:I6"/>
    <mergeCell ref="E7:I7"/>
    <mergeCell ref="F10:G10"/>
    <mergeCell ref="J10:J14"/>
    <mergeCell ref="F11:G11"/>
    <mergeCell ref="F12:G12"/>
    <mergeCell ref="E13:G13"/>
    <mergeCell ref="F39:G3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FA00F0-00D4-4AAC-8EF2-0024004700F5}"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H28:I28</xm:sqref>
        </x14:dataValidation>
        <x14:dataValidation xr:uid="{00620012-0014-4A21-BAD1-00C300AE0004}" type="decimal" allowBlank="1" error="Допускается ввод только неотрицательных чисел!" errorTitle="Ошибка" showErrorMessage="1">
          <x14:formula1>
            <xm:f>0</xm:f>
          </x14:formula1>
          <x14:formula2>
            <xm:f>9.99999999999999E+23</xm:f>
          </x14:formula2>
          <xm:sqref>H31:I31 H2:I2 H15:I15 H17:I27 H36:I37</xm:sqref>
        </x14:dataValidation>
        <x14:dataValidation xr:uid="{00C3001F-008B-43A9-8D3F-002D000400B6}"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H35:I35</xm:sqref>
        </x14:dataValidation>
        <x14:dataValidation xr:uid="{005300DA-0081-455D-B4EE-003600D000F8}" type="decimal" allowBlank="1" error="Допускается ввод только действительных чисел!" errorTitle="Ошибка" showErrorMessage="1">
          <x14:formula1>
            <xm:f>-9.99999999999999E+23</xm:f>
          </x14:formula1>
          <x14:formula2>
            <xm:f>9.99999999999999E+23</xm:f>
          </x14:formula2>
          <xm:sqref>H30:I30</xm:sqref>
        </x14:dataValidation>
        <x14:dataValidation xr:uid="{00D7006F-0088-43D3-885E-009800FE00C8}" type="decimal" allowBlank="1" error="Допускается ввод только действительных чисел!" errorTitle="Ошибка" showErrorMessage="1">
          <x14:formula1>
            <xm:f>-9.99999999999999E+37</xm:f>
          </x14:formula1>
          <x14:formula2>
            <xm:f>9.99999999999999E+37</xm:f>
          </x14:formula2>
          <xm:sqref>H32:I34</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10.57421875" defaultRowHeight="11.25" customHeight="1"/>
  <cols>
    <col customWidth="1" hidden="1" min="1" max="1" style="1168" width="9.140625"/>
    <col customWidth="1" hidden="1" min="2" max="2" style="1644" width="3.57421875"/>
    <col customWidth="1" min="3" max="3" style="1637" width="3.00390625"/>
    <col customWidth="1" min="4" max="4" style="1637" width="7.00390625"/>
    <col customWidth="1" min="5" max="5" style="1637" width="69.00390625"/>
    <col customWidth="1" min="6" max="6" style="1637" width="10.00390625"/>
    <col customWidth="1" hidden="1" min="7" max="8" style="1637" width="44.00390625"/>
    <col customWidth="1" min="9" max="9" style="1637" width="44.00390625"/>
    <col customWidth="1" min="10" max="10" style="1637" width="43.00390625"/>
    <col customWidth="1" min="11" max="11" style="1637" width="73.00390625"/>
    <col customWidth="1" min="12" max="12" style="1637" width="3.00390625"/>
    <col customWidth="1" min="13" max="23" style="1637" width="10.00390625"/>
    <col hidden="1" min="24" max="24" style="1637" width="10.57421875"/>
  </cols>
  <sheetData>
    <row r="1" s="1368" customFormat="1" ht="22.5" hidden="1" customHeight="1">
      <c r="A1" s="538"/>
      <c r="B1" s="513"/>
      <c r="G1" s="419">
        <v>4</v>
      </c>
      <c r="I1" s="419">
        <v>4</v>
      </c>
      <c r="K1" s="419">
        <v>5</v>
      </c>
      <c r="X1" s="419" t="s">
        <v>14</v>
      </c>
    </row>
    <row r="2" ht="3" customHeight="1">
      <c r="X2" s="507">
        <v>3</v>
      </c>
    </row>
    <row r="3" ht="78.75" customHeight="1">
      <c r="D3" s="2240"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r="4" s="1637" customFormat="1" ht="21" customHeight="1">
      <c r="A4" s="953"/>
      <c r="B4" s="513"/>
      <c r="D4" s="2216" t="str">
        <f>IF(org=0,"Не определено",org)</f>
        <v xml:space="preserve">филиал ПАО "ОГК-2" - Рязанская ГРЭС</v>
      </c>
      <c r="E4" s="2217"/>
      <c r="F4" s="2218"/>
      <c r="X4" s="760">
        <v>20</v>
      </c>
    </row>
    <row r="5" ht="11.5" customHeight="1">
      <c r="C5" s="511"/>
      <c r="D5" s="590"/>
      <c r="E5" s="590"/>
      <c r="F5" s="590"/>
      <c r="G5" s="590"/>
      <c r="H5" s="754"/>
      <c r="I5" s="590"/>
      <c r="J5" s="754"/>
      <c r="K5" s="590"/>
      <c r="X5" s="507">
        <v>11</v>
      </c>
    </row>
    <row r="6" ht="1.05" customHeight="1">
      <c r="C6" s="511"/>
      <c r="D6" s="511"/>
      <c r="E6" s="524"/>
      <c r="F6" s="616"/>
      <c r="G6" s="1024"/>
      <c r="H6" s="1024"/>
      <c r="I6" s="1024" t="s">
        <v>118</v>
      </c>
      <c r="J6" s="1024"/>
      <c r="X6" s="507">
        <v>1</v>
      </c>
    </row>
    <row r="7" ht="11.5" customHeight="1">
      <c r="D7" s="713"/>
      <c r="E7" s="2369" t="s">
        <v>106</v>
      </c>
      <c r="F7" s="2370"/>
      <c r="G7" s="2395" t="str">
        <f>IF(G6="","",INDEX(DIFFERENTIATION_UNMERGE_VD,MATCH(G6,DIFFERENTIATION_ID_DIFF,0)))</f>
        <v/>
      </c>
      <c r="H7" s="2396"/>
      <c r="I7" s="2395" t="str">
        <f>IF(I6="","",INDEX(DIFFERENTIATION_UNMERGE_VD,MATCH(I6,DIFFERENTIATION_ID_DIFF,0)))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7" s="2396"/>
      <c r="K7" s="2177"/>
      <c r="L7" s="511"/>
      <c r="X7" s="507">
        <v>11</v>
      </c>
    </row>
    <row r="8" ht="11.5" customHeight="1">
      <c r="A8" s="706"/>
      <c r="D8" s="713"/>
      <c r="E8" s="2369" t="s">
        <v>564</v>
      </c>
      <c r="F8" s="2370"/>
      <c r="G8" s="2395" t="str">
        <f>IF(G6="","",INDEX(DIFFERENTIATION_UNMERGE_AREA,MATCH(G6,DIFFERENTIATION_ID_DIFF,0)))</f>
        <v/>
      </c>
      <c r="H8" s="2396"/>
      <c r="I8" s="2395" t="str">
        <f>IF(I6="","",INDEX(DIFFERENTIATION_UNMERGE_AREA,MATCH(I6,DIFFERENTIATION_ID_DIFF,0)))</f>
        <v xml:space="preserve">без дифференциации</v>
      </c>
      <c r="J8" s="2396"/>
      <c r="K8" s="2201"/>
      <c r="L8" s="511"/>
      <c r="X8" s="507">
        <v>11</v>
      </c>
    </row>
    <row r="9" ht="11.5" customHeight="1">
      <c r="A9" s="706"/>
      <c r="D9" s="713"/>
      <c r="E9" s="2369" t="s">
        <v>565</v>
      </c>
      <c r="F9" s="2370"/>
      <c r="G9" s="2395" t="str">
        <f>IF(G6="","",INDEX(DIFFERENTIATION_UNMERGE_SYSTEM,MATCH(G6,DIFFERENTIATION_ID_DIFF,0)))</f>
        <v/>
      </c>
      <c r="H9" s="2396"/>
      <c r="I9" s="2395" t="str">
        <f>IF(I6="","",INDEX(DIFFERENTIATION_UNMERGE_SYSTEM,MATCH(I6,DIFFERENTIATION_ID_DIFF,0)))</f>
        <v xml:space="preserve">без дифференциации</v>
      </c>
      <c r="J9" s="2396"/>
      <c r="K9" s="2201"/>
      <c r="L9" s="511"/>
      <c r="X9" s="507">
        <v>11</v>
      </c>
    </row>
    <row r="10" s="1637" customFormat="1" ht="11.5" customHeight="1">
      <c r="A10" s="1023"/>
      <c r="B10" s="513"/>
      <c r="D10" s="2103" t="s">
        <v>300</v>
      </c>
      <c r="E10" s="2104"/>
      <c r="F10" s="2104"/>
      <c r="G10" s="2104"/>
      <c r="H10" s="2104"/>
      <c r="I10" s="2104"/>
      <c r="J10" s="2105"/>
      <c r="K10" s="2201"/>
      <c r="L10" s="511"/>
      <c r="X10" s="760">
        <v>11</v>
      </c>
    </row>
    <row r="11" s="1637" customFormat="1" ht="24" customHeight="1">
      <c r="A11" s="2387"/>
      <c r="B11" s="2387"/>
      <c r="C11" s="659"/>
      <c r="D11" s="705" t="s">
        <v>88</v>
      </c>
      <c r="E11" s="707" t="s">
        <v>807</v>
      </c>
      <c r="F11" s="707" t="s">
        <v>566</v>
      </c>
      <c r="G11" s="467" t="s">
        <v>303</v>
      </c>
      <c r="H11" s="467" t="s">
        <v>390</v>
      </c>
      <c r="I11" s="809" t="s">
        <v>303</v>
      </c>
      <c r="J11" s="810" t="s">
        <v>390</v>
      </c>
      <c r="K11" s="2234"/>
      <c r="L11" s="660"/>
      <c r="X11" s="511">
        <v>23</v>
      </c>
    </row>
    <row r="12" s="1644" customFormat="1" ht="10.5" customHeight="1">
      <c r="A12" s="954"/>
      <c r="D12" s="1027" t="s">
        <v>110</v>
      </c>
      <c r="E12" s="1027" t="s">
        <v>111</v>
      </c>
      <c r="F12" s="1027" t="s">
        <v>90</v>
      </c>
      <c r="G12" s="1028" t="str">
        <f>G1&amp;".1"</f>
        <v>4.1</v>
      </c>
      <c r="H12" s="1028" t="str">
        <f>G1&amp;".2"</f>
        <v>4.2</v>
      </c>
      <c r="I12" s="1028" t="str">
        <f>I1&amp;".1"</f>
        <v>4.1</v>
      </c>
      <c r="J12" s="1028" t="str">
        <f>I1&amp;".2"</f>
        <v>4.2</v>
      </c>
      <c r="K12" s="1028"/>
      <c r="X12" s="513">
        <v>10</v>
      </c>
    </row>
    <row r="13" ht="22.5" customHeight="1">
      <c r="A13" s="2394" t="s">
        <v>808</v>
      </c>
      <c r="D13" s="955" t="s">
        <v>110</v>
      </c>
      <c r="E13" s="281" t="s">
        <v>809</v>
      </c>
      <c r="F13" s="662" t="s">
        <v>810</v>
      </c>
      <c r="G13" s="559"/>
      <c r="H13" s="663"/>
      <c r="I13" s="559"/>
      <c r="J13" s="663"/>
      <c r="K13" s="291" t="s">
        <v>811</v>
      </c>
      <c r="L13" s="722"/>
      <c r="X13" s="507">
        <v>0</v>
      </c>
    </row>
    <row r="14" ht="22.5" customHeight="1">
      <c r="A14" s="2394"/>
      <c r="D14" s="541" t="s">
        <v>111</v>
      </c>
      <c r="E14" s="281" t="s">
        <v>812</v>
      </c>
      <c r="F14" s="662" t="s">
        <v>813</v>
      </c>
      <c r="G14" s="559"/>
      <c r="H14" s="664"/>
      <c r="I14" s="559"/>
      <c r="J14" s="664"/>
      <c r="K14" s="291" t="s">
        <v>814</v>
      </c>
      <c r="L14" s="722"/>
      <c r="X14" s="507">
        <v>0</v>
      </c>
    </row>
    <row r="15" s="1637" customFormat="1" ht="78.75" customHeight="1">
      <c r="A15" s="2394"/>
      <c r="B15" s="513"/>
      <c r="D15" s="955" t="s">
        <v>90</v>
      </c>
      <c r="E15" s="709" t="s">
        <v>815</v>
      </c>
      <c r="F15" s="952" t="s">
        <v>306</v>
      </c>
      <c r="G15" s="952" t="s">
        <v>306</v>
      </c>
      <c r="H15" s="108"/>
      <c r="I15" s="952" t="s">
        <v>306</v>
      </c>
      <c r="J15" s="108"/>
      <c r="K15" s="291" t="s">
        <v>816</v>
      </c>
      <c r="L15" s="722"/>
      <c r="X15" s="760">
        <v>0</v>
      </c>
    </row>
    <row r="16" s="1637" customFormat="1" ht="22.5" customHeight="1">
      <c r="A16" s="2394"/>
      <c r="B16" s="513"/>
      <c r="D16" s="955" t="s">
        <v>324</v>
      </c>
      <c r="E16" s="956" t="s">
        <v>817</v>
      </c>
      <c r="F16" s="952" t="s">
        <v>818</v>
      </c>
      <c r="G16" s="819"/>
      <c r="H16" s="108"/>
      <c r="I16" s="819"/>
      <c r="J16" s="108"/>
      <c r="K16" s="291"/>
      <c r="L16" s="722"/>
      <c r="X16" s="760">
        <v>0</v>
      </c>
    </row>
    <row r="17" s="1637" customFormat="1" ht="22.5" customHeight="1">
      <c r="A17" s="2394"/>
      <c r="B17" s="513"/>
      <c r="D17" s="955" t="s">
        <v>332</v>
      </c>
      <c r="E17" s="956" t="s">
        <v>819</v>
      </c>
      <c r="F17" s="952" t="s">
        <v>820</v>
      </c>
      <c r="G17" s="819"/>
      <c r="H17" s="108"/>
      <c r="I17" s="819"/>
      <c r="J17" s="108"/>
      <c r="K17" s="291"/>
      <c r="L17" s="722"/>
      <c r="X17" s="760">
        <v>0</v>
      </c>
    </row>
    <row r="18" s="1637" customFormat="1" ht="33.75" customHeight="1">
      <c r="A18" s="2394"/>
      <c r="B18" s="513"/>
      <c r="D18" s="955" t="s">
        <v>334</v>
      </c>
      <c r="E18" s="956" t="s">
        <v>821</v>
      </c>
      <c r="F18" s="952" t="s">
        <v>571</v>
      </c>
      <c r="G18" s="682"/>
      <c r="H18" s="108"/>
      <c r="I18" s="682"/>
      <c r="J18" s="108"/>
      <c r="K18" s="291"/>
      <c r="L18" s="722"/>
      <c r="X18" s="760">
        <v>0</v>
      </c>
    </row>
    <row r="19" ht="101.25" customHeight="1">
      <c r="A19" s="2394"/>
      <c r="D19" s="955" t="s">
        <v>91</v>
      </c>
      <c r="E19" s="281" t="s">
        <v>822</v>
      </c>
      <c r="F19" s="662" t="s">
        <v>546</v>
      </c>
      <c r="G19" s="665"/>
      <c r="H19" s="664"/>
      <c r="I19" s="957"/>
      <c r="J19" s="664"/>
      <c r="K19" s="291" t="s">
        <v>823</v>
      </c>
      <c r="L19" s="722"/>
      <c r="X19" s="507">
        <v>0</v>
      </c>
    </row>
    <row r="20" s="1637" customFormat="1" ht="18.75" customHeight="1">
      <c r="A20" s="2394"/>
      <c r="C20" s="958"/>
      <c r="D20" s="955" t="s">
        <v>754</v>
      </c>
      <c r="E20" s="956" t="s">
        <v>824</v>
      </c>
      <c r="F20" s="952" t="s">
        <v>306</v>
      </c>
      <c r="G20" s="952" t="s">
        <v>306</v>
      </c>
      <c r="H20" s="951" t="s">
        <v>306</v>
      </c>
      <c r="I20" s="952" t="s">
        <v>306</v>
      </c>
      <c r="J20" s="951" t="s">
        <v>306</v>
      </c>
      <c r="K20" s="950"/>
      <c r="L20" s="722"/>
      <c r="W20" s="677"/>
      <c r="X20" s="760">
        <v>0</v>
      </c>
    </row>
    <row r="21" s="1637" customFormat="1" ht="33.75" customHeight="1">
      <c r="A21" s="2394"/>
      <c r="C21" s="958"/>
      <c r="D21" s="955" t="s">
        <v>757</v>
      </c>
      <c r="E21" s="578" t="s">
        <v>825</v>
      </c>
      <c r="F21" s="952" t="s">
        <v>826</v>
      </c>
      <c r="G21" s="682"/>
      <c r="H21" s="108"/>
      <c r="I21" s="682"/>
      <c r="J21" s="108"/>
      <c r="K21" s="950"/>
      <c r="L21" s="722"/>
      <c r="W21" s="677"/>
      <c r="X21" s="760">
        <v>0</v>
      </c>
    </row>
    <row r="22" s="1637" customFormat="1" ht="33.75" customHeight="1">
      <c r="A22" s="2394"/>
      <c r="C22" s="958"/>
      <c r="D22" s="955" t="s">
        <v>760</v>
      </c>
      <c r="E22" s="578" t="s">
        <v>827</v>
      </c>
      <c r="F22" s="952" t="s">
        <v>828</v>
      </c>
      <c r="G22" s="682"/>
      <c r="H22" s="108"/>
      <c r="I22" s="682"/>
      <c r="J22" s="108"/>
      <c r="K22" s="950"/>
      <c r="L22" s="722"/>
      <c r="W22" s="677"/>
      <c r="X22" s="760">
        <v>0</v>
      </c>
    </row>
    <row r="23" s="1637" customFormat="1" ht="22.5" customHeight="1">
      <c r="A23" s="2394"/>
      <c r="C23" s="958"/>
      <c r="D23" s="955" t="s">
        <v>796</v>
      </c>
      <c r="E23" s="956" t="s">
        <v>829</v>
      </c>
      <c r="F23" s="952" t="s">
        <v>306</v>
      </c>
      <c r="G23" s="952" t="s">
        <v>306</v>
      </c>
      <c r="H23" s="951" t="s">
        <v>306</v>
      </c>
      <c r="I23" s="952" t="s">
        <v>306</v>
      </c>
      <c r="J23" s="951" t="s">
        <v>306</v>
      </c>
      <c r="K23" s="950"/>
      <c r="L23" s="722"/>
      <c r="W23" s="677"/>
      <c r="X23" s="760">
        <v>0</v>
      </c>
    </row>
    <row r="24" s="1637" customFormat="1" ht="22.5" customHeight="1">
      <c r="A24" s="2394"/>
      <c r="C24" s="958"/>
      <c r="D24" s="955" t="s">
        <v>830</v>
      </c>
      <c r="E24" s="578" t="s">
        <v>831</v>
      </c>
      <c r="F24" s="952" t="s">
        <v>832</v>
      </c>
      <c r="G24" s="682"/>
      <c r="H24" s="688"/>
      <c r="I24" s="682"/>
      <c r="J24" s="688"/>
      <c r="K24" s="950"/>
      <c r="L24" s="722"/>
      <c r="W24" s="677"/>
      <c r="X24" s="760">
        <v>0</v>
      </c>
    </row>
    <row r="25" s="1637" customFormat="1" ht="22.5" customHeight="1">
      <c r="A25" s="2394"/>
      <c r="C25" s="958"/>
      <c r="D25" s="955" t="s">
        <v>833</v>
      </c>
      <c r="E25" s="578" t="s">
        <v>834</v>
      </c>
      <c r="F25" s="952" t="s">
        <v>306</v>
      </c>
      <c r="G25" s="952" t="s">
        <v>306</v>
      </c>
      <c r="H25" s="951" t="s">
        <v>306</v>
      </c>
      <c r="I25" s="952" t="s">
        <v>306</v>
      </c>
      <c r="J25" s="951" t="s">
        <v>306</v>
      </c>
      <c r="K25" s="950"/>
      <c r="L25" s="722"/>
      <c r="W25" s="677"/>
      <c r="X25" s="760">
        <v>0</v>
      </c>
    </row>
    <row r="26" s="1637" customFormat="1" ht="18.75" customHeight="1">
      <c r="A26" s="2394"/>
      <c r="C26" s="958"/>
      <c r="D26" s="955" t="s">
        <v>835</v>
      </c>
      <c r="E26" s="555" t="s">
        <v>836</v>
      </c>
      <c r="F26" s="952" t="s">
        <v>837</v>
      </c>
      <c r="G26" s="682"/>
      <c r="H26" s="688"/>
      <c r="I26" s="682"/>
      <c r="J26" s="688"/>
      <c r="K26" s="950"/>
      <c r="L26" s="722"/>
      <c r="W26" s="677"/>
      <c r="X26" s="760">
        <v>0</v>
      </c>
    </row>
    <row r="27" s="1637" customFormat="1" ht="18.75" customHeight="1">
      <c r="A27" s="2394"/>
      <c r="C27" s="958"/>
      <c r="D27" s="955" t="s">
        <v>838</v>
      </c>
      <c r="E27" s="555" t="s">
        <v>839</v>
      </c>
      <c r="F27" s="952" t="s">
        <v>840</v>
      </c>
      <c r="G27" s="682"/>
      <c r="H27" s="688"/>
      <c r="I27" s="682"/>
      <c r="J27" s="688"/>
      <c r="K27" s="950"/>
      <c r="L27" s="722"/>
      <c r="W27" s="677"/>
      <c r="X27" s="760">
        <v>0</v>
      </c>
    </row>
    <row r="28" s="1637" customFormat="1" ht="18.75" customHeight="1">
      <c r="A28" s="2394"/>
      <c r="C28" s="958"/>
      <c r="D28" s="955" t="s">
        <v>841</v>
      </c>
      <c r="E28" s="578" t="s">
        <v>842</v>
      </c>
      <c r="F28" s="952" t="s">
        <v>306</v>
      </c>
      <c r="G28" s="952" t="s">
        <v>306</v>
      </c>
      <c r="H28" s="951" t="s">
        <v>306</v>
      </c>
      <c r="I28" s="952" t="s">
        <v>306</v>
      </c>
      <c r="J28" s="951" t="s">
        <v>306</v>
      </c>
      <c r="K28" s="950"/>
      <c r="L28" s="722"/>
      <c r="W28" s="677"/>
      <c r="X28" s="760">
        <v>0</v>
      </c>
    </row>
    <row r="29" s="1637" customFormat="1" ht="18.75" customHeight="1">
      <c r="A29" s="2394"/>
      <c r="C29" s="958"/>
      <c r="D29" s="955" t="s">
        <v>843</v>
      </c>
      <c r="E29" s="555" t="s">
        <v>836</v>
      </c>
      <c r="F29" s="952" t="s">
        <v>844</v>
      </c>
      <c r="G29" s="682"/>
      <c r="H29" s="688"/>
      <c r="I29" s="682"/>
      <c r="J29" s="688"/>
      <c r="K29" s="950"/>
      <c r="L29" s="722"/>
      <c r="W29" s="677"/>
      <c r="X29" s="760">
        <v>0</v>
      </c>
    </row>
    <row r="30" s="1637" customFormat="1" ht="18.75" customHeight="1">
      <c r="A30" s="2394"/>
      <c r="C30" s="958"/>
      <c r="D30" s="955" t="s">
        <v>845</v>
      </c>
      <c r="E30" s="555" t="s">
        <v>846</v>
      </c>
      <c r="F30" s="952" t="s">
        <v>847</v>
      </c>
      <c r="G30" s="682"/>
      <c r="H30" s="688"/>
      <c r="I30" s="682"/>
      <c r="J30" s="688"/>
      <c r="K30" s="950"/>
      <c r="L30" s="722"/>
      <c r="W30" s="677"/>
      <c r="X30" s="760">
        <v>0</v>
      </c>
    </row>
    <row r="31" ht="126.75" customHeight="1">
      <c r="A31" s="2394"/>
      <c r="D31" s="955" t="s">
        <v>112</v>
      </c>
      <c r="E31" s="281" t="s">
        <v>848</v>
      </c>
      <c r="F31" s="662" t="s">
        <v>558</v>
      </c>
      <c r="G31" s="559"/>
      <c r="H31" s="664"/>
      <c r="I31" s="559"/>
      <c r="J31" s="664"/>
      <c r="K31" s="291" t="s">
        <v>849</v>
      </c>
      <c r="L31" s="722"/>
      <c r="X31" s="507">
        <v>0</v>
      </c>
    </row>
    <row r="32" ht="56.25" customHeight="1">
      <c r="A32" s="2394"/>
      <c r="D32" s="955" t="s">
        <v>92</v>
      </c>
      <c r="E32" s="281" t="s">
        <v>850</v>
      </c>
      <c r="F32" s="541" t="s">
        <v>820</v>
      </c>
      <c r="G32" s="559"/>
      <c r="H32" s="664"/>
      <c r="I32" s="559"/>
      <c r="J32" s="664"/>
      <c r="K32" s="291" t="s">
        <v>851</v>
      </c>
      <c r="L32" s="722"/>
      <c r="X32" s="507">
        <v>0</v>
      </c>
    </row>
    <row r="33" ht="11.25" customHeight="1">
      <c r="A33" s="2394"/>
      <c r="E33" s="666"/>
      <c r="F33" s="183"/>
      <c r="G33" s="183"/>
      <c r="H33" s="183"/>
      <c r="I33" s="183"/>
      <c r="J33" s="183"/>
      <c r="K33" s="183"/>
      <c r="X33" s="507">
        <v>0</v>
      </c>
    </row>
    <row r="34" ht="12.75" customHeight="1">
      <c r="A34" s="2394"/>
      <c r="D34" s="67">
        <v>1</v>
      </c>
      <c r="E34" s="337" t="s">
        <v>852</v>
      </c>
      <c r="X34" s="507">
        <v>0</v>
      </c>
    </row>
    <row r="35" ht="11.25" customHeight="1">
      <c r="A35" s="2394"/>
      <c r="D35" s="371"/>
      <c r="E35" s="337" t="s">
        <v>853</v>
      </c>
      <c r="X35" s="507">
        <v>0</v>
      </c>
    </row>
    <row r="36" s="1637" customFormat="1" ht="11.5" customHeight="1">
      <c r="A36" s="1035"/>
      <c r="B36" s="520"/>
      <c r="D36" s="1036"/>
      <c r="E36" s="1037"/>
      <c r="X36" s="511">
        <v>11</v>
      </c>
    </row>
    <row r="37" s="1637" customFormat="1" ht="22.5" hidden="1" customHeight="1">
      <c r="A37" s="2394" t="s">
        <v>854</v>
      </c>
      <c r="B37" s="513"/>
      <c r="D37" s="955">
        <v>1</v>
      </c>
      <c r="E37" s="709" t="s">
        <v>855</v>
      </c>
      <c r="F37" s="662" t="s">
        <v>810</v>
      </c>
      <c r="G37" s="559"/>
      <c r="H37" s="521"/>
      <c r="I37" s="559"/>
      <c r="J37" s="521"/>
      <c r="K37" s="291" t="s">
        <v>856</v>
      </c>
      <c r="X37" s="760">
        <v>0</v>
      </c>
    </row>
    <row r="38" s="1637" customFormat="1" ht="22.5" hidden="1" customHeight="1">
      <c r="A38" s="2394"/>
      <c r="B38" s="513"/>
      <c r="D38" s="671" t="s">
        <v>111</v>
      </c>
      <c r="E38" s="1034" t="s">
        <v>857</v>
      </c>
      <c r="F38" s="1038" t="s">
        <v>546</v>
      </c>
      <c r="G38" s="1038" t="s">
        <v>546</v>
      </c>
      <c r="H38" s="1032"/>
      <c r="I38" s="1038" t="s">
        <v>546</v>
      </c>
      <c r="J38" s="1032"/>
      <c r="K38" s="1033"/>
      <c r="X38" s="760">
        <v>0</v>
      </c>
    </row>
    <row r="39" s="1637" customFormat="1" ht="33.75" hidden="1" customHeight="1">
      <c r="A39" s="2394"/>
      <c r="B39" s="513"/>
      <c r="D39" s="667" t="s">
        <v>712</v>
      </c>
      <c r="E39" s="725" t="s">
        <v>858</v>
      </c>
      <c r="F39" s="662" t="s">
        <v>859</v>
      </c>
      <c r="G39" s="670"/>
      <c r="H39" s="1025"/>
      <c r="I39" s="670"/>
      <c r="J39" s="1025"/>
      <c r="K39" s="291" t="s">
        <v>860</v>
      </c>
      <c r="X39" s="760">
        <v>0</v>
      </c>
    </row>
    <row r="40" s="1637" customFormat="1" ht="33.75" hidden="1" customHeight="1">
      <c r="A40" s="2394"/>
      <c r="B40" s="513"/>
      <c r="D40" s="667" t="s">
        <v>715</v>
      </c>
      <c r="E40" s="725" t="s">
        <v>861</v>
      </c>
      <c r="F40" s="1029" t="s">
        <v>862</v>
      </c>
      <c r="G40" s="743"/>
      <c r="H40" s="1025"/>
      <c r="I40" s="743"/>
      <c r="J40" s="1025"/>
      <c r="K40" s="291" t="s">
        <v>863</v>
      </c>
      <c r="X40" s="760">
        <v>0</v>
      </c>
    </row>
    <row r="41" s="1637" customFormat="1" ht="22.5" hidden="1" customHeight="1">
      <c r="A41" s="2394"/>
      <c r="B41" s="513"/>
      <c r="D41" s="667" t="s">
        <v>90</v>
      </c>
      <c r="E41" s="724" t="s">
        <v>864</v>
      </c>
      <c r="F41" s="662" t="s">
        <v>546</v>
      </c>
      <c r="G41" s="662" t="s">
        <v>546</v>
      </c>
      <c r="H41" s="1026"/>
      <c r="I41" s="662" t="s">
        <v>546</v>
      </c>
      <c r="J41" s="1026"/>
      <c r="K41" s="304"/>
      <c r="X41" s="760">
        <v>0</v>
      </c>
    </row>
    <row r="42" s="1637" customFormat="1" ht="45" hidden="1" customHeight="1">
      <c r="A42" s="2394"/>
      <c r="B42" s="513"/>
      <c r="D42" s="667" t="s">
        <v>324</v>
      </c>
      <c r="E42" s="725" t="s">
        <v>865</v>
      </c>
      <c r="F42" s="662" t="s">
        <v>558</v>
      </c>
      <c r="G42" s="559"/>
      <c r="H42" s="1026"/>
      <c r="I42" s="559"/>
      <c r="J42" s="1026"/>
      <c r="K42" s="304" t="s">
        <v>866</v>
      </c>
      <c r="X42" s="760">
        <v>0</v>
      </c>
    </row>
    <row r="43" s="1637" customFormat="1" ht="45" hidden="1" customHeight="1">
      <c r="A43" s="2394"/>
      <c r="B43" s="513"/>
      <c r="D43" s="667" t="s">
        <v>332</v>
      </c>
      <c r="E43" s="669" t="s">
        <v>867</v>
      </c>
      <c r="F43" s="1030" t="s">
        <v>558</v>
      </c>
      <c r="G43" s="744"/>
      <c r="H43" s="1025"/>
      <c r="I43" s="744"/>
      <c r="J43" s="1025"/>
      <c r="K43" s="304" t="s">
        <v>868</v>
      </c>
      <c r="X43" s="760">
        <v>0</v>
      </c>
    </row>
    <row r="44" s="1637" customFormat="1" ht="11.25" hidden="1" customHeight="1">
      <c r="A44" s="2394"/>
      <c r="B44" s="513"/>
      <c r="D44" s="667" t="s">
        <v>91</v>
      </c>
      <c r="E44" s="668" t="s">
        <v>869</v>
      </c>
      <c r="F44" s="662" t="s">
        <v>859</v>
      </c>
      <c r="G44" s="670"/>
      <c r="H44" s="1025"/>
      <c r="I44" s="670"/>
      <c r="J44" s="1025"/>
      <c r="K44" s="291"/>
      <c r="X44" s="760">
        <v>0</v>
      </c>
    </row>
    <row r="45" s="1637" customFormat="1" ht="11.25" hidden="1" customHeight="1">
      <c r="A45" s="2394"/>
      <c r="B45" s="513"/>
      <c r="D45" s="667" t="s">
        <v>754</v>
      </c>
      <c r="E45" s="669" t="s">
        <v>870</v>
      </c>
      <c r="F45" s="662" t="s">
        <v>859</v>
      </c>
      <c r="G45" s="670"/>
      <c r="H45" s="1025"/>
      <c r="I45" s="670"/>
      <c r="J45" s="1025"/>
      <c r="K45" s="291"/>
      <c r="X45" s="760">
        <v>0</v>
      </c>
    </row>
    <row r="46" s="1637" customFormat="1" ht="11.25" hidden="1" customHeight="1">
      <c r="A46" s="2394"/>
      <c r="B46" s="513"/>
      <c r="D46" s="667" t="s">
        <v>796</v>
      </c>
      <c r="E46" s="669" t="s">
        <v>871</v>
      </c>
      <c r="F46" s="662" t="s">
        <v>859</v>
      </c>
      <c r="G46" s="670"/>
      <c r="H46" s="1025"/>
      <c r="I46" s="670"/>
      <c r="J46" s="1025"/>
      <c r="K46" s="291"/>
      <c r="X46" s="760">
        <v>0</v>
      </c>
    </row>
    <row r="47" s="1637" customFormat="1" ht="11.25" hidden="1" customHeight="1">
      <c r="A47" s="2394"/>
      <c r="B47" s="513"/>
      <c r="D47" s="667" t="s">
        <v>799</v>
      </c>
      <c r="E47" s="669" t="s">
        <v>872</v>
      </c>
      <c r="F47" s="662" t="s">
        <v>859</v>
      </c>
      <c r="G47" s="670"/>
      <c r="H47" s="1025"/>
      <c r="I47" s="670"/>
      <c r="J47" s="1025"/>
      <c r="K47" s="291"/>
      <c r="X47" s="760">
        <v>0</v>
      </c>
    </row>
    <row r="48" s="1637" customFormat="1" ht="11.25" hidden="1" customHeight="1">
      <c r="A48" s="2394"/>
      <c r="B48" s="513"/>
      <c r="D48" s="667" t="s">
        <v>873</v>
      </c>
      <c r="E48" s="673" t="s">
        <v>874</v>
      </c>
      <c r="F48" s="662" t="s">
        <v>859</v>
      </c>
      <c r="G48" s="670"/>
      <c r="H48" s="1025"/>
      <c r="I48" s="670"/>
      <c r="J48" s="1025"/>
      <c r="K48" s="291"/>
      <c r="X48" s="760">
        <v>0</v>
      </c>
    </row>
    <row r="49" s="1637" customFormat="1" ht="11.25" hidden="1" customHeight="1">
      <c r="A49" s="2394"/>
      <c r="B49" s="513"/>
      <c r="D49" s="667" t="s">
        <v>875</v>
      </c>
      <c r="E49" s="673" t="s">
        <v>876</v>
      </c>
      <c r="F49" s="662" t="s">
        <v>859</v>
      </c>
      <c r="G49" s="670"/>
      <c r="H49" s="1025"/>
      <c r="I49" s="670"/>
      <c r="J49" s="1025"/>
      <c r="K49" s="291"/>
      <c r="X49" s="760">
        <v>0</v>
      </c>
    </row>
    <row r="50" s="1637" customFormat="1" ht="11.25" hidden="1" customHeight="1">
      <c r="A50" s="2394"/>
      <c r="B50" s="513"/>
      <c r="D50" s="667" t="s">
        <v>877</v>
      </c>
      <c r="E50" s="669" t="s">
        <v>878</v>
      </c>
      <c r="F50" s="662" t="s">
        <v>859</v>
      </c>
      <c r="G50" s="670"/>
      <c r="H50" s="1025"/>
      <c r="I50" s="670"/>
      <c r="J50" s="1025"/>
      <c r="K50" s="291"/>
      <c r="X50" s="760">
        <v>0</v>
      </c>
    </row>
    <row r="51" s="1637" customFormat="1" ht="11.25" hidden="1" customHeight="1">
      <c r="A51" s="2394"/>
      <c r="B51" s="513"/>
      <c r="D51" s="667" t="s">
        <v>879</v>
      </c>
      <c r="E51" s="669" t="s">
        <v>880</v>
      </c>
      <c r="F51" s="662" t="s">
        <v>859</v>
      </c>
      <c r="G51" s="670"/>
      <c r="H51" s="1025"/>
      <c r="I51" s="670"/>
      <c r="J51" s="1025"/>
      <c r="K51" s="291"/>
      <c r="X51" s="760">
        <v>0</v>
      </c>
    </row>
    <row r="52" s="1637" customFormat="1" ht="45" hidden="1" customHeight="1">
      <c r="A52" s="2394"/>
      <c r="B52" s="513"/>
      <c r="D52" s="667" t="s">
        <v>112</v>
      </c>
      <c r="E52" s="668" t="s">
        <v>881</v>
      </c>
      <c r="F52" s="662" t="s">
        <v>859</v>
      </c>
      <c r="G52" s="670"/>
      <c r="H52" s="1025"/>
      <c r="I52" s="670"/>
      <c r="J52" s="1025"/>
      <c r="K52" s="291"/>
      <c r="X52" s="760">
        <v>0</v>
      </c>
    </row>
    <row r="53" s="1637" customFormat="1" ht="11.25" hidden="1" customHeight="1">
      <c r="A53" s="2394"/>
      <c r="B53" s="513"/>
      <c r="D53" s="667" t="s">
        <v>313</v>
      </c>
      <c r="E53" s="669" t="s">
        <v>870</v>
      </c>
      <c r="F53" s="662" t="s">
        <v>859</v>
      </c>
      <c r="G53" s="670"/>
      <c r="H53" s="1025"/>
      <c r="I53" s="670"/>
      <c r="J53" s="1025"/>
      <c r="K53" s="291"/>
      <c r="X53" s="760">
        <v>0</v>
      </c>
    </row>
    <row r="54" s="1637" customFormat="1" ht="11.25" hidden="1" customHeight="1">
      <c r="A54" s="2394"/>
      <c r="B54" s="513"/>
      <c r="D54" s="667" t="s">
        <v>882</v>
      </c>
      <c r="E54" s="669" t="s">
        <v>871</v>
      </c>
      <c r="F54" s="662" t="s">
        <v>859</v>
      </c>
      <c r="G54" s="670"/>
      <c r="H54" s="1025"/>
      <c r="I54" s="670"/>
      <c r="J54" s="1025"/>
      <c r="K54" s="291"/>
      <c r="X54" s="760">
        <v>0</v>
      </c>
    </row>
    <row r="55" s="1637" customFormat="1" ht="11.25" hidden="1" customHeight="1">
      <c r="A55" s="2394"/>
      <c r="B55" s="513"/>
      <c r="D55" s="667" t="s">
        <v>883</v>
      </c>
      <c r="E55" s="669" t="s">
        <v>872</v>
      </c>
      <c r="F55" s="662" t="s">
        <v>859</v>
      </c>
      <c r="G55" s="670"/>
      <c r="H55" s="1025"/>
      <c r="I55" s="670"/>
      <c r="J55" s="1025"/>
      <c r="K55" s="291"/>
      <c r="X55" s="760">
        <v>0</v>
      </c>
    </row>
    <row r="56" s="1637" customFormat="1" ht="11.25" hidden="1" customHeight="1">
      <c r="A56" s="2394"/>
      <c r="B56" s="513"/>
      <c r="D56" s="667" t="s">
        <v>884</v>
      </c>
      <c r="E56" s="673" t="s">
        <v>874</v>
      </c>
      <c r="F56" s="662" t="s">
        <v>859</v>
      </c>
      <c r="G56" s="670"/>
      <c r="H56" s="1025"/>
      <c r="I56" s="670"/>
      <c r="J56" s="1025"/>
      <c r="K56" s="291"/>
      <c r="X56" s="760">
        <v>0</v>
      </c>
    </row>
    <row r="57" s="1637" customFormat="1" ht="11.25" hidden="1" customHeight="1">
      <c r="A57" s="2394"/>
      <c r="B57" s="513"/>
      <c r="D57" s="667" t="s">
        <v>885</v>
      </c>
      <c r="E57" s="673" t="s">
        <v>876</v>
      </c>
      <c r="F57" s="662" t="s">
        <v>859</v>
      </c>
      <c r="G57" s="670"/>
      <c r="H57" s="1025"/>
      <c r="I57" s="670"/>
      <c r="J57" s="1025"/>
      <c r="K57" s="291"/>
      <c r="X57" s="760">
        <v>0</v>
      </c>
    </row>
    <row r="58" s="1637" customFormat="1" ht="11.25" hidden="1" customHeight="1">
      <c r="A58" s="2394"/>
      <c r="B58" s="513"/>
      <c r="D58" s="667" t="s">
        <v>886</v>
      </c>
      <c r="E58" s="669" t="s">
        <v>878</v>
      </c>
      <c r="F58" s="662" t="s">
        <v>859</v>
      </c>
      <c r="G58" s="670"/>
      <c r="H58" s="1025"/>
      <c r="I58" s="670"/>
      <c r="J58" s="1025"/>
      <c r="K58" s="291"/>
      <c r="X58" s="760">
        <v>0</v>
      </c>
    </row>
    <row r="59" s="1637" customFormat="1" ht="11.25" hidden="1" customHeight="1">
      <c r="A59" s="2394"/>
      <c r="B59" s="513"/>
      <c r="D59" s="667" t="s">
        <v>887</v>
      </c>
      <c r="E59" s="669" t="s">
        <v>880</v>
      </c>
      <c r="F59" s="662" t="s">
        <v>859</v>
      </c>
      <c r="G59" s="670"/>
      <c r="H59" s="1025"/>
      <c r="I59" s="670"/>
      <c r="J59" s="1025"/>
      <c r="K59" s="291"/>
      <c r="X59" s="760">
        <v>0</v>
      </c>
    </row>
    <row r="60" s="1637" customFormat="1" ht="33.75" hidden="1" customHeight="1">
      <c r="A60" s="2394"/>
      <c r="B60" s="513"/>
      <c r="D60" s="667" t="s">
        <v>92</v>
      </c>
      <c r="E60" s="668" t="s">
        <v>888</v>
      </c>
      <c r="F60" s="723" t="s">
        <v>558</v>
      </c>
      <c r="G60" s="744"/>
      <c r="H60" s="1025"/>
      <c r="I60" s="744"/>
      <c r="J60" s="1025"/>
      <c r="K60" s="304" t="s">
        <v>889</v>
      </c>
      <c r="X60" s="760">
        <v>0</v>
      </c>
    </row>
    <row r="61" s="1637" customFormat="1" ht="33.75" hidden="1" customHeight="1">
      <c r="A61" s="2394"/>
      <c r="B61" s="513"/>
      <c r="D61" s="667" t="s">
        <v>93</v>
      </c>
      <c r="E61" s="668" t="s">
        <v>890</v>
      </c>
      <c r="F61" s="728" t="s">
        <v>820</v>
      </c>
      <c r="G61" s="670"/>
      <c r="H61" s="1025"/>
      <c r="I61" s="670"/>
      <c r="J61" s="1025"/>
      <c r="K61" s="291"/>
      <c r="X61" s="760">
        <v>0</v>
      </c>
    </row>
    <row r="62" s="1637" customFormat="1" ht="22.5" hidden="1" customHeight="1">
      <c r="A62" s="2394"/>
      <c r="B62" s="513" t="s">
        <v>588</v>
      </c>
      <c r="D62" s="667" t="s">
        <v>113</v>
      </c>
      <c r="E62" s="668" t="s">
        <v>891</v>
      </c>
      <c r="F62" s="728" t="s">
        <v>306</v>
      </c>
      <c r="G62" s="384"/>
      <c r="H62" s="1025"/>
      <c r="I62" s="384"/>
      <c r="J62" s="1025"/>
      <c r="K62" s="291" t="s">
        <v>631</v>
      </c>
      <c r="X62" s="760">
        <v>0</v>
      </c>
    </row>
    <row r="63" s="1637" customFormat="1" ht="45" hidden="1" customHeight="1">
      <c r="A63" s="2394"/>
      <c r="B63" s="513" t="s">
        <v>588</v>
      </c>
      <c r="D63" s="667" t="s">
        <v>892</v>
      </c>
      <c r="E63" s="669" t="s">
        <v>893</v>
      </c>
      <c r="F63" s="723" t="s">
        <v>306</v>
      </c>
      <c r="G63" s="384"/>
      <c r="H63" s="1025"/>
      <c r="I63" s="384"/>
      <c r="J63" s="1025"/>
      <c r="K63" s="291" t="s">
        <v>631</v>
      </c>
      <c r="X63" s="760">
        <v>0</v>
      </c>
    </row>
    <row r="64" s="1637" customFormat="1" ht="11.5" customHeight="1">
      <c r="A64" s="1035"/>
      <c r="B64" s="520"/>
      <c r="D64" s="1036"/>
      <c r="E64" s="1037"/>
      <c r="X64" s="511">
        <v>11</v>
      </c>
    </row>
    <row r="65" s="1637" customFormat="1" ht="22.5" hidden="1" customHeight="1">
      <c r="A65" s="2394" t="s">
        <v>894</v>
      </c>
      <c r="B65" s="513"/>
      <c r="D65" s="667">
        <v>1</v>
      </c>
      <c r="E65" s="746" t="s">
        <v>895</v>
      </c>
      <c r="F65" s="742" t="s">
        <v>810</v>
      </c>
      <c r="G65" s="743"/>
      <c r="H65" s="1031"/>
      <c r="I65" s="743"/>
      <c r="J65" s="1031"/>
      <c r="K65" s="303" t="s">
        <v>896</v>
      </c>
      <c r="X65" s="760">
        <v>0</v>
      </c>
    </row>
    <row r="66" s="1637" customFormat="1" ht="56.25" hidden="1" customHeight="1">
      <c r="A66" s="2394"/>
      <c r="B66" s="513"/>
      <c r="D66" s="745" t="s">
        <v>111</v>
      </c>
      <c r="E66" s="709" t="s">
        <v>897</v>
      </c>
      <c r="F66" s="662" t="s">
        <v>546</v>
      </c>
      <c r="G66" s="662" t="s">
        <v>546</v>
      </c>
      <c r="H66" s="521"/>
      <c r="I66" s="662" t="s">
        <v>546</v>
      </c>
      <c r="J66" s="521"/>
      <c r="K66" s="291"/>
      <c r="X66" s="760">
        <v>0</v>
      </c>
    </row>
    <row r="67" s="1637" customFormat="1" ht="33.75" hidden="1" customHeight="1">
      <c r="A67" s="2394"/>
      <c r="B67" s="513"/>
      <c r="D67" s="745" t="s">
        <v>709</v>
      </c>
      <c r="E67" s="956" t="s">
        <v>898</v>
      </c>
      <c r="F67" s="662" t="s">
        <v>862</v>
      </c>
      <c r="G67" s="729"/>
      <c r="H67" s="521"/>
      <c r="I67" s="729"/>
      <c r="J67" s="521"/>
      <c r="K67" s="291"/>
      <c r="X67" s="760">
        <v>0</v>
      </c>
    </row>
    <row r="68" s="1637" customFormat="1" ht="22.5" hidden="1" customHeight="1">
      <c r="A68" s="2394"/>
      <c r="B68" s="513"/>
      <c r="D68" s="745" t="s">
        <v>307</v>
      </c>
      <c r="E68" s="956" t="s">
        <v>899</v>
      </c>
      <c r="F68" s="662" t="s">
        <v>862</v>
      </c>
      <c r="G68" s="729"/>
      <c r="H68" s="521"/>
      <c r="I68" s="729"/>
      <c r="J68" s="521"/>
      <c r="K68" s="291"/>
      <c r="X68" s="760">
        <v>0</v>
      </c>
    </row>
    <row r="69" s="1637" customFormat="1" ht="22.5" hidden="1" customHeight="1">
      <c r="A69" s="2394"/>
      <c r="B69" s="513"/>
      <c r="D69" s="745" t="s">
        <v>310</v>
      </c>
      <c r="E69" s="956" t="s">
        <v>900</v>
      </c>
      <c r="F69" s="723" t="s">
        <v>558</v>
      </c>
      <c r="G69" s="744"/>
      <c r="H69" s="521"/>
      <c r="I69" s="744"/>
      <c r="J69" s="521"/>
      <c r="K69" s="291"/>
      <c r="X69" s="760">
        <v>0</v>
      </c>
    </row>
    <row r="70" s="1637" customFormat="1" ht="22.5" hidden="1" customHeight="1">
      <c r="A70" s="2394"/>
      <c r="B70" s="513"/>
      <c r="D70" s="745" t="s">
        <v>729</v>
      </c>
      <c r="E70" s="956" t="s">
        <v>901</v>
      </c>
      <c r="F70" s="723" t="s">
        <v>558</v>
      </c>
      <c r="G70" s="744"/>
      <c r="H70" s="521"/>
      <c r="I70" s="744"/>
      <c r="J70" s="521"/>
      <c r="K70" s="291"/>
      <c r="X70" s="760">
        <v>0</v>
      </c>
    </row>
    <row r="71" s="1637" customFormat="1" ht="22.5" hidden="1" customHeight="1">
      <c r="A71" s="2394"/>
      <c r="B71" s="513"/>
      <c r="D71" s="667" t="s">
        <v>90</v>
      </c>
      <c r="E71" s="668" t="s">
        <v>902</v>
      </c>
      <c r="F71" s="662" t="s">
        <v>862</v>
      </c>
      <c r="G71" s="559"/>
      <c r="H71" s="1032"/>
      <c r="I71" s="559"/>
      <c r="J71" s="1032"/>
      <c r="K71" s="304"/>
      <c r="X71" s="760">
        <v>0</v>
      </c>
    </row>
    <row r="72" s="1637" customFormat="1" ht="56.25" hidden="1" customHeight="1">
      <c r="A72" s="2394"/>
      <c r="B72" s="513"/>
      <c r="D72" s="667" t="s">
        <v>91</v>
      </c>
      <c r="E72" s="668" t="s">
        <v>903</v>
      </c>
      <c r="F72" s="723" t="s">
        <v>558</v>
      </c>
      <c r="G72" s="744"/>
      <c r="H72" s="1025"/>
      <c r="I72" s="744"/>
      <c r="J72" s="1025"/>
      <c r="K72" s="304"/>
      <c r="X72" s="760">
        <v>0</v>
      </c>
    </row>
    <row r="73" s="1637" customFormat="1" ht="33.75" hidden="1" customHeight="1">
      <c r="A73" s="2394"/>
      <c r="B73" s="513"/>
      <c r="D73" s="667" t="s">
        <v>112</v>
      </c>
      <c r="E73" s="668" t="s">
        <v>904</v>
      </c>
      <c r="F73" s="728" t="s">
        <v>820</v>
      </c>
      <c r="G73" s="670"/>
      <c r="H73" s="1025"/>
      <c r="I73" s="670"/>
      <c r="J73" s="1025"/>
      <c r="K73" s="291"/>
      <c r="X73" s="760">
        <v>0</v>
      </c>
    </row>
    <row r="74" s="1637" customFormat="1" ht="22.5" hidden="1" customHeight="1">
      <c r="A74" s="2394"/>
      <c r="B74" s="513" t="s">
        <v>588</v>
      </c>
      <c r="D74" s="667" t="s">
        <v>92</v>
      </c>
      <c r="E74" s="668" t="s">
        <v>905</v>
      </c>
      <c r="F74" s="728" t="s">
        <v>306</v>
      </c>
      <c r="G74" s="384"/>
      <c r="H74" s="1025"/>
      <c r="I74" s="384"/>
      <c r="J74" s="1025"/>
      <c r="K74" s="291" t="s">
        <v>631</v>
      </c>
      <c r="X74" s="760">
        <v>0</v>
      </c>
    </row>
    <row r="75" s="1637" customFormat="1" ht="45" hidden="1" customHeight="1">
      <c r="A75" s="2394"/>
      <c r="B75" s="513" t="s">
        <v>588</v>
      </c>
      <c r="D75" s="667" t="s">
        <v>652</v>
      </c>
      <c r="E75" s="669" t="s">
        <v>906</v>
      </c>
      <c r="F75" s="723" t="s">
        <v>306</v>
      </c>
      <c r="G75" s="384"/>
      <c r="H75" s="1025"/>
      <c r="I75" s="384"/>
      <c r="J75" s="1025"/>
      <c r="K75" s="291" t="s">
        <v>631</v>
      </c>
      <c r="X75" s="760">
        <v>0</v>
      </c>
    </row>
    <row r="76" s="1637" customFormat="1" ht="11.5" customHeight="1">
      <c r="A76" s="1035"/>
      <c r="B76" s="520"/>
      <c r="D76" s="1036"/>
      <c r="E76" s="1037"/>
      <c r="X76" s="511">
        <v>11</v>
      </c>
    </row>
    <row r="77" s="1637" customFormat="1" ht="11.25" hidden="1" customHeight="1">
      <c r="A77" s="2394" t="s">
        <v>907</v>
      </c>
      <c r="B77" s="513"/>
      <c r="D77" s="667">
        <v>1</v>
      </c>
      <c r="E77" s="668" t="s">
        <v>908</v>
      </c>
      <c r="F77" s="723" t="s">
        <v>810</v>
      </c>
      <c r="G77" s="726"/>
      <c r="H77" s="1025"/>
      <c r="I77" s="726"/>
      <c r="J77" s="1025"/>
      <c r="K77" s="291" t="s">
        <v>909</v>
      </c>
      <c r="X77" s="760">
        <v>0</v>
      </c>
    </row>
    <row r="78" s="1637" customFormat="1" ht="11.25" hidden="1" customHeight="1">
      <c r="A78" s="2394"/>
      <c r="B78" s="513"/>
      <c r="D78" s="667" t="s">
        <v>111</v>
      </c>
      <c r="E78" s="668" t="s">
        <v>910</v>
      </c>
      <c r="F78" s="723" t="s">
        <v>810</v>
      </c>
      <c r="G78" s="726"/>
      <c r="H78" s="1025"/>
      <c r="I78" s="726"/>
      <c r="J78" s="1025"/>
      <c r="K78" s="291" t="s">
        <v>911</v>
      </c>
      <c r="X78" s="760">
        <v>0</v>
      </c>
    </row>
    <row r="79" s="1637" customFormat="1" ht="22.5" hidden="1" customHeight="1">
      <c r="A79" s="2394"/>
      <c r="B79" s="513"/>
      <c r="D79" s="667" t="s">
        <v>90</v>
      </c>
      <c r="E79" s="724" t="s">
        <v>912</v>
      </c>
      <c r="F79" s="662" t="s">
        <v>859</v>
      </c>
      <c r="G79" s="726"/>
      <c r="H79" s="1025"/>
      <c r="I79" s="726"/>
      <c r="J79" s="1025"/>
      <c r="K79" s="291" t="s">
        <v>913</v>
      </c>
      <c r="X79" s="760">
        <v>0</v>
      </c>
    </row>
    <row r="80" s="1637" customFormat="1" ht="11.25" hidden="1" customHeight="1">
      <c r="A80" s="2394"/>
      <c r="B80" s="513"/>
      <c r="D80" s="667" t="s">
        <v>324</v>
      </c>
      <c r="E80" s="725" t="s">
        <v>914</v>
      </c>
      <c r="F80" s="662" t="s">
        <v>859</v>
      </c>
      <c r="G80" s="726"/>
      <c r="H80" s="1025"/>
      <c r="I80" s="726"/>
      <c r="J80" s="1025"/>
      <c r="K80" s="291"/>
      <c r="X80" s="760">
        <v>0</v>
      </c>
    </row>
    <row r="81" s="1637" customFormat="1" ht="11.25" hidden="1" customHeight="1">
      <c r="A81" s="2394"/>
      <c r="B81" s="513"/>
      <c r="D81" s="667" t="s">
        <v>332</v>
      </c>
      <c r="E81" s="725" t="s">
        <v>915</v>
      </c>
      <c r="F81" s="662" t="s">
        <v>859</v>
      </c>
      <c r="G81" s="726"/>
      <c r="H81" s="1025"/>
      <c r="I81" s="726"/>
      <c r="J81" s="1025"/>
      <c r="K81" s="291"/>
      <c r="X81" s="760">
        <v>0</v>
      </c>
    </row>
    <row r="82" s="1637" customFormat="1" ht="11.25" hidden="1" customHeight="1">
      <c r="A82" s="2394"/>
      <c r="B82" s="513"/>
      <c r="D82" s="667" t="s">
        <v>334</v>
      </c>
      <c r="E82" s="725" t="s">
        <v>916</v>
      </c>
      <c r="F82" s="662" t="s">
        <v>859</v>
      </c>
      <c r="G82" s="726"/>
      <c r="H82" s="1025"/>
      <c r="I82" s="726"/>
      <c r="J82" s="1025"/>
      <c r="K82" s="291"/>
      <c r="X82" s="760">
        <v>0</v>
      </c>
    </row>
    <row r="83" s="1637" customFormat="1" ht="11.25" hidden="1" customHeight="1">
      <c r="A83" s="2394"/>
      <c r="B83" s="513"/>
      <c r="D83" s="667" t="s">
        <v>336</v>
      </c>
      <c r="E83" s="725" t="s">
        <v>917</v>
      </c>
      <c r="F83" s="662" t="s">
        <v>859</v>
      </c>
      <c r="G83" s="726"/>
      <c r="H83" s="1025"/>
      <c r="I83" s="726"/>
      <c r="J83" s="1025"/>
      <c r="K83" s="291"/>
      <c r="X83" s="760">
        <v>0</v>
      </c>
    </row>
    <row r="84" s="1637" customFormat="1" ht="11.25" hidden="1" customHeight="1">
      <c r="A84" s="2394"/>
      <c r="B84" s="513"/>
      <c r="D84" s="667" t="s">
        <v>918</v>
      </c>
      <c r="E84" s="725" t="s">
        <v>919</v>
      </c>
      <c r="F84" s="662" t="s">
        <v>859</v>
      </c>
      <c r="G84" s="726"/>
      <c r="H84" s="1025"/>
      <c r="I84" s="726"/>
      <c r="J84" s="1025"/>
      <c r="K84" s="291"/>
      <c r="X84" s="760">
        <v>0</v>
      </c>
    </row>
    <row r="85" s="1637" customFormat="1" ht="11.25" hidden="1" customHeight="1">
      <c r="A85" s="2394"/>
      <c r="B85" s="513"/>
      <c r="D85" s="667" t="s">
        <v>920</v>
      </c>
      <c r="E85" s="725" t="s">
        <v>921</v>
      </c>
      <c r="F85" s="662" t="s">
        <v>859</v>
      </c>
      <c r="G85" s="726"/>
      <c r="H85" s="1025"/>
      <c r="I85" s="726"/>
      <c r="J85" s="1025"/>
      <c r="K85" s="291"/>
      <c r="X85" s="760">
        <v>0</v>
      </c>
    </row>
    <row r="86" s="1637" customFormat="1" ht="11.25" hidden="1" customHeight="1">
      <c r="A86" s="2394"/>
      <c r="B86" s="513"/>
      <c r="D86" s="667" t="s">
        <v>922</v>
      </c>
      <c r="E86" s="725" t="s">
        <v>923</v>
      </c>
      <c r="F86" s="662" t="s">
        <v>859</v>
      </c>
      <c r="G86" s="726"/>
      <c r="H86" s="1025"/>
      <c r="I86" s="726"/>
      <c r="J86" s="1025"/>
      <c r="K86" s="291"/>
      <c r="X86" s="760">
        <v>0</v>
      </c>
    </row>
    <row r="87" s="1637" customFormat="1" ht="45" hidden="1" customHeight="1">
      <c r="A87" s="2394"/>
      <c r="B87" s="513"/>
      <c r="D87" s="667" t="s">
        <v>91</v>
      </c>
      <c r="E87" s="668" t="s">
        <v>924</v>
      </c>
      <c r="F87" s="662" t="s">
        <v>859</v>
      </c>
      <c r="G87" s="726"/>
      <c r="H87" s="1025"/>
      <c r="I87" s="726"/>
      <c r="J87" s="1025"/>
      <c r="K87" s="291" t="s">
        <v>925</v>
      </c>
      <c r="X87" s="760">
        <v>0</v>
      </c>
    </row>
    <row r="88" s="1637" customFormat="1" ht="11.25" hidden="1" customHeight="1">
      <c r="A88" s="2394"/>
      <c r="B88" s="513"/>
      <c r="D88" s="667" t="s">
        <v>754</v>
      </c>
      <c r="E88" s="725" t="s">
        <v>914</v>
      </c>
      <c r="F88" s="662" t="s">
        <v>859</v>
      </c>
      <c r="G88" s="726"/>
      <c r="H88" s="1025"/>
      <c r="I88" s="726"/>
      <c r="J88" s="1025"/>
      <c r="K88" s="291"/>
      <c r="X88" s="760">
        <v>0</v>
      </c>
    </row>
    <row r="89" s="1637" customFormat="1" ht="11.25" hidden="1" customHeight="1">
      <c r="A89" s="2394"/>
      <c r="B89" s="513"/>
      <c r="D89" s="667" t="s">
        <v>796</v>
      </c>
      <c r="E89" s="725" t="s">
        <v>915</v>
      </c>
      <c r="F89" s="662" t="s">
        <v>859</v>
      </c>
      <c r="G89" s="726"/>
      <c r="H89" s="1025"/>
      <c r="I89" s="726"/>
      <c r="J89" s="1025"/>
      <c r="K89" s="291"/>
      <c r="X89" s="760">
        <v>0</v>
      </c>
    </row>
    <row r="90" s="1637" customFormat="1" ht="11.25" hidden="1" customHeight="1">
      <c r="A90" s="2394"/>
      <c r="B90" s="513"/>
      <c r="D90" s="667" t="s">
        <v>799</v>
      </c>
      <c r="E90" s="725" t="s">
        <v>916</v>
      </c>
      <c r="F90" s="662" t="s">
        <v>859</v>
      </c>
      <c r="G90" s="726"/>
      <c r="H90" s="1025"/>
      <c r="I90" s="726"/>
      <c r="J90" s="1025"/>
      <c r="K90" s="291"/>
      <c r="X90" s="760">
        <v>0</v>
      </c>
    </row>
    <row r="91" s="1637" customFormat="1" ht="11.25" hidden="1" customHeight="1">
      <c r="A91" s="2394"/>
      <c r="B91" s="513"/>
      <c r="D91" s="667" t="s">
        <v>877</v>
      </c>
      <c r="E91" s="725" t="s">
        <v>917</v>
      </c>
      <c r="F91" s="662" t="s">
        <v>859</v>
      </c>
      <c r="G91" s="726"/>
      <c r="H91" s="1025"/>
      <c r="I91" s="726"/>
      <c r="J91" s="1025"/>
      <c r="K91" s="291"/>
      <c r="X91" s="760">
        <v>0</v>
      </c>
    </row>
    <row r="92" s="1637" customFormat="1" ht="11.25" hidden="1" customHeight="1">
      <c r="A92" s="2394"/>
      <c r="B92" s="513"/>
      <c r="D92" s="667" t="s">
        <v>879</v>
      </c>
      <c r="E92" s="725" t="s">
        <v>919</v>
      </c>
      <c r="F92" s="662" t="s">
        <v>859</v>
      </c>
      <c r="G92" s="726"/>
      <c r="H92" s="1025"/>
      <c r="I92" s="726"/>
      <c r="J92" s="1025"/>
      <c r="K92" s="291"/>
      <c r="X92" s="760">
        <v>0</v>
      </c>
    </row>
    <row r="93" s="1637" customFormat="1" ht="11.25" hidden="1" customHeight="1">
      <c r="A93" s="2394"/>
      <c r="B93" s="513"/>
      <c r="D93" s="667" t="s">
        <v>926</v>
      </c>
      <c r="E93" s="725" t="s">
        <v>921</v>
      </c>
      <c r="F93" s="662" t="s">
        <v>859</v>
      </c>
      <c r="G93" s="726"/>
      <c r="H93" s="1025"/>
      <c r="I93" s="726"/>
      <c r="J93" s="1025"/>
      <c r="K93" s="291"/>
      <c r="X93" s="760">
        <v>0</v>
      </c>
    </row>
    <row r="94" s="1637" customFormat="1" ht="11.25" hidden="1" customHeight="1">
      <c r="A94" s="2394"/>
      <c r="B94" s="513"/>
      <c r="D94" s="667" t="s">
        <v>927</v>
      </c>
      <c r="E94" s="725" t="s">
        <v>923</v>
      </c>
      <c r="F94" s="662" t="s">
        <v>859</v>
      </c>
      <c r="G94" s="726"/>
      <c r="H94" s="1025"/>
      <c r="I94" s="726"/>
      <c r="J94" s="1025"/>
      <c r="K94" s="291"/>
      <c r="X94" s="760">
        <v>0</v>
      </c>
    </row>
    <row r="95" s="1637" customFormat="1" ht="24.75" hidden="1" customHeight="1">
      <c r="A95" s="2394"/>
      <c r="B95" s="513"/>
      <c r="D95" s="667" t="s">
        <v>112</v>
      </c>
      <c r="E95" s="668" t="s">
        <v>928</v>
      </c>
      <c r="F95" s="727" t="s">
        <v>558</v>
      </c>
      <c r="G95" s="729"/>
      <c r="H95" s="1025"/>
      <c r="I95" s="729"/>
      <c r="J95" s="1025"/>
      <c r="K95" s="291" t="s">
        <v>929</v>
      </c>
      <c r="X95" s="760">
        <v>0</v>
      </c>
    </row>
    <row r="96" s="1637" customFormat="1" ht="33.75" hidden="1" customHeight="1">
      <c r="A96" s="2394"/>
      <c r="B96" s="513"/>
      <c r="D96" s="667" t="s">
        <v>92</v>
      </c>
      <c r="E96" s="668" t="s">
        <v>930</v>
      </c>
      <c r="F96" s="728" t="s">
        <v>820</v>
      </c>
      <c r="G96" s="730"/>
      <c r="H96" s="1025"/>
      <c r="I96" s="730"/>
      <c r="J96" s="1025"/>
      <c r="K96" s="291"/>
      <c r="X96" s="760">
        <v>0</v>
      </c>
    </row>
    <row r="97" s="1637" customFormat="1" ht="22.5" hidden="1" customHeight="1">
      <c r="A97" s="2394"/>
      <c r="B97" s="513" t="s">
        <v>588</v>
      </c>
      <c r="D97" s="667" t="s">
        <v>93</v>
      </c>
      <c r="E97" s="668" t="s">
        <v>931</v>
      </c>
      <c r="F97" s="728" t="s">
        <v>306</v>
      </c>
      <c r="G97" s="387"/>
      <c r="H97" s="1025"/>
      <c r="I97" s="387"/>
      <c r="J97" s="1025"/>
      <c r="K97" s="291" t="s">
        <v>631</v>
      </c>
      <c r="X97" s="760">
        <v>0</v>
      </c>
    </row>
    <row r="98" s="1637" customFormat="1" ht="45" hidden="1" customHeight="1">
      <c r="A98" s="2394"/>
      <c r="B98" s="513" t="s">
        <v>588</v>
      </c>
      <c r="D98" s="667" t="s">
        <v>932</v>
      </c>
      <c r="E98" s="669" t="s">
        <v>933</v>
      </c>
      <c r="F98" s="723" t="s">
        <v>306</v>
      </c>
      <c r="G98" s="387"/>
      <c r="H98" s="1025"/>
      <c r="I98" s="387"/>
      <c r="J98" s="1025"/>
      <c r="K98" s="291" t="s">
        <v>631</v>
      </c>
      <c r="X98" s="760">
        <v>0</v>
      </c>
    </row>
    <row r="99" s="1637" customFormat="1" ht="95.25" hidden="1" customHeight="1">
      <c r="A99" s="2394"/>
      <c r="B99" s="513" t="s">
        <v>588</v>
      </c>
      <c r="D99" s="667" t="s">
        <v>113</v>
      </c>
      <c r="E99" s="668" t="s">
        <v>934</v>
      </c>
      <c r="F99" s="723" t="s">
        <v>306</v>
      </c>
      <c r="G99" s="387"/>
      <c r="H99" s="1025"/>
      <c r="I99" s="387"/>
      <c r="J99" s="1025"/>
      <c r="K99" s="291" t="s">
        <v>631</v>
      </c>
      <c r="X99" s="760">
        <v>0</v>
      </c>
    </row>
    <row r="100" s="1637" customFormat="1" ht="22.5" hidden="1" customHeight="1">
      <c r="A100" s="2394"/>
      <c r="B100" s="513" t="s">
        <v>588</v>
      </c>
      <c r="D100" s="667" t="s">
        <v>150</v>
      </c>
      <c r="E100" s="668" t="s">
        <v>935</v>
      </c>
      <c r="F100" s="723" t="s">
        <v>306</v>
      </c>
      <c r="G100" s="387"/>
      <c r="H100" s="1025"/>
      <c r="I100" s="387"/>
      <c r="J100" s="1025"/>
      <c r="K100" s="291" t="s">
        <v>631</v>
      </c>
      <c r="X100" s="760">
        <v>0</v>
      </c>
    </row>
    <row r="101" s="1637" customFormat="1" ht="11.5" customHeight="1">
      <c r="A101" s="1035"/>
      <c r="B101" s="520"/>
      <c r="D101" s="1036"/>
      <c r="E101" s="1037"/>
      <c r="X101" s="511">
        <v>11</v>
      </c>
    </row>
    <row r="102" ht="22.5" hidden="1" customHeight="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autoFilter="0" deleteColumns="0" deleteRows="0" formatColumns="0" formatRows="0" insertColumns="1" insertRows="0" sort="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x14:dataValidation xr:uid="{00FC00BA-0023-4D46-8E34-001100320037}" type="list" allowBlank="1" error="Укажите значение вручную или выберите из списка!" errorTitle="Ошибка" prompt="Укажите значение вручную или выберите из списка" showInputMessage="1">
          <x14:formula1>
            <xm:f>"Не утверждены"</xm:f>
          </x14:formula1>
          <xm:sqref>G19 I19</xm:sqref>
        </x14:dataValidation>
        <x14:dataValidation xr:uid="{006A0094-00A2-4072-8E80-008300E70027}" type="decimal" allowBlank="1" error="Введите значение от 0 до 100%" errorTitle="Ошибка" showErrorMessage="1">
          <x14:formula1>
            <xm:f>0</xm:f>
          </x14:formula1>
          <x14:formula2>
            <xm:f>100</xm:f>
          </x14:formula2>
          <xm:sqref>G31 G95 G60 G72 G42:G43 G69:G70 I31 I95 I60 I72 I42:I43 I69:I70</xm:sqref>
        </x14:dataValidation>
        <x14:dataValidation xr:uid="{00130023-00BB-454B-9428-00E000CA0072}"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H31:H32 J31:J32 G62:G63 G74:G75 G97:G100 I62:I63 I74:I75 I97:I100 H13:H14 H19 J19 J13:J14</xm:sqref>
        </x14:dataValidation>
        <x14:dataValidation xr:uid="{007B0064-00F8-4A44-B407-008800BB00B9}" type="decimal" allowBlank="1" error="Допускается ввод только неотрицательных чисел!" errorTitle="Ошибка" showErrorMessage="1">
          <x14:formula1>
            <xm:f>0</xm:f>
          </x14:formula1>
          <x14:formula2>
            <xm:f>9.99999999999999E+23</xm:f>
          </x14:formula2>
          <xm:sqref>G32 G67:G68 G39:G40 G37 G44:G59 G61 G77:G94 G73 G71 G96 G65 G18 G13:G14 G29:G30 G26:G27 I32 I67:I68 I39:I40 I37 I44:I59 I61 I77:I94 I73 I71 I96 I65 I18 I13:I14 I29:I30 I26:I27 I21:I22 G24 G21:G22 I24</xm:sqref>
        </x14:dataValidation>
        <x14:dataValidation xr:uid="{00C0006D-008D-4F98-965A-00D30075002A}" type="whole" allowBlank="1" error="Допускается ввод только неотрицательных целых чисел!" errorTitle="Ошибка" showErrorMessage="1">
          <x14:formula1>
            <xm:f>0</xm:f>
          </x14:formula1>
          <x14:formula2>
            <xm:f>9.99999999999999E+23</xm:f>
          </x14:formula2>
          <xm:sqref>G16:G17 I16:I17</xm:sqref>
        </x14:dataValidation>
        <x14:dataValidation xr:uid="{00050051-0025-4393-B522-009100F00074}" type="textLength" allowBlank="1" error="Допускается ввод не более 900 символов!" errorTitle="Ошибка" operator="lessThanOrEqual" showErrorMessage="1" showInputMessage="1">
          <x14:formula1>
            <xm:f>900</xm:f>
          </x14:formula1>
          <xm:sqref>H21:H22 H29:H30 H24 H26:H27 H15:H18 J26:J27 J15:J18 J21:J22 J29:J30 J24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F13" sqref="F13:F15"/>
    </sheetView>
  </sheetViews>
  <sheetFormatPr defaultColWidth="9.140625" defaultRowHeight="11.25" customHeight="1"/>
  <cols>
    <col customWidth="1" hidden="1" min="1" max="1" style="1855" width="6.421875"/>
    <col customWidth="1" hidden="1" min="2" max="2" style="1855" width="2.00390625"/>
    <col customWidth="1" min="3" max="3" style="1855" width="3.00390625"/>
    <col customWidth="1" min="4" max="4" style="1855" width="4.00390625"/>
    <col customWidth="1" min="5" max="5" style="1855" width="44.00390625"/>
    <col customWidth="1" min="6" max="6" style="1855" width="6.421875"/>
    <col customWidth="1" min="7" max="7" style="1855" width="4.00390625"/>
    <col customWidth="1" min="8" max="8" style="1855" width="5.00390625"/>
    <col customWidth="1" min="9" max="9" style="1855" width="52.00390625"/>
    <col customWidth="1" min="10" max="10" style="1855" width="7.00390625"/>
    <col customWidth="1" min="11" max="11" style="1855" width="3.00390625"/>
    <col customWidth="1" min="12" max="12" style="1855" width="6.00390625"/>
    <col customWidth="1" min="13" max="13" style="1855" width="56.00390625"/>
    <col customWidth="1" min="14" max="14" style="1372" width="8.00390625"/>
    <col hidden="1" min="15" max="20" style="1626" width="9.140625"/>
    <col hidden="1" min="21" max="24" style="1268" width="9.140625"/>
    <col hidden="1" min="25" max="37" style="1372" width="9.140625"/>
    <col customWidth="1" min="38" max="38" style="1372" width="8.00390625"/>
    <col hidden="1" min="39" max="39" style="1855" width="9.140625"/>
  </cols>
  <sheetData>
    <row r="1" ht="11.25" hidden="1" customHeight="1">
      <c r="AM1" s="585" t="s">
        <v>14</v>
      </c>
    </row>
    <row r="2" ht="11.25" hidden="1" customHeight="1">
      <c r="AM2" s="585">
        <v>0</v>
      </c>
    </row>
    <row r="3" ht="11.5" customHeight="1">
      <c r="AM3" s="585">
        <v>11</v>
      </c>
    </row>
    <row r="4" ht="35.649999999999999" customHeight="1">
      <c r="A4" s="587"/>
      <c r="B4" s="587"/>
      <c r="D4" s="2121" t="str">
        <f>Титульный!E5</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r="5" s="591" customFormat="1" ht="14.65" customHeight="1">
      <c r="A5" s="587"/>
      <c r="B5" s="587"/>
      <c r="C5" s="587"/>
      <c r="D5" s="2124" t="str">
        <f>IF(org=0,"Не определено",org)</f>
        <v xml:space="preserve">филиал ПАО "ОГК-2" - Рязанская ГРЭС</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r="6" s="591" customFormat="1" ht="6.2999999999999998" customHeight="1">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r="7" ht="45.75" hidden="1" customHeight="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r="8" s="591" customFormat="1" ht="6.2999999999999998" customHeight="1">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r="9" ht="18.75" customHeight="1">
      <c r="A9" s="2128"/>
      <c r="B9" s="325"/>
      <c r="C9" s="325"/>
      <c r="D9" s="2129" t="s">
        <v>106</v>
      </c>
      <c r="E9" s="2129"/>
      <c r="F9" s="2130" t="s">
        <v>107</v>
      </c>
      <c r="G9" s="2131"/>
      <c r="H9" s="2131"/>
      <c r="I9" s="2131"/>
      <c r="J9" s="2134" t="s">
        <v>108</v>
      </c>
      <c r="K9" s="2134"/>
      <c r="L9" s="2134"/>
      <c r="M9" s="2134"/>
      <c r="AM9" s="585">
        <v>18</v>
      </c>
    </row>
    <row r="10" ht="24" customHeight="1">
      <c r="A10" s="2128"/>
      <c r="B10" s="594"/>
      <c r="C10" s="527"/>
      <c r="D10" s="525" t="s">
        <v>88</v>
      </c>
      <c r="E10" s="525" t="s">
        <v>89</v>
      </c>
      <c r="F10" s="525" t="s">
        <v>109</v>
      </c>
      <c r="G10" s="2135" t="s">
        <v>88</v>
      </c>
      <c r="H10" s="2136"/>
      <c r="I10" s="525" t="s">
        <v>89</v>
      </c>
      <c r="J10" s="525" t="s">
        <v>109</v>
      </c>
      <c r="K10" s="2135" t="s">
        <v>88</v>
      </c>
      <c r="L10" s="2136"/>
      <c r="M10" s="525" t="s">
        <v>89</v>
      </c>
      <c r="N10" s="1629"/>
      <c r="AM10" s="585">
        <v>23</v>
      </c>
    </row>
    <row r="11" s="1855" customFormat="1" ht="11.25" hidden="1" customHeight="1">
      <c r="A11" s="595"/>
      <c r="B11" s="595"/>
      <c r="C11" s="595"/>
      <c r="D11" s="596" t="s">
        <v>110</v>
      </c>
      <c r="E11" s="596" t="s">
        <v>111</v>
      </c>
      <c r="F11" s="596" t="s">
        <v>90</v>
      </c>
      <c r="G11" s="2117" t="s">
        <v>91</v>
      </c>
      <c r="H11" s="2118"/>
      <c r="I11" s="596" t="s">
        <v>112</v>
      </c>
      <c r="J11" s="596" t="s">
        <v>92</v>
      </c>
      <c r="K11" s="2119" t="s">
        <v>93</v>
      </c>
      <c r="L11" s="2120"/>
      <c r="M11" s="596" t="s">
        <v>113</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r="12" ht="1.05" customHeight="1">
      <c r="A12" s="599"/>
      <c r="B12" s="600"/>
      <c r="C12" s="600"/>
      <c r="D12" s="601"/>
      <c r="E12" s="369"/>
      <c r="F12" s="602"/>
      <c r="G12" s="1061"/>
      <c r="H12" s="1061"/>
      <c r="I12" s="602"/>
      <c r="J12" s="602"/>
      <c r="K12" s="176"/>
      <c r="L12" s="369"/>
      <c r="M12" s="603"/>
      <c r="N12" s="1629"/>
      <c r="O12" s="1415" t="s">
        <v>114</v>
      </c>
      <c r="P12" s="1415" t="s">
        <v>115</v>
      </c>
      <c r="Q12" s="1415" t="s">
        <v>116</v>
      </c>
      <c r="R12" s="1415" t="s">
        <v>117</v>
      </c>
      <c r="AM12" s="585">
        <v>1</v>
      </c>
    </row>
    <row r="13" s="1855" customFormat="1" ht="15.75" customHeight="1">
      <c r="A13" s="295"/>
      <c r="B13" s="295"/>
      <c r="C13" s="528"/>
      <c r="D13" s="2110" t="s">
        <v>110</v>
      </c>
      <c r="E13" s="2111"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F13" s="2114" t="s">
        <v>19</v>
      </c>
      <c r="G13" s="2115"/>
      <c r="H13" s="2116">
        <v>1</v>
      </c>
      <c r="I13" s="2631" t="s">
        <v>22</v>
      </c>
      <c r="J13" s="2109" t="s">
        <v>19</v>
      </c>
      <c r="K13" s="604"/>
      <c r="L13" s="529" t="s">
        <v>110</v>
      </c>
      <c r="M13" s="605" t="s">
        <v>22</v>
      </c>
      <c r="N13" s="814"/>
      <c r="O13" s="1418" t="s">
        <v>118</v>
      </c>
      <c r="P13" s="1415" t="str">
        <f>$E$13</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Q13" s="1415" t="str">
        <f>IF($F$13="нет","без дифференциации",$I$13)</f>
        <v xml:space="preserve">без дифференциации</v>
      </c>
      <c r="R13" s="1415" t="str">
        <f>IF($J$13="нет","без дифференциации",M13)</f>
        <v xml:space="preserve">без дифференциации</v>
      </c>
      <c r="S13" s="1418"/>
      <c r="T13" s="1418"/>
      <c r="U13" s="1268"/>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r="14" s="1855" customFormat="1" ht="15.75" customHeight="1">
      <c r="A14" s="295"/>
      <c r="B14" s="295"/>
      <c r="C14" s="178"/>
      <c r="D14" s="2110"/>
      <c r="E14" s="2112"/>
      <c r="F14" s="2109"/>
      <c r="G14" s="2115"/>
      <c r="H14" s="2116"/>
      <c r="I14" s="2632" t="s">
        <v>22</v>
      </c>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r="15" s="1855" customFormat="1" ht="15.75" customHeight="1">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r="16" ht="15.75" customHeight="1">
      <c r="A16" s="611"/>
      <c r="B16" s="137"/>
      <c r="C16" s="808"/>
      <c r="D16" s="423"/>
      <c r="E16" s="573" t="s">
        <v>123</v>
      </c>
      <c r="F16" s="179"/>
      <c r="G16" s="179"/>
      <c r="H16" s="179"/>
      <c r="I16" s="179"/>
      <c r="J16" s="179"/>
      <c r="K16" s="179" t="s">
        <v>22</v>
      </c>
      <c r="L16" s="179"/>
      <c r="M16" s="610"/>
      <c r="N16" s="1629"/>
      <c r="AM16" s="585">
        <v>15</v>
      </c>
    </row>
    <row r="17" ht="11.25" hidden="1" customHeight="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autoFilter="0" deleteColumns="0" deleteRows="0" formatColumns="0" formatRows="0" insertColumns="1" insertRows="0" sort="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1">
        <x14:dataValidation xr:uid="{00CA0033-00A7-4EEF-BB0E-001E005800D4}" type="textLength" allowBlank="1" error="Допускается ввод не более 900 символов!" operator="lessThan" showErrorMessage="1" showInputMessage="1">
          <x14:formula1>
            <xm:f>900</xm:f>
          </x14:formula1>
          <xm:sqref>M13</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sheetPr>
  <sheetViews>
    <sheetView showGridLines="0" topLeftCell="A1" zoomScale="90" workbookViewId="0">
      <selection activeCell="I38" sqref="I38"/>
    </sheetView>
  </sheetViews>
  <sheetFormatPr defaultColWidth="10.57421875" defaultRowHeight="15" customHeight="1"/>
  <cols>
    <col customWidth="1" hidden="1" min="1" max="1" style="1634" width="9.140625"/>
    <col customWidth="1" hidden="1" min="2" max="2" style="1637" width="9.140625"/>
    <col customWidth="1" min="3" max="3" style="685" width="4.00390625"/>
    <col customWidth="1" min="4" max="4" style="1637" width="6.00390625"/>
    <col customWidth="1" min="5" max="5" style="1637" width="36.00390625"/>
    <col customWidth="1" min="6" max="6" style="1637" width="9.00390625"/>
    <col customWidth="1" hidden="1" min="7" max="7" style="1637" width="25.7109375"/>
    <col customWidth="1" hidden="1" min="8" max="8" style="1637" width="33.7109375"/>
    <col customWidth="1" min="9" max="9" style="1637" width="25.7109375"/>
    <col customWidth="1" min="10" max="10" style="1637" width="33.00390625"/>
    <col customWidth="1" min="11" max="11" style="1368" width="93.00390625"/>
    <col customWidth="1" min="12" max="20" style="1637" width="10.00390625"/>
    <col customWidth="1" min="21" max="21" style="677" width="10.00390625"/>
    <col hidden="1" min="22" max="22" style="1637" width="10.57421875"/>
  </cols>
  <sheetData>
    <row r="1" s="1368" customFormat="1" ht="22.5" hidden="1" customHeight="1">
      <c r="C1" s="674"/>
      <c r="G1" s="419">
        <v>4</v>
      </c>
      <c r="I1" s="419">
        <v>4</v>
      </c>
      <c r="U1" s="422"/>
      <c r="V1" s="419" t="s">
        <v>14</v>
      </c>
    </row>
    <row r="2" s="1368" customFormat="1" ht="15" hidden="1" customHeight="1">
      <c r="C2" s="674"/>
      <c r="U2" s="422"/>
      <c r="V2" s="419">
        <v>0</v>
      </c>
    </row>
    <row r="3" ht="22.5" hidden="1" customHeight="1">
      <c r="A3" s="507"/>
      <c r="B3" s="2399"/>
      <c r="C3" s="2400" t="s">
        <v>689</v>
      </c>
      <c r="D3" s="691" t="str">
        <f>B3&amp;".1"</f>
        <v>.1</v>
      </c>
      <c r="E3" s="692" t="s">
        <v>936</v>
      </c>
      <c r="F3" s="693" t="s">
        <v>306</v>
      </c>
      <c r="G3" s="688"/>
      <c r="H3" s="403"/>
      <c r="I3" s="688"/>
      <c r="J3" s="403"/>
      <c r="K3" s="291" t="s">
        <v>937</v>
      </c>
      <c r="V3" s="507">
        <v>0</v>
      </c>
    </row>
    <row r="4" ht="15" hidden="1" customHeight="1">
      <c r="A4" s="507"/>
      <c r="B4" s="2399"/>
      <c r="C4" s="2400"/>
      <c r="D4" s="691" t="str">
        <f>B3&amp;".2"</f>
        <v>.2</v>
      </c>
      <c r="E4" s="692" t="s">
        <v>938</v>
      </c>
      <c r="F4" s="693" t="s">
        <v>306</v>
      </c>
      <c r="G4" s="1740" t="s">
        <v>22</v>
      </c>
      <c r="H4" s="403"/>
      <c r="I4" s="1740" t="s">
        <v>22</v>
      </c>
      <c r="J4" s="403"/>
      <c r="K4" s="291" t="s">
        <v>939</v>
      </c>
      <c r="V4" s="507">
        <v>0</v>
      </c>
    </row>
    <row r="5" s="1368" customFormat="1" ht="15" hidden="1" customHeight="1">
      <c r="C5" s="674"/>
      <c r="U5" s="422"/>
      <c r="V5" s="419">
        <v>0</v>
      </c>
    </row>
    <row r="6" ht="22.5" hidden="1" customHeight="1">
      <c r="A6" s="507"/>
      <c r="B6" s="2399"/>
      <c r="C6" s="2400" t="s">
        <v>689</v>
      </c>
      <c r="D6" s="691" t="str">
        <f>B6&amp;".1"</f>
        <v>.1</v>
      </c>
      <c r="E6" s="692" t="s">
        <v>940</v>
      </c>
      <c r="F6" s="693" t="s">
        <v>306</v>
      </c>
      <c r="G6" s="688"/>
      <c r="H6" s="403"/>
      <c r="I6" s="688"/>
      <c r="J6" s="403"/>
      <c r="K6" s="291" t="s">
        <v>941</v>
      </c>
      <c r="V6" s="507">
        <v>0</v>
      </c>
    </row>
    <row r="7" ht="15" hidden="1" customHeight="1">
      <c r="A7" s="507"/>
      <c r="B7" s="2399"/>
      <c r="C7" s="2400"/>
      <c r="D7" s="691" t="str">
        <f>B6&amp;".2"</f>
        <v>.2</v>
      </c>
      <c r="E7" s="692" t="s">
        <v>938</v>
      </c>
      <c r="F7" s="693" t="s">
        <v>306</v>
      </c>
      <c r="G7" s="1740" t="s">
        <v>22</v>
      </c>
      <c r="H7" s="403"/>
      <c r="I7" s="1740" t="s">
        <v>22</v>
      </c>
      <c r="J7" s="403"/>
      <c r="K7" s="291" t="s">
        <v>939</v>
      </c>
      <c r="V7" s="507">
        <v>0</v>
      </c>
    </row>
    <row r="8" s="1368" customFormat="1" ht="15" hidden="1" customHeight="1">
      <c r="C8" s="674"/>
      <c r="U8" s="422"/>
      <c r="V8" s="419">
        <v>0</v>
      </c>
    </row>
    <row r="9" ht="22.5" hidden="1" customHeight="1">
      <c r="A9" s="507"/>
      <c r="B9" s="2399"/>
      <c r="C9" s="2400" t="s">
        <v>689</v>
      </c>
      <c r="D9" s="691" t="str">
        <f>B9&amp;".1"</f>
        <v>.1</v>
      </c>
      <c r="E9" s="692" t="s">
        <v>942</v>
      </c>
      <c r="F9" s="693" t="s">
        <v>306</v>
      </c>
      <c r="G9" s="699" t="s">
        <v>22</v>
      </c>
      <c r="H9" s="403" t="s">
        <v>22</v>
      </c>
      <c r="I9" s="2635" t="s">
        <v>22</v>
      </c>
      <c r="J9" s="2636" t="s">
        <v>22</v>
      </c>
      <c r="K9" s="291"/>
      <c r="V9" s="507">
        <v>0</v>
      </c>
    </row>
    <row r="10" ht="15" hidden="1" customHeight="1">
      <c r="A10" s="507"/>
      <c r="B10" s="2399"/>
      <c r="C10" s="2400"/>
      <c r="D10" s="691" t="str">
        <f>B9&amp;".2"</f>
        <v>.2</v>
      </c>
      <c r="E10" s="692" t="s">
        <v>943</v>
      </c>
      <c r="F10" s="693" t="s">
        <v>306</v>
      </c>
      <c r="G10" s="1734" t="s">
        <v>22</v>
      </c>
      <c r="H10" s="403" t="s">
        <v>22</v>
      </c>
      <c r="I10" s="2637" t="s">
        <v>22</v>
      </c>
      <c r="J10" s="2636" t="s">
        <v>22</v>
      </c>
      <c r="K10" s="291" t="s">
        <v>944</v>
      </c>
      <c r="V10" s="507">
        <v>0</v>
      </c>
    </row>
    <row r="11" ht="15" hidden="1" customHeight="1">
      <c r="A11" s="507"/>
      <c r="B11" s="2399"/>
      <c r="C11" s="2400"/>
      <c r="D11" s="691" t="str">
        <f>B9&amp;".3"</f>
        <v>.3</v>
      </c>
      <c r="E11" s="692" t="s">
        <v>945</v>
      </c>
      <c r="F11" s="693" t="s">
        <v>306</v>
      </c>
      <c r="G11" s="1734" t="s">
        <v>22</v>
      </c>
      <c r="H11" s="403" t="s">
        <v>22</v>
      </c>
      <c r="I11" s="2637" t="s">
        <v>22</v>
      </c>
      <c r="J11" s="2636" t="s">
        <v>22</v>
      </c>
      <c r="K11" s="291" t="s">
        <v>946</v>
      </c>
      <c r="V11" s="507">
        <v>0</v>
      </c>
    </row>
    <row r="12" s="1368" customFormat="1" ht="15" hidden="1" customHeight="1">
      <c r="C12" s="674"/>
      <c r="U12" s="422"/>
      <c r="V12" s="419">
        <v>0</v>
      </c>
    </row>
    <row r="13" ht="33.75" hidden="1" customHeight="1">
      <c r="A13" s="507"/>
      <c r="B13" s="2399"/>
      <c r="C13" s="2400" t="s">
        <v>689</v>
      </c>
      <c r="D13" s="691" t="str">
        <f>B13&amp;".1"</f>
        <v>.1</v>
      </c>
      <c r="E13" s="692" t="s">
        <v>947</v>
      </c>
      <c r="F13" s="693" t="s">
        <v>306</v>
      </c>
      <c r="G13" s="699" t="s">
        <v>22</v>
      </c>
      <c r="H13" s="403" t="s">
        <v>22</v>
      </c>
      <c r="I13" s="2635" t="s">
        <v>22</v>
      </c>
      <c r="J13" s="2636" t="s">
        <v>22</v>
      </c>
      <c r="K13" s="291" t="s">
        <v>948</v>
      </c>
      <c r="V13" s="507">
        <v>0</v>
      </c>
    </row>
    <row r="14" ht="15" hidden="1" customHeight="1">
      <c r="B14" s="2399"/>
      <c r="C14" s="2400"/>
      <c r="D14" s="691" t="str">
        <f>B13&amp;".2"</f>
        <v>.2</v>
      </c>
      <c r="E14" s="692" t="s">
        <v>949</v>
      </c>
      <c r="F14" s="693" t="s">
        <v>306</v>
      </c>
      <c r="G14" s="1734" t="s">
        <v>22</v>
      </c>
      <c r="H14" s="403" t="s">
        <v>22</v>
      </c>
      <c r="I14" s="2637" t="s">
        <v>22</v>
      </c>
      <c r="J14" s="2636" t="s">
        <v>22</v>
      </c>
      <c r="K14" s="291" t="s">
        <v>950</v>
      </c>
      <c r="V14" s="507">
        <v>0</v>
      </c>
    </row>
    <row r="15" s="1368" customFormat="1" ht="15" hidden="1" customHeight="1">
      <c r="C15" s="674"/>
      <c r="U15" s="422"/>
      <c r="V15" s="419">
        <v>0</v>
      </c>
    </row>
    <row r="16" s="1368" customFormat="1" ht="15" hidden="1" customHeight="1">
      <c r="C16" s="674"/>
      <c r="U16" s="422"/>
      <c r="V16" s="419">
        <v>0</v>
      </c>
    </row>
    <row r="17" s="1368" customFormat="1" ht="15" hidden="1" customHeight="1">
      <c r="C17" s="674"/>
      <c r="U17" s="422"/>
      <c r="V17" s="419">
        <v>0</v>
      </c>
    </row>
    <row r="18" s="1368" customFormat="1" ht="15" hidden="1" customHeight="1">
      <c r="C18" s="674"/>
      <c r="U18" s="422"/>
      <c r="V18" s="419">
        <v>0</v>
      </c>
    </row>
    <row r="19" s="1368" customFormat="1" ht="15" hidden="1" customHeight="1">
      <c r="C19" s="674"/>
      <c r="U19" s="422"/>
      <c r="V19" s="419">
        <v>0</v>
      </c>
    </row>
    <row r="20" s="1368" customFormat="1" ht="15" hidden="1" customHeight="1">
      <c r="C20" s="674"/>
      <c r="U20" s="422"/>
      <c r="V20" s="419">
        <v>0</v>
      </c>
    </row>
    <row r="21" ht="15.75" customHeight="1">
      <c r="C21" s="178"/>
      <c r="D21" s="511"/>
      <c r="E21" s="511"/>
      <c r="F21" s="511"/>
      <c r="G21" s="511"/>
      <c r="H21" s="511"/>
      <c r="I21" s="511"/>
      <c r="J21" s="511"/>
      <c r="V21" s="507">
        <v>15</v>
      </c>
    </row>
    <row r="22" ht="23.25" customHeight="1">
      <c r="C22" s="178"/>
      <c r="D22" s="2239"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r="23" ht="15.75" customHeight="1">
      <c r="C23" s="178"/>
      <c r="D23" s="2178" t="str">
        <f>IF(org=0,"Не определено",org)</f>
        <v xml:space="preserve">филиал ПАО "ОГК-2" - Рязанская ГРЭС</v>
      </c>
      <c r="E23" s="2178"/>
      <c r="F23" s="2178"/>
      <c r="G23" s="2178"/>
      <c r="H23" s="2178"/>
      <c r="I23" s="2178"/>
      <c r="J23" s="678"/>
      <c r="K23" s="539"/>
      <c r="V23" s="507">
        <v>15</v>
      </c>
    </row>
    <row r="24" ht="15.75" customHeight="1">
      <c r="C24" s="178"/>
      <c r="D24" s="511"/>
      <c r="E24" s="511"/>
      <c r="F24" s="511"/>
      <c r="G24" s="539">
        <v>22</v>
      </c>
      <c r="H24" s="754"/>
      <c r="I24" s="539">
        <v>22</v>
      </c>
      <c r="J24" s="754"/>
      <c r="V24" s="507">
        <v>15</v>
      </c>
    </row>
    <row r="25" s="1637" customFormat="1" ht="1.05" customHeight="1">
      <c r="A25" s="761"/>
      <c r="C25" s="178"/>
      <c r="D25" s="511"/>
      <c r="E25" s="511"/>
      <c r="F25" s="511"/>
      <c r="G25" s="539"/>
      <c r="H25" s="754"/>
      <c r="I25" s="539" t="s">
        <v>118</v>
      </c>
      <c r="J25" s="754"/>
      <c r="K25" s="419"/>
      <c r="U25" s="677"/>
      <c r="V25" s="760">
        <v>1</v>
      </c>
    </row>
    <row r="26" ht="15.75" customHeight="1">
      <c r="C26" s="178"/>
      <c r="D26" s="713"/>
      <c r="E26" s="2369" t="s">
        <v>106</v>
      </c>
      <c r="F26" s="2370"/>
      <c r="G26" s="2397" t="str">
        <f>IF(G25="","",INDEX(DIFFERENTIATION_UNMERGE_VD,MATCH(G25,DIFFERENTIATION_ID_DIFF,0)))</f>
        <v/>
      </c>
      <c r="H26" s="2398"/>
      <c r="I26" s="2397" t="str">
        <f>IF(I25="","",INDEX(DIFFERENTIATION_UNMERGE_VD,MATCH(I25,DIFFERENTIATION_ID_DIFF,0)))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26" s="2398"/>
      <c r="K26" s="2177" t="s">
        <v>301</v>
      </c>
      <c r="V26" s="507">
        <v>15</v>
      </c>
    </row>
    <row r="27" s="1637" customFormat="1" ht="15.75" customHeight="1">
      <c r="A27" s="761"/>
      <c r="C27" s="178"/>
      <c r="D27" s="713"/>
      <c r="E27" s="2369" t="s">
        <v>564</v>
      </c>
      <c r="F27" s="2370"/>
      <c r="G27" s="2397" t="str">
        <f>IF(G25="","",INDEX(DIFFERENTIATION_UNMERGE_AREA,MATCH(G25,DIFFERENTIATION_ID_DIFF,0)))</f>
        <v/>
      </c>
      <c r="H27" s="2398"/>
      <c r="I27" s="2397" t="str">
        <f>IF(I25="","",INDEX(DIFFERENTIATION_UNMERGE_AREA,MATCH(I25,DIFFERENTIATION_ID_DIFF,0)))</f>
        <v xml:space="preserve">без дифференциации</v>
      </c>
      <c r="J27" s="2398"/>
      <c r="K27" s="2197"/>
      <c r="U27" s="677"/>
      <c r="V27" s="760">
        <v>15</v>
      </c>
    </row>
    <row r="28" s="1637" customFormat="1" ht="15.75" customHeight="1">
      <c r="A28" s="761"/>
      <c r="C28" s="178"/>
      <c r="D28" s="713"/>
      <c r="E28" s="2369" t="s">
        <v>565</v>
      </c>
      <c r="F28" s="2370"/>
      <c r="G28" s="2397" t="str">
        <f>IF(G25="","",INDEX(DIFFERENTIATION_UNMERGE_SYSTEM,MATCH(G25,DIFFERENTIATION_ID_DIFF,0)))</f>
        <v/>
      </c>
      <c r="H28" s="2398"/>
      <c r="I28" s="2397" t="str">
        <f>IF(I25="","",INDEX(DIFFERENTIATION_UNMERGE_SYSTEM,MATCH(I25,DIFFERENTIATION_ID_DIFF,0)))</f>
        <v xml:space="preserve">без дифференциации</v>
      </c>
      <c r="J28" s="2398"/>
      <c r="K28" s="2197"/>
      <c r="U28" s="677"/>
      <c r="V28" s="760">
        <v>15</v>
      </c>
    </row>
    <row r="29" s="1637" customFormat="1" ht="15.75" customHeight="1">
      <c r="A29" s="761"/>
      <c r="C29" s="178"/>
      <c r="D29" s="2371" t="s">
        <v>300</v>
      </c>
      <c r="E29" s="2372"/>
      <c r="F29" s="2372"/>
      <c r="G29" s="889"/>
      <c r="H29" s="889"/>
      <c r="I29" s="889"/>
      <c r="J29" s="890"/>
      <c r="K29" s="2197"/>
      <c r="U29" s="677"/>
      <c r="V29" s="760">
        <v>15</v>
      </c>
    </row>
    <row r="30" ht="35.649999999999999" customHeight="1">
      <c r="C30" s="178"/>
      <c r="D30" s="763" t="s">
        <v>88</v>
      </c>
      <c r="E30" s="762" t="s">
        <v>302</v>
      </c>
      <c r="F30" s="762" t="s">
        <v>566</v>
      </c>
      <c r="G30" s="810" t="s">
        <v>303</v>
      </c>
      <c r="H30" s="809" t="s">
        <v>390</v>
      </c>
      <c r="I30" s="686" t="s">
        <v>303</v>
      </c>
      <c r="J30" s="467" t="s">
        <v>390</v>
      </c>
      <c r="K30" s="2203"/>
      <c r="V30" s="507">
        <v>34</v>
      </c>
    </row>
    <row r="31" ht="15" hidden="1" customHeight="1">
      <c r="C31" s="178"/>
      <c r="D31" s="595"/>
      <c r="E31" s="595"/>
      <c r="F31" s="595"/>
      <c r="G31" s="661"/>
      <c r="H31" s="661"/>
      <c r="I31" s="661"/>
      <c r="J31" s="661"/>
      <c r="K31" s="291"/>
      <c r="V31" s="507">
        <v>0</v>
      </c>
    </row>
    <row r="32" ht="24" customHeight="1">
      <c r="A32" s="507"/>
      <c r="B32" s="507" t="s">
        <v>951</v>
      </c>
      <c r="C32" s="528"/>
      <c r="D32" s="694">
        <v>1</v>
      </c>
      <c r="E32" s="695" t="s">
        <v>952</v>
      </c>
      <c r="F32" s="693" t="s">
        <v>306</v>
      </c>
      <c r="G32" s="815" t="s">
        <v>306</v>
      </c>
      <c r="H32" s="815" t="s">
        <v>306</v>
      </c>
      <c r="I32" s="693" t="s">
        <v>306</v>
      </c>
      <c r="J32" s="693" t="s">
        <v>306</v>
      </c>
      <c r="K32" s="291"/>
      <c r="V32" s="507">
        <v>23</v>
      </c>
    </row>
    <row r="33" ht="11.5" customHeight="1">
      <c r="A33" s="507"/>
      <c r="C33" s="507"/>
      <c r="D33" s="349"/>
      <c r="E33" s="582" t="s">
        <v>586</v>
      </c>
      <c r="F33" s="574"/>
      <c r="G33" s="574"/>
      <c r="H33" s="574"/>
      <c r="I33" s="574"/>
      <c r="J33" s="574"/>
      <c r="K33" s="575"/>
      <c r="U33" s="507"/>
      <c r="V33" s="507">
        <v>11</v>
      </c>
    </row>
    <row r="34" ht="24" customHeight="1">
      <c r="A34" s="507"/>
      <c r="B34" s="583" t="s">
        <v>636</v>
      </c>
      <c r="C34" s="528"/>
      <c r="D34" s="694">
        <v>2</v>
      </c>
      <c r="E34" s="695" t="s">
        <v>953</v>
      </c>
      <c r="F34" s="822" t="s">
        <v>306</v>
      </c>
      <c r="G34" s="822" t="s">
        <v>306</v>
      </c>
      <c r="H34" s="822" t="s">
        <v>306</v>
      </c>
      <c r="I34" s="693"/>
      <c r="J34" s="693"/>
      <c r="K34" s="291"/>
      <c r="V34" s="507">
        <v>23</v>
      </c>
    </row>
    <row r="35" ht="11.5" customHeight="1">
      <c r="A35" s="507"/>
      <c r="C35" s="507"/>
      <c r="D35" s="349"/>
      <c r="E35" s="582" t="s">
        <v>954</v>
      </c>
      <c r="F35" s="574"/>
      <c r="G35" s="696"/>
      <c r="H35" s="574"/>
      <c r="I35" s="696"/>
      <c r="J35" s="574"/>
      <c r="K35" s="575"/>
      <c r="U35" s="507"/>
      <c r="V35" s="507">
        <v>11</v>
      </c>
    </row>
    <row r="36" ht="71.25" customHeight="1">
      <c r="A36" s="507"/>
      <c r="B36" s="507" t="s">
        <v>955</v>
      </c>
      <c r="C36" s="528"/>
      <c r="D36" s="694">
        <v>3</v>
      </c>
      <c r="E36" s="695" t="s">
        <v>956</v>
      </c>
      <c r="F36" s="697" t="s">
        <v>306</v>
      </c>
      <c r="G36" s="816" t="s">
        <v>957</v>
      </c>
      <c r="H36" s="815" t="s">
        <v>306</v>
      </c>
      <c r="I36" s="526" t="s">
        <v>958</v>
      </c>
      <c r="J36" s="693" t="s">
        <v>306</v>
      </c>
      <c r="K36" s="291" t="s">
        <v>959</v>
      </c>
      <c r="V36" s="507">
        <v>68</v>
      </c>
    </row>
    <row r="37" ht="11.5" customHeight="1">
      <c r="A37" s="507"/>
      <c r="C37" s="507"/>
      <c r="D37" s="349"/>
      <c r="E37" s="582" t="s">
        <v>960</v>
      </c>
      <c r="F37" s="574"/>
      <c r="G37" s="696"/>
      <c r="H37" s="696"/>
      <c r="I37" s="696"/>
      <c r="J37" s="696"/>
      <c r="K37" s="575"/>
      <c r="U37" s="507"/>
      <c r="V37" s="507">
        <v>11</v>
      </c>
    </row>
    <row r="38" ht="71.25" customHeight="1">
      <c r="A38" s="507"/>
      <c r="B38" s="507" t="s">
        <v>961</v>
      </c>
      <c r="C38" s="528"/>
      <c r="D38" s="694">
        <v>4</v>
      </c>
      <c r="E38" s="695" t="s">
        <v>962</v>
      </c>
      <c r="F38" s="697" t="s">
        <v>306</v>
      </c>
      <c r="G38" s="816" t="s">
        <v>957</v>
      </c>
      <c r="H38" s="817" t="s">
        <v>306</v>
      </c>
      <c r="I38" s="526" t="s">
        <v>958</v>
      </c>
      <c r="J38" s="523" t="s">
        <v>306</v>
      </c>
      <c r="K38" s="681" t="s">
        <v>963</v>
      </c>
      <c r="V38" s="507">
        <v>68</v>
      </c>
    </row>
    <row r="39" ht="11.5" customHeight="1">
      <c r="A39" s="507"/>
      <c r="C39" s="507"/>
      <c r="D39" s="349"/>
      <c r="E39" s="582" t="s">
        <v>964</v>
      </c>
      <c r="F39" s="574"/>
      <c r="G39" s="574"/>
      <c r="H39" s="698"/>
      <c r="I39" s="574"/>
      <c r="J39" s="698"/>
      <c r="K39" s="575"/>
      <c r="U39" s="507"/>
      <c r="V39" s="507">
        <v>11</v>
      </c>
    </row>
    <row r="40" ht="22.5" hidden="1" customHeight="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autoFilter="0" deleteColumns="0" deleteRows="0" formatColumns="0" formatRows="0" insertColumns="1" insertRows="0" sort="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3">
    <dataValidation sqref="I36 G38 I38 G36" allowBlank="1" prompt="Для выбора выполните двойной щелчок левой клавиши мыши по ячейке." showErrorMessage="1" showInputMessage="1"/>
    <dataValidation sqref="I14 I4 I10:I11 G7 G14 I7 G10:G11 G4"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E30"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A6004D-00F8-4DEC-A004-00D5003100EF}"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H3:H4 J3:J4 H6:H7 J6:J7 J9:J11 H9:H11 J13:J14 H13:H14</xm:sqref>
        </x14:dataValidation>
        <x14:dataValidation xr:uid="{00F80073-0096-4CCE-96C0-003200D600B4}" type="textLength" allowBlank="1" error="Допускается ввод не более 900 символов!" errorTitle="Ошибка" operator="lessThanOrEqual" showErrorMessage="1" showInputMessage="1">
          <x14:formula1>
            <xm:f>900</xm:f>
          </x14:formula1>
          <xm:sqref>I3 I6 I9 I13 G6 G13 G9 G3</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85" workbookViewId="0">
      <selection activeCell="A1" sqref="A1"/>
    </sheetView>
  </sheetViews>
  <sheetFormatPr defaultColWidth="9.140625" defaultRowHeight="10.5" customHeight="1"/>
  <cols>
    <col customWidth="1" hidden="1" min="1" max="3" style="1168" width="6.7109375"/>
    <col customWidth="1" hidden="1" min="4" max="4" style="1368" width="6.7109375"/>
    <col customWidth="1" min="5" max="5" style="1637" width="3.00390625"/>
    <col customWidth="1" min="6" max="6" style="1637" width="6.00390625"/>
    <col customWidth="1" min="7" max="7" style="1637" width="37.00390625"/>
    <col customWidth="1" min="8" max="8" style="1637" width="16.00390625"/>
    <col customWidth="1" min="9" max="10" style="1637" width="19.00390625"/>
    <col customWidth="1" min="11" max="11" style="1637" width="24.00390625"/>
    <col customWidth="1" min="12" max="13" style="1637" width="25.00390625"/>
    <col customWidth="1" min="14" max="16" style="1637" width="17.00390625"/>
    <col customWidth="1" min="17" max="24" style="1637" width="19.00390625"/>
    <col customWidth="1" min="25" max="25" style="1637" width="7.00390625"/>
    <col customWidth="1" min="26" max="26" style="1637" width="3.00390625"/>
    <col customWidth="1" min="27" max="27" style="1637" width="6.00390625"/>
    <col customWidth="1" min="28" max="28" style="1637" width="34.00390625"/>
    <col customWidth="1" min="29" max="30" style="1637" width="8.00390625"/>
    <col hidden="1" min="31" max="31" style="1637" width="9.140625"/>
  </cols>
  <sheetData>
    <row r="1" s="1368" customFormat="1" ht="10.5" hidden="1" customHeight="1">
      <c r="A1" s="897"/>
      <c r="B1" s="897"/>
      <c r="C1" s="897"/>
      <c r="E1" s="539"/>
      <c r="H1" s="1162"/>
      <c r="AE1" s="419" t="s">
        <v>14</v>
      </c>
    </row>
    <row r="2" ht="10.5" hidden="1" customHeight="1">
      <c r="AE2" s="760">
        <v>0</v>
      </c>
    </row>
    <row r="3" s="1634" customFormat="1" ht="10.5" hidden="1" customHeight="1">
      <c r="A3" s="897"/>
      <c r="B3" s="897"/>
      <c r="C3" s="897"/>
      <c r="D3" s="419"/>
      <c r="E3" s="364"/>
      <c r="G3" s="1634" t="s">
        <v>965</v>
      </c>
      <c r="H3" s="1158"/>
      <c r="AE3" s="761">
        <v>0</v>
      </c>
    </row>
    <row r="4" ht="3" customHeight="1">
      <c r="AE4" s="760">
        <v>3</v>
      </c>
    </row>
    <row r="5" ht="27.300000000000001" customHeight="1">
      <c r="F5" s="2250"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r="6" s="1637" customFormat="1" ht="16.800000000000001" customHeight="1">
      <c r="A6" s="1168"/>
      <c r="B6" s="1168"/>
      <c r="C6" s="1168"/>
      <c r="D6" s="1162"/>
      <c r="E6" s="1637"/>
      <c r="F6" s="2251" t="str">
        <f>IF(org=0,"Не определено",org)</f>
        <v xml:space="preserve">филиал ПАО "ОГК-2" - Рязанская ГРЭС</v>
      </c>
      <c r="G6" s="2251"/>
      <c r="H6" s="2251"/>
      <c r="I6" s="2251"/>
      <c r="J6" s="2251"/>
      <c r="K6" s="2251"/>
      <c r="M6" s="584"/>
      <c r="AB6" s="1150"/>
      <c r="AE6" s="1633">
        <v>16</v>
      </c>
    </row>
    <row r="7" ht="10.5" customHeight="1">
      <c r="AE7" s="760">
        <v>10</v>
      </c>
    </row>
    <row r="8" ht="10.5" customHeight="1">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r="9" ht="43.049999999999997" customHeight="1">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r="10" ht="43.049999999999997" customHeight="1">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r="11" s="1644" customFormat="1" ht="5.25" hidden="1" customHeight="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r="12" s="1644" customFormat="1" ht="5.25" hidden="1" customHeight="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r="13" ht="10.5" customHeight="1">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r="14" ht="10.5" customHeight="1">
      <c r="AE14" s="760">
        <v>10</v>
      </c>
    </row>
    <row r="15" s="1644" customFormat="1" ht="10.5" customHeight="1">
      <c r="A15" s="1169"/>
      <c r="B15" s="1169"/>
      <c r="C15" s="1169"/>
      <c r="E15" s="520"/>
      <c r="H15" s="513">
        <f>_xlfn.IFERROR(MATCH("нет",IP_MAIN_DIFFERENTIATION_EVENTS_FLAG,0),0)</f>
        <v>0</v>
      </c>
      <c r="AE15" s="513">
        <v>10</v>
      </c>
    </row>
    <row r="16" ht="10.5" hidden="1" customHeight="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autoFilter="0" deleteColumns="0" deleteRows="0" formatColumns="0" formatRows="0" insertColumns="1" insertRows="0" sort="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0.5" customHeight="1"/>
  <cols>
    <col customWidth="1" hidden="1" min="1" max="3" style="1168" width="4.140625"/>
    <col customWidth="1" hidden="1" min="4" max="4" style="1368" width="4.140625"/>
    <col customWidth="1" min="5" max="5" style="1637" width="3.00390625"/>
    <col customWidth="1" min="6" max="6" style="1637" width="14.00390625"/>
    <col customWidth="1" min="7" max="7" style="1637" width="3.00390625"/>
    <col customWidth="1" min="8" max="8" style="1637" width="7.00390625"/>
    <col customWidth="1" min="9" max="10" style="1637" width="16.00390625"/>
    <col customWidth="1" min="11" max="11" style="1637" width="25.00390625"/>
    <col customWidth="1" min="12" max="12" style="1637" width="7.00390625"/>
    <col customWidth="1" min="13" max="13" style="1637" width="15.00390625"/>
    <col customWidth="1" min="14" max="14" style="1637" width="3.00390625"/>
    <col customWidth="1" min="15" max="15" style="1637" width="4.00390625"/>
    <col customWidth="1" min="16" max="16" style="1637" width="8.00390625"/>
    <col customWidth="1" min="17" max="17" style="1637" width="21.00390625"/>
    <col customWidth="1" min="18" max="18" style="1637" width="14.00390625"/>
    <col customWidth="1" min="19" max="20" style="1637" width="17.00390625"/>
    <col customWidth="1" min="21" max="21" style="1637" width="9.00390625"/>
    <col customWidth="1" min="22" max="22" style="1637" width="12.00390625"/>
    <col customWidth="1" min="23" max="23" style="1637" width="9.00390625"/>
    <col customWidth="1" min="24" max="24" style="1637" width="21.00390625"/>
    <col customWidth="1" min="25" max="25" style="1637" width="12.00390625"/>
    <col customWidth="1" min="26" max="26" style="1637" width="3.00390625"/>
    <col customWidth="1" min="27" max="27" style="1637" width="6.00390625"/>
    <col customWidth="1" min="28" max="28" style="1637" width="38.00390625"/>
    <col customWidth="1" min="29" max="29" style="1637" width="15.00390625"/>
    <col customWidth="1" hidden="1" min="30" max="30" style="1637" width="37.57421875"/>
    <col customWidth="1" hidden="1" min="31" max="31" style="1637" width="15.7109375"/>
    <col customWidth="1" min="32" max="34" style="1637" width="16.00390625"/>
    <col customWidth="1" hidden="1" min="35" max="37" style="1637" width="16.7109375"/>
    <col customWidth="1" min="38" max="58" style="1637" width="8.00390625"/>
    <col hidden="1" min="59" max="59" style="1637" width="9.140625"/>
  </cols>
  <sheetData>
    <row r="1" s="1368" customFormat="1" ht="10.5" hidden="1" customHeight="1">
      <c r="A1" s="897"/>
      <c r="B1" s="897"/>
      <c r="C1" s="897"/>
      <c r="E1" s="539"/>
      <c r="H1" s="1162"/>
      <c r="L1" s="1130"/>
      <c r="M1" s="1130"/>
      <c r="AD1" s="1130"/>
      <c r="AH1" s="1149"/>
      <c r="AI1" s="1142"/>
      <c r="BG1" s="419" t="s">
        <v>14</v>
      </c>
    </row>
    <row r="2" ht="10.5" hidden="1" customHeight="1">
      <c r="BG2" s="760">
        <v>0</v>
      </c>
    </row>
    <row r="3" s="1634" customFormat="1" ht="10.5" hidden="1" customHeight="1">
      <c r="A3" s="897"/>
      <c r="B3" s="897"/>
      <c r="C3" s="897"/>
      <c r="D3" s="419"/>
      <c r="E3" s="364"/>
      <c r="H3" s="1158"/>
      <c r="L3" s="1128"/>
      <c r="M3" s="1128"/>
      <c r="AD3" s="1128"/>
      <c r="AH3" s="1147"/>
      <c r="AI3" s="1140"/>
      <c r="BG3" s="761">
        <v>0</v>
      </c>
    </row>
    <row r="4" ht="3" customHeight="1">
      <c r="BG4" s="760">
        <v>3</v>
      </c>
    </row>
    <row r="5" ht="27.300000000000001" customHeight="1">
      <c r="F5" s="2250"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r="6" ht="10.5" customHeight="1">
      <c r="F6" s="2178" t="str">
        <f>IF(org=0,"Не определено",org)</f>
        <v xml:space="preserve">филиал ПАО "ОГК-2" - Рязанская ГРЭС</v>
      </c>
      <c r="G6" s="2178"/>
      <c r="H6" s="2178"/>
      <c r="I6" s="2178"/>
      <c r="J6" s="2178"/>
      <c r="K6" s="2178"/>
      <c r="L6" s="1138"/>
      <c r="M6" s="1138"/>
      <c r="BG6" s="760">
        <v>10</v>
      </c>
    </row>
    <row r="7" ht="11.5" customHeight="1">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r="8" ht="10.5" customHeight="1">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r="9" ht="24" customHeight="1">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r="10" ht="25.199999999999999" customHeight="1">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r="11" s="1637" customFormat="1" ht="25.199999999999999" customHeight="1">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r="12" ht="35.649999999999999" customHeight="1">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r="13" ht="1.05" customHeight="1">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r="14" ht="10.5" customHeight="1">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r="15" ht="13.5" customHeight="1">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r="16" ht="10.5" customHeight="1">
      <c r="BG16" s="760">
        <v>10</v>
      </c>
    </row>
    <row r="17" ht="10.5" customHeight="1">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r="18" ht="10.5" customHeight="1">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r="19" ht="10.5" customHeight="1">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r="20" ht="10.5" hidden="1" customHeight="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autoFilter="0" deleteColumns="0" deleteRows="0" formatColumns="0" formatRows="0" insertColumns="1" insertRows="0" sort="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85" workbookViewId="0">
      <selection activeCell="A1" sqref="A1"/>
    </sheetView>
  </sheetViews>
  <sheetFormatPr defaultColWidth="9.140625" defaultRowHeight="10.5" customHeight="1"/>
  <cols>
    <col customWidth="1" hidden="1" min="1" max="3" style="1168" width="4.140625"/>
    <col customWidth="1" hidden="1" min="4" max="4" style="1368" width="4.140625"/>
    <col customWidth="1" min="5" max="5" style="1637" width="3.00390625"/>
    <col customWidth="1" min="6" max="6" style="1637" width="6.00390625"/>
    <col customWidth="1" min="7" max="7" style="1637" width="60.00390625"/>
    <col customWidth="1" hidden="1" min="8" max="9" style="1637" width="21.7109375"/>
    <col customWidth="1" min="10" max="10" style="1637" width="0.140625"/>
    <col customWidth="1" min="11" max="11" style="1637" width="1.00390625"/>
    <col customWidth="1" min="12" max="22" style="1637" width="8.00390625"/>
    <col hidden="1" min="23" max="23" style="1637" width="9.140625"/>
  </cols>
  <sheetData>
    <row r="1" s="1368" customFormat="1" ht="10.5" hidden="1" customHeight="1">
      <c r="A1" s="1168"/>
      <c r="B1" s="1168"/>
      <c r="C1" s="1168"/>
      <c r="E1" s="539"/>
      <c r="W1" s="1162" t="s">
        <v>14</v>
      </c>
    </row>
    <row r="2" ht="10.5" hidden="1" customHeight="1">
      <c r="W2" s="1157">
        <v>0</v>
      </c>
    </row>
    <row r="3" s="1634" customFormat="1" ht="10.5" hidden="1" customHeight="1">
      <c r="A3" s="1168"/>
      <c r="B3" s="1168"/>
      <c r="C3" s="1168"/>
      <c r="D3" s="1162"/>
      <c r="E3" s="364"/>
      <c r="W3" s="1158">
        <v>0</v>
      </c>
    </row>
    <row r="4" ht="3" customHeight="1">
      <c r="W4" s="1157">
        <v>3</v>
      </c>
    </row>
    <row r="5" ht="27.300000000000001" customHeight="1">
      <c r="F5" s="2250" t="str">
        <f>IP_NAME_FORM&amp;"
Финансовый план"</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r="6" ht="10.5" customHeight="1">
      <c r="F6" s="2178" t="str">
        <f>IF(org=0,"Не определено",org)</f>
        <v xml:space="preserve">филиал ПАО "ОГК-2" - Рязанская ГРЭС</v>
      </c>
      <c r="G6" s="2178"/>
      <c r="H6" s="2178"/>
      <c r="I6" s="2178"/>
      <c r="J6" s="2178"/>
      <c r="W6" s="1157">
        <v>10</v>
      </c>
    </row>
    <row r="7" ht="11.5" customHeight="1">
      <c r="E7" s="1172"/>
      <c r="F7" s="1229"/>
      <c r="G7" s="1229"/>
      <c r="H7" s="1229"/>
      <c r="I7" s="1229"/>
      <c r="J7" s="1229"/>
      <c r="K7" s="1159"/>
      <c r="L7" s="1159"/>
      <c r="M7" s="1159"/>
      <c r="N7" s="1159"/>
      <c r="O7" s="1159"/>
      <c r="P7" s="1159"/>
      <c r="Q7" s="1159"/>
      <c r="R7" s="1159"/>
      <c r="S7" s="1159"/>
      <c r="T7" s="1159"/>
      <c r="U7" s="1159"/>
      <c r="V7" s="1159"/>
      <c r="W7" s="1157">
        <v>11</v>
      </c>
    </row>
    <row r="8" s="1644" customFormat="1" ht="4.2000000000000002" customHeight="1">
      <c r="A8" s="1169"/>
      <c r="B8" s="1169"/>
      <c r="C8" s="1169"/>
      <c r="E8" s="1230"/>
      <c r="F8" s="1231"/>
      <c r="G8" s="1231"/>
      <c r="H8" s="1231"/>
      <c r="I8" s="1231"/>
      <c r="J8" s="1231"/>
      <c r="K8" s="1230"/>
      <c r="L8" s="1230"/>
      <c r="M8" s="1230"/>
      <c r="N8" s="1230"/>
      <c r="O8" s="1230"/>
      <c r="P8" s="1230"/>
      <c r="Q8" s="1230"/>
      <c r="R8" s="1230"/>
      <c r="S8" s="1230"/>
      <c r="T8" s="1230"/>
      <c r="U8" s="1230"/>
      <c r="V8" s="1230"/>
      <c r="W8" s="513">
        <v>4</v>
      </c>
    </row>
    <row r="9" ht="10.5" customHeight="1">
      <c r="E9" s="1172"/>
      <c r="F9" s="2421" t="s">
        <v>300</v>
      </c>
      <c r="G9" s="2422"/>
      <c r="H9" s="2422"/>
      <c r="I9" s="2422"/>
      <c r="J9" s="2422"/>
      <c r="K9" s="1242"/>
      <c r="L9" s="1159"/>
      <c r="M9" s="1159"/>
      <c r="N9" s="1159"/>
      <c r="O9" s="1159"/>
      <c r="P9" s="1159"/>
      <c r="Q9" s="1159"/>
      <c r="R9" s="1159"/>
      <c r="S9" s="1159"/>
      <c r="T9" s="1159"/>
      <c r="U9" s="1159"/>
      <c r="V9" s="1159"/>
      <c r="W9" s="1157">
        <v>10</v>
      </c>
    </row>
    <row r="10" ht="25.199999999999999" customHeight="1">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r="11" ht="25.5" customHeight="1">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r="12" ht="10.5" customHeight="1">
      <c r="F12" s="2427"/>
      <c r="G12" s="2430"/>
      <c r="H12" s="1228" t="s">
        <v>1019</v>
      </c>
      <c r="I12" s="1234"/>
      <c r="J12" s="1228"/>
      <c r="K12" s="1236"/>
      <c r="W12" s="1157">
        <v>10</v>
      </c>
    </row>
    <row r="13" ht="10.5" hidden="1" customHeight="1">
      <c r="F13" s="1228">
        <v>1</v>
      </c>
      <c r="G13" s="1228">
        <v>2</v>
      </c>
      <c r="H13" s="1228">
        <v>3</v>
      </c>
      <c r="I13" s="1228">
        <v>4</v>
      </c>
      <c r="J13" s="1228">
        <v>5</v>
      </c>
      <c r="K13" s="1236"/>
      <c r="W13" s="1157">
        <v>0</v>
      </c>
    </row>
    <row r="14" ht="11.5" customHeight="1">
      <c r="F14" s="1227" t="s">
        <v>1020</v>
      </c>
      <c r="G14" s="2423" t="s">
        <v>1021</v>
      </c>
      <c r="H14" s="2423"/>
      <c r="I14" s="2423"/>
      <c r="J14" s="2423"/>
      <c r="K14" s="1236"/>
      <c r="W14" s="1157">
        <v>11</v>
      </c>
    </row>
    <row r="15" ht="11.5" customHeight="1">
      <c r="F15" s="1232">
        <v>1</v>
      </c>
      <c r="G15" s="692" t="s">
        <v>1022</v>
      </c>
      <c r="H15" s="1238">
        <f>SUM(I15:J15)</f>
        <v>0</v>
      </c>
      <c r="I15" s="1238">
        <f>SUM(I16:I27)</f>
        <v>0</v>
      </c>
      <c r="J15" s="1227"/>
      <c r="K15" s="1236"/>
      <c r="W15" s="1157">
        <v>11</v>
      </c>
    </row>
    <row r="16" ht="24" customHeight="1">
      <c r="F16" s="1232" t="s">
        <v>1023</v>
      </c>
      <c r="G16" s="1239" t="s">
        <v>1024</v>
      </c>
      <c r="H16" s="1238">
        <f>SUM(I16:J16)</f>
        <v>0</v>
      </c>
      <c r="I16" s="1237"/>
      <c r="J16" s="1227"/>
      <c r="K16" s="1236"/>
      <c r="W16" s="1157">
        <v>23</v>
      </c>
    </row>
    <row r="17" ht="24" customHeight="1">
      <c r="F17" s="1232" t="s">
        <v>1025</v>
      </c>
      <c r="G17" s="1239" t="s">
        <v>1026</v>
      </c>
      <c r="H17" s="1238">
        <f>SUM(I17:J17)</f>
        <v>0</v>
      </c>
      <c r="I17" s="1237"/>
      <c r="J17" s="1227"/>
      <c r="K17" s="1236"/>
      <c r="W17" s="1157">
        <v>23</v>
      </c>
    </row>
    <row r="18" ht="35.649999999999999" customHeight="1">
      <c r="F18" s="1232" t="s">
        <v>1027</v>
      </c>
      <c r="G18" s="1239" t="s">
        <v>1028</v>
      </c>
      <c r="H18" s="1238">
        <f>SUM(I18:J18)</f>
        <v>0</v>
      </c>
      <c r="I18" s="1237"/>
      <c r="J18" s="1227"/>
      <c r="K18" s="1236"/>
      <c r="W18" s="1157">
        <v>34</v>
      </c>
    </row>
    <row r="19" ht="35.649999999999999" customHeight="1">
      <c r="F19" s="1232" t="s">
        <v>1029</v>
      </c>
      <c r="G19" s="1239" t="s">
        <v>1030</v>
      </c>
      <c r="H19" s="1238">
        <f>SUM(I19:J19)</f>
        <v>0</v>
      </c>
      <c r="I19" s="1237"/>
      <c r="J19" s="1227"/>
      <c r="K19" s="1236"/>
      <c r="W19" s="1157">
        <v>34</v>
      </c>
    </row>
    <row r="20" ht="48.25" customHeight="1">
      <c r="F20" s="1232" t="s">
        <v>1031</v>
      </c>
      <c r="G20" s="1239" t="s">
        <v>1032</v>
      </c>
      <c r="H20" s="1238">
        <f>SUM(I20:J20)</f>
        <v>0</v>
      </c>
      <c r="I20" s="1237"/>
      <c r="J20" s="1227"/>
      <c r="K20" s="1236"/>
      <c r="W20" s="1157">
        <v>46</v>
      </c>
    </row>
    <row r="21" ht="35.649999999999999" customHeight="1">
      <c r="F21" s="1232" t="s">
        <v>1033</v>
      </c>
      <c r="G21" s="1239" t="s">
        <v>1034</v>
      </c>
      <c r="H21" s="1238">
        <f>SUM(I21:J21)</f>
        <v>0</v>
      </c>
      <c r="I21" s="1237"/>
      <c r="J21" s="1227"/>
      <c r="K21" s="1236"/>
      <c r="W21" s="1157">
        <v>34</v>
      </c>
    </row>
    <row r="22" ht="35.649999999999999" customHeight="1">
      <c r="F22" s="1232" t="s">
        <v>1035</v>
      </c>
      <c r="G22" s="1239" t="s">
        <v>1036</v>
      </c>
      <c r="H22" s="1238">
        <f>SUM(I22:J22)</f>
        <v>0</v>
      </c>
      <c r="I22" s="1237"/>
      <c r="J22" s="1227"/>
      <c r="K22" s="1236"/>
      <c r="W22" s="1157">
        <v>34</v>
      </c>
    </row>
    <row r="23" ht="24" customHeight="1">
      <c r="F23" s="1232" t="s">
        <v>1037</v>
      </c>
      <c r="G23" s="1239" t="s">
        <v>1038</v>
      </c>
      <c r="H23" s="1238">
        <f>SUM(I23:J23)</f>
        <v>0</v>
      </c>
      <c r="I23" s="1237"/>
      <c r="J23" s="1227"/>
      <c r="K23" s="1236"/>
      <c r="W23" s="1157">
        <v>23</v>
      </c>
    </row>
    <row r="24" ht="24" customHeight="1">
      <c r="F24" s="1232" t="s">
        <v>1039</v>
      </c>
      <c r="G24" s="1239" t="s">
        <v>1040</v>
      </c>
      <c r="H24" s="1238">
        <f>SUM(I24:J24)</f>
        <v>0</v>
      </c>
      <c r="I24" s="1237"/>
      <c r="J24" s="1227"/>
      <c r="K24" s="1236"/>
      <c r="W24" s="1157">
        <v>23</v>
      </c>
    </row>
    <row r="25" ht="35.649999999999999" customHeight="1">
      <c r="F25" s="1232" t="s">
        <v>1041</v>
      </c>
      <c r="G25" s="1239" t="s">
        <v>1042</v>
      </c>
      <c r="H25" s="1238">
        <f>SUM(I25:J25)</f>
        <v>0</v>
      </c>
      <c r="I25" s="1237"/>
      <c r="J25" s="1227"/>
      <c r="K25" s="1236"/>
      <c r="W25" s="1157">
        <v>34</v>
      </c>
    </row>
    <row r="26" ht="35.649999999999999" customHeight="1">
      <c r="F26" s="1232" t="s">
        <v>1043</v>
      </c>
      <c r="G26" s="1239" t="s">
        <v>1044</v>
      </c>
      <c r="H26" s="1238">
        <f>SUM(I26:J26)</f>
        <v>0</v>
      </c>
      <c r="I26" s="1237"/>
      <c r="J26" s="1227"/>
      <c r="K26" s="1236"/>
      <c r="W26" s="1157">
        <v>34</v>
      </c>
    </row>
    <row r="27" ht="11.5" customHeight="1">
      <c r="F27" s="1232" t="s">
        <v>1045</v>
      </c>
      <c r="G27" s="1239" t="s">
        <v>1046</v>
      </c>
      <c r="H27" s="1238">
        <f>SUM(I27:J27)</f>
        <v>0</v>
      </c>
      <c r="I27" s="1237"/>
      <c r="J27" s="1227"/>
      <c r="K27" s="1236"/>
      <c r="W27" s="1157">
        <v>11</v>
      </c>
    </row>
    <row r="28" ht="11.5" customHeight="1">
      <c r="F28" s="1232">
        <v>2</v>
      </c>
      <c r="G28" s="692" t="s">
        <v>1047</v>
      </c>
      <c r="H28" s="1238">
        <f>SUM(I28:J28)</f>
        <v>0</v>
      </c>
      <c r="I28" s="1238">
        <f>SUM(I29:I31)</f>
        <v>0</v>
      </c>
      <c r="J28" s="1227"/>
      <c r="K28" s="1236"/>
      <c r="W28" s="1157">
        <v>11</v>
      </c>
    </row>
    <row r="29" ht="11.5" customHeight="1">
      <c r="F29" s="1232" t="s">
        <v>709</v>
      </c>
      <c r="G29" s="1239" t="s">
        <v>1048</v>
      </c>
      <c r="H29" s="1238">
        <f>SUM(I29:J29)</f>
        <v>0</v>
      </c>
      <c r="I29" s="1237"/>
      <c r="J29" s="1227"/>
      <c r="K29" s="1236"/>
      <c r="W29" s="1157">
        <v>11</v>
      </c>
    </row>
    <row r="30" ht="11.5" customHeight="1">
      <c r="F30" s="1232" t="s">
        <v>307</v>
      </c>
      <c r="G30" s="1239" t="s">
        <v>1049</v>
      </c>
      <c r="H30" s="1238">
        <f>SUM(I30:J30)</f>
        <v>0</v>
      </c>
      <c r="I30" s="1237"/>
      <c r="J30" s="1227"/>
      <c r="K30" s="1236"/>
      <c r="W30" s="1157">
        <v>11</v>
      </c>
    </row>
    <row r="31" ht="11.5" customHeight="1">
      <c r="F31" s="1232" t="s">
        <v>310</v>
      </c>
      <c r="G31" s="1239" t="s">
        <v>1050</v>
      </c>
      <c r="H31" s="1238">
        <f>SUM(I31:J31)</f>
        <v>0</v>
      </c>
      <c r="I31" s="1237"/>
      <c r="J31" s="1227"/>
      <c r="K31" s="1236"/>
      <c r="W31" s="1157">
        <v>11</v>
      </c>
    </row>
    <row r="32" ht="11.5" customHeight="1">
      <c r="F32" s="1232">
        <v>3</v>
      </c>
      <c r="G32" s="692" t="s">
        <v>1051</v>
      </c>
      <c r="H32" s="1238">
        <f>SUM(I32:J32)</f>
        <v>0</v>
      </c>
      <c r="I32" s="1238">
        <f>SUM(I33:I34)</f>
        <v>0</v>
      </c>
      <c r="J32" s="1227"/>
      <c r="K32" s="1236"/>
      <c r="W32" s="1157">
        <v>11</v>
      </c>
    </row>
    <row r="33" ht="48.25" customHeight="1">
      <c r="F33" s="1232" t="s">
        <v>324</v>
      </c>
      <c r="G33" s="1239" t="s">
        <v>1052</v>
      </c>
      <c r="H33" s="1238">
        <f>SUM(I33:J33)</f>
        <v>0</v>
      </c>
      <c r="I33" s="1237"/>
      <c r="J33" s="1227"/>
      <c r="K33" s="1236"/>
      <c r="W33" s="1157">
        <v>46</v>
      </c>
    </row>
    <row r="34" ht="11.5" customHeight="1">
      <c r="F34" s="1232" t="s">
        <v>332</v>
      </c>
      <c r="G34" s="1239" t="s">
        <v>1053</v>
      </c>
      <c r="H34" s="1238">
        <f>SUM(I34:J34)</f>
        <v>0</v>
      </c>
      <c r="I34" s="1237"/>
      <c r="J34" s="1227"/>
      <c r="K34" s="1236"/>
      <c r="W34" s="1157">
        <v>11</v>
      </c>
    </row>
    <row r="35" ht="11.5" customHeight="1">
      <c r="F35" s="1232">
        <v>4</v>
      </c>
      <c r="G35" s="692" t="s">
        <v>1054</v>
      </c>
      <c r="H35" s="1238">
        <f>SUM(I35:J35)</f>
        <v>0</v>
      </c>
      <c r="I35" s="1237"/>
      <c r="J35" s="1227"/>
      <c r="K35" s="1236"/>
      <c r="W35" s="1157">
        <v>11</v>
      </c>
    </row>
    <row r="36" ht="11.5" customHeight="1">
      <c r="F36" s="1232"/>
      <c r="G36" s="695" t="s">
        <v>1055</v>
      </c>
      <c r="H36" s="1238">
        <f>SUM(I36:J36)</f>
        <v>0</v>
      </c>
      <c r="I36" s="1238">
        <f>SUM(I15,I28,I32,I35)</f>
        <v>0</v>
      </c>
      <c r="J36" s="1227"/>
      <c r="K36" s="1236"/>
      <c r="W36" s="1157">
        <v>11</v>
      </c>
    </row>
    <row r="37" ht="29.25" customHeight="1">
      <c r="F37" s="1233" t="s">
        <v>1056</v>
      </c>
      <c r="G37" s="2424" t="s">
        <v>1057</v>
      </c>
      <c r="H37" s="2424"/>
      <c r="I37" s="2424"/>
      <c r="J37" s="2424"/>
      <c r="K37" s="1236"/>
      <c r="W37" s="1157">
        <v>28</v>
      </c>
    </row>
    <row r="38" ht="24" customHeight="1">
      <c r="F38" s="1232" t="s">
        <v>110</v>
      </c>
      <c r="G38" s="692" t="s">
        <v>1058</v>
      </c>
      <c r="H38" s="1238">
        <f>SUM(I38:J38)</f>
        <v>0</v>
      </c>
      <c r="I38" s="1238">
        <f>SUM(I39,I44,I47)</f>
        <v>0</v>
      </c>
      <c r="J38" s="1227"/>
      <c r="K38" s="1236"/>
      <c r="W38" s="1157">
        <v>23</v>
      </c>
    </row>
    <row r="39" ht="11.5" customHeight="1">
      <c r="F39" s="1232" t="s">
        <v>1023</v>
      </c>
      <c r="G39" s="1239" t="s">
        <v>1022</v>
      </c>
      <c r="H39" s="1238">
        <f>SUM(I39:J39)</f>
        <v>0</v>
      </c>
      <c r="I39" s="1238">
        <f>SUM(I40:I43)</f>
        <v>0</v>
      </c>
      <c r="J39" s="1227"/>
      <c r="K39" s="1236"/>
      <c r="W39" s="1157">
        <v>11</v>
      </c>
    </row>
    <row r="40" ht="24" customHeight="1">
      <c r="F40" s="1232" t="s">
        <v>1059</v>
      </c>
      <c r="G40" s="1240" t="s">
        <v>1060</v>
      </c>
      <c r="H40" s="1238">
        <f>SUM(I40:J40)</f>
        <v>0</v>
      </c>
      <c r="I40" s="1237"/>
      <c r="J40" s="1227"/>
      <c r="K40" s="1236"/>
      <c r="W40" s="1157">
        <v>23</v>
      </c>
    </row>
    <row r="41" ht="11.5" customHeight="1">
      <c r="F41" s="1232" t="s">
        <v>1061</v>
      </c>
      <c r="G41" s="1240" t="s">
        <v>1062</v>
      </c>
      <c r="H41" s="1238">
        <f>SUM(I41:J41)</f>
        <v>0</v>
      </c>
      <c r="I41" s="1237"/>
      <c r="J41" s="1227"/>
      <c r="K41" s="1236"/>
      <c r="W41" s="1157">
        <v>11</v>
      </c>
    </row>
    <row r="42" ht="11.5" customHeight="1">
      <c r="F42" s="1232" t="s">
        <v>1063</v>
      </c>
      <c r="G42" s="1240" t="s">
        <v>1064</v>
      </c>
      <c r="H42" s="1238">
        <f>SUM(I42:J42)</f>
        <v>0</v>
      </c>
      <c r="I42" s="1237"/>
      <c r="J42" s="1227"/>
      <c r="K42" s="1236"/>
      <c r="W42" s="1157">
        <v>11</v>
      </c>
    </row>
    <row r="43" ht="35.649999999999999" customHeight="1">
      <c r="F43" s="1232" t="s">
        <v>1065</v>
      </c>
      <c r="G43" s="1240" t="s">
        <v>1066</v>
      </c>
      <c r="H43" s="1238">
        <f>SUM(I43:J43)</f>
        <v>0</v>
      </c>
      <c r="I43" s="1237"/>
      <c r="J43" s="1227"/>
      <c r="K43" s="1236"/>
      <c r="W43" s="1157">
        <v>34</v>
      </c>
    </row>
    <row r="44" ht="11.5" customHeight="1">
      <c r="F44" s="1232" t="s">
        <v>1025</v>
      </c>
      <c r="G44" s="1239" t="s">
        <v>1051</v>
      </c>
      <c r="H44" s="1238">
        <f>SUM(I44:J44)</f>
        <v>0</v>
      </c>
      <c r="I44" s="1238">
        <f>SUM(I45:I46)</f>
        <v>0</v>
      </c>
      <c r="J44" s="1227"/>
      <c r="K44" s="1236"/>
      <c r="W44" s="1157">
        <v>11</v>
      </c>
    </row>
    <row r="45" ht="48.25" customHeight="1">
      <c r="F45" s="1232" t="s">
        <v>1067</v>
      </c>
      <c r="G45" s="1240" t="s">
        <v>1052</v>
      </c>
      <c r="H45" s="1238">
        <f>SUM(I45:J45)</f>
        <v>0</v>
      </c>
      <c r="I45" s="1237"/>
      <c r="J45" s="1227"/>
      <c r="K45" s="1236"/>
      <c r="W45" s="1157">
        <v>46</v>
      </c>
    </row>
    <row r="46" ht="11.5" customHeight="1">
      <c r="F46" s="1232" t="s">
        <v>1068</v>
      </c>
      <c r="G46" s="1240" t="s">
        <v>1053</v>
      </c>
      <c r="H46" s="1238">
        <f>SUM(I46:J46)</f>
        <v>0</v>
      </c>
      <c r="I46" s="1237"/>
      <c r="J46" s="1227"/>
      <c r="K46" s="1236"/>
      <c r="W46" s="1157">
        <v>11</v>
      </c>
    </row>
    <row r="47" ht="11.5" customHeight="1">
      <c r="F47" s="1232" t="s">
        <v>1027</v>
      </c>
      <c r="G47" s="1239" t="s">
        <v>1069</v>
      </c>
      <c r="H47" s="1238">
        <f>SUM(I47:J47)</f>
        <v>0</v>
      </c>
      <c r="I47" s="1237"/>
      <c r="J47" s="1227"/>
      <c r="K47" s="1236"/>
      <c r="W47" s="1157">
        <v>11</v>
      </c>
    </row>
    <row r="48" ht="24" customHeight="1">
      <c r="F48" s="1232" t="s">
        <v>111</v>
      </c>
      <c r="G48" s="692" t="s">
        <v>1070</v>
      </c>
      <c r="H48" s="1238">
        <f>SUM(I48:J48)</f>
        <v>0</v>
      </c>
      <c r="I48" s="1238">
        <f>SUM(I49,I54,I57)</f>
        <v>0</v>
      </c>
      <c r="J48" s="1227"/>
      <c r="K48" s="1236"/>
      <c r="W48" s="1157">
        <v>23</v>
      </c>
    </row>
    <row r="49" ht="11.5" customHeight="1">
      <c r="F49" s="1232" t="s">
        <v>709</v>
      </c>
      <c r="G49" s="1239" t="s">
        <v>1022</v>
      </c>
      <c r="H49" s="1238">
        <f>SUM(I49:J49)</f>
        <v>0</v>
      </c>
      <c r="I49" s="1238">
        <f>SUM(I50:I53)</f>
        <v>0</v>
      </c>
      <c r="J49" s="1227"/>
      <c r="K49" s="1236"/>
      <c r="W49" s="1157">
        <v>11</v>
      </c>
    </row>
    <row r="50" ht="24" customHeight="1">
      <c r="F50" s="1232" t="s">
        <v>712</v>
      </c>
      <c r="G50" s="1240" t="s">
        <v>1060</v>
      </c>
      <c r="H50" s="1238">
        <f>SUM(I50:J50)</f>
        <v>0</v>
      </c>
      <c r="I50" s="1237"/>
      <c r="J50" s="1227"/>
      <c r="K50" s="1236"/>
      <c r="W50" s="1157">
        <v>23</v>
      </c>
    </row>
    <row r="51" ht="11.5" customHeight="1">
      <c r="F51" s="1232" t="s">
        <v>715</v>
      </c>
      <c r="G51" s="1240" t="s">
        <v>1062</v>
      </c>
      <c r="H51" s="1238">
        <f>SUM(I51:J51)</f>
        <v>0</v>
      </c>
      <c r="I51" s="1237"/>
      <c r="J51" s="1227"/>
      <c r="K51" s="1236"/>
      <c r="W51" s="1157">
        <v>11</v>
      </c>
    </row>
    <row r="52" ht="11.5" customHeight="1">
      <c r="F52" s="1232" t="s">
        <v>1071</v>
      </c>
      <c r="G52" s="1240" t="s">
        <v>1064</v>
      </c>
      <c r="H52" s="1238">
        <f>SUM(I52:J52)</f>
        <v>0</v>
      </c>
      <c r="I52" s="1237"/>
      <c r="J52" s="1227"/>
      <c r="K52" s="1236"/>
      <c r="W52" s="1157">
        <v>11</v>
      </c>
    </row>
    <row r="53" ht="35.649999999999999" customHeight="1">
      <c r="F53" s="1232" t="s">
        <v>1072</v>
      </c>
      <c r="G53" s="1240" t="s">
        <v>1066</v>
      </c>
      <c r="H53" s="1238">
        <f>SUM(I53:J53)</f>
        <v>0</v>
      </c>
      <c r="I53" s="1237"/>
      <c r="J53" s="1227"/>
      <c r="K53" s="1236"/>
      <c r="W53" s="1157">
        <v>34</v>
      </c>
    </row>
    <row r="54" ht="11.5" customHeight="1">
      <c r="F54" s="1232" t="s">
        <v>307</v>
      </c>
      <c r="G54" s="1239" t="s">
        <v>1051</v>
      </c>
      <c r="H54" s="1238">
        <f>SUM(I54:J54)</f>
        <v>0</v>
      </c>
      <c r="I54" s="1238">
        <f>SUM(I55:I56)</f>
        <v>0</v>
      </c>
      <c r="J54" s="1227"/>
      <c r="K54" s="1236"/>
      <c r="W54" s="1157">
        <v>11</v>
      </c>
    </row>
    <row r="55" ht="48.25" customHeight="1">
      <c r="F55" s="1232" t="s">
        <v>719</v>
      </c>
      <c r="G55" s="1240" t="s">
        <v>1052</v>
      </c>
      <c r="H55" s="1238">
        <f>SUM(I55:J55)</f>
        <v>0</v>
      </c>
      <c r="I55" s="1237"/>
      <c r="J55" s="1227"/>
      <c r="K55" s="1236"/>
      <c r="W55" s="1157">
        <v>46</v>
      </c>
    </row>
    <row r="56" ht="11.5" customHeight="1">
      <c r="F56" s="1232" t="s">
        <v>721</v>
      </c>
      <c r="G56" s="1240" t="s">
        <v>1053</v>
      </c>
      <c r="H56" s="1238">
        <f>SUM(I56:J56)</f>
        <v>0</v>
      </c>
      <c r="I56" s="1237"/>
      <c r="J56" s="1227"/>
      <c r="K56" s="1236"/>
      <c r="W56" s="1157">
        <v>11</v>
      </c>
    </row>
    <row r="57" ht="11.5" customHeight="1">
      <c r="F57" s="1232" t="s">
        <v>310</v>
      </c>
      <c r="G57" s="1239" t="s">
        <v>1069</v>
      </c>
      <c r="H57" s="1238">
        <f>SUM(I57:J57)</f>
        <v>0</v>
      </c>
      <c r="I57" s="1237"/>
      <c r="J57" s="1227"/>
      <c r="K57" s="1236"/>
      <c r="W57" s="1157">
        <v>11</v>
      </c>
    </row>
    <row r="58" ht="11.5" customHeight="1">
      <c r="F58" s="1232"/>
      <c r="G58" s="1241" t="s">
        <v>1055</v>
      </c>
      <c r="H58" s="1238">
        <f>SUM(I58:J58)</f>
        <v>0</v>
      </c>
      <c r="I58" s="1238">
        <f>SUM(I38,I48)</f>
        <v>0</v>
      </c>
      <c r="J58" s="1227"/>
      <c r="K58" s="1236"/>
      <c r="W58" s="1157">
        <v>11</v>
      </c>
    </row>
    <row r="59" ht="10.5" hidden="1" customHeight="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autoFilter="0" deleteColumns="0" deleteRows="0" formatColumns="0" formatRows="0" insertColumns="1" insertRows="0" sort="0"/>
  <mergeCells count="9">
    <mergeCell ref="F5:J5"/>
    <mergeCell ref="F6:J6"/>
    <mergeCell ref="F9:J9"/>
    <mergeCell ref="G14:J14"/>
    <mergeCell ref="G37:J37"/>
    <mergeCell ref="F10:F12"/>
    <mergeCell ref="H10:J10"/>
    <mergeCell ref="H11:J11"/>
    <mergeCell ref="G10:G12"/>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470064-00D7-4CD3-B74B-00690046000B}" type="decimal" allowBlank="1" error="Допускается ввод только неотрицательных чисел!" errorTitle="Ошибка" showErrorMessage="1">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2" customHeight="1"/>
  <cols>
    <col customWidth="1" hidden="1" min="1" max="1" style="1065" width="4.7109375"/>
    <col customWidth="1" hidden="1" min="2" max="2" style="938" width="4.7109375"/>
    <col customWidth="1" hidden="1" min="3" max="4" style="1065" width="4.7109375"/>
    <col customWidth="1" min="5" max="5" style="1065" width="3.00390625"/>
    <col customWidth="1" min="6" max="6" style="1065" width="6.00390625"/>
    <col customWidth="1" min="7" max="7" style="1065" width="18.00390625"/>
    <col customWidth="1" min="8" max="8" style="1065" width="27.00390625"/>
    <col customWidth="1" min="9" max="9" style="1065" width="18.00390625"/>
    <col customWidth="1" hidden="1" min="10" max="14" style="1065" width="0.8515625"/>
    <col customWidth="1" min="15" max="28" style="1065" width="21.7109375"/>
    <col customWidth="1" min="29" max="71" style="1065" width="0.8515625"/>
    <col customWidth="1" hidden="1" min="72" max="79" style="1065" width="21.7109375"/>
    <col customWidth="1" hidden="1" min="80" max="81" style="1065" width="29.140625"/>
    <col customWidth="1" hidden="1" min="82" max="89" style="1065" width="21.7109375"/>
    <col customWidth="1" hidden="1" min="90" max="102" style="1065" width="0.7109375"/>
    <col customWidth="1" hidden="1" min="103" max="114" style="1065" width="21.7109375"/>
    <col customWidth="1" hidden="1" min="115" max="178" style="1065" width="0.7109375"/>
    <col customWidth="1" min="179" max="179" style="1065" width="0.140625"/>
    <col customWidth="1" min="180" max="184" style="1065" width="8.00390625"/>
    <col hidden="1" min="185" max="185" style="1065" width="9.140625"/>
  </cols>
  <sheetData>
    <row r="1" s="927" customFormat="1" ht="12" hidden="1" customHeight="1">
      <c r="B1" s="925"/>
      <c r="C1" s="926"/>
      <c r="D1" s="926"/>
      <c r="GC1" s="924" t="s">
        <v>14</v>
      </c>
    </row>
    <row r="2" s="927" customFormat="1" ht="12" hidden="1" customHeight="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r="3" s="927" customFormat="1" ht="12" hidden="1" customHeight="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r="4" ht="10.5" customHeight="1">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r="5" s="1875" customFormat="1" ht="27.300000000000001" customHeight="1">
      <c r="B5" s="1874"/>
      <c r="E5" s="1876"/>
      <c r="F5" s="2434" t="str">
        <f>IP_NAME_FORM&amp;"
Показатели качества, надежности и энергетической эффективности в сфере "&amp;TEMPLATE_SPHERE_RUS</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r="6" s="2140" customFormat="1" ht="18.75" customHeight="1">
      <c r="B6" s="945"/>
      <c r="E6" s="947"/>
      <c r="F6" s="2216" t="str">
        <f>IF(org=0,"Не определено",org)</f>
        <v xml:space="preserve">филиал ПАО "ОГК-2" - Рязанская ГРЭС</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r="7" s="935" customFormat="1" ht="10.5" customHeight="1">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r="8" s="935" customFormat="1" ht="11.25" hidden="1" customHeight="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r="9" s="935" customFormat="1" ht="11.25" hidden="1" customHeight="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r="10" s="935" customFormat="1" ht="11.5" customHeight="1">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r="11" ht="12.75" customHeight="1">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r="12" ht="12.75" customHeight="1">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r="13" ht="37.799999999999997" customHeight="1">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r="14" ht="37.799999999999997" customHeight="1">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r="15" ht="37.799999999999997" customHeight="1">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r="16" ht="12.75" customHeight="1">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r="17" ht="15.75" customHeight="1">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r="18" s="927" customFormat="1" ht="12" hidden="1" customHeight="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r="19" s="927" customFormat="1" ht="11.25" hidden="1" customHeight="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r="20" s="927" customFormat="1" ht="11.25" hidden="1" customHeight="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r="21" s="927" customFormat="1" ht="12.75" customHeight="1">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r="22" s="927" customFormat="1" ht="12.75" customHeight="1">
      <c r="A22" s="943"/>
      <c r="B22" s="943"/>
      <c r="C22" s="943"/>
      <c r="D22" s="943"/>
      <c r="E22" s="943"/>
      <c r="FX22" s="943"/>
      <c r="FY22" s="943"/>
      <c r="FZ22" s="943"/>
      <c r="GA22" s="943"/>
      <c r="GB22" s="943"/>
      <c r="GC22" s="924">
        <v>12</v>
      </c>
    </row>
    <row r="23" s="1065" customFormat="1" ht="12.75" customHeight="1">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r="24" ht="12.75" customHeight="1">
      <c r="S24" s="940"/>
      <c r="T24" s="940"/>
      <c r="U24" s="940"/>
      <c r="V24" s="940"/>
      <c r="W24" s="940"/>
      <c r="X24" s="940"/>
      <c r="Y24" s="940"/>
      <c r="Z24" s="940"/>
      <c r="AA24" s="940"/>
      <c r="AB24" s="940"/>
      <c r="FX24" s="940"/>
      <c r="FY24" s="940"/>
      <c r="FZ24" s="940"/>
      <c r="GA24" s="940"/>
      <c r="GB24" s="940"/>
      <c r="GC24" s="928">
        <v>12</v>
      </c>
    </row>
    <row r="25" ht="12" hidden="1" customHeight="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autoFilter="0" deleteColumns="0" deleteRows="0" formatColumns="0" formatRows="0" insertColumns="1" insertRows="0" sort="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sqref="AA14:AB16 U16:Z16" allowBlank="1"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sheetPr>
  <sheetViews>
    <sheetView showGridLines="0" topLeftCell="A1" zoomScale="90" workbookViewId="0">
      <selection activeCell="E21" sqref="E21"/>
    </sheetView>
  </sheetViews>
  <sheetFormatPr defaultColWidth="10.57421875" defaultRowHeight="15" customHeight="1"/>
  <cols>
    <col customWidth="1" hidden="1" min="1" max="1" style="1634" width="9.140625"/>
    <col customWidth="1" hidden="1" min="2" max="2" style="1637" width="9.140625"/>
    <col customWidth="1" min="3" max="3" style="685" width="4.00390625"/>
    <col customWidth="1" min="4" max="4" style="1637" width="6.00390625"/>
    <col customWidth="1" min="5" max="5" style="1637" width="36.00390625"/>
    <col customWidth="1" min="6" max="6" style="1637" width="9.00390625"/>
    <col customWidth="1" hidden="1" min="7" max="7" style="1637" width="42.421875"/>
    <col customWidth="1" min="8" max="8" style="1637" width="40.7109375"/>
    <col customWidth="1" min="9" max="9" style="1368" width="93.00390625"/>
    <col customWidth="1" min="10" max="17" style="1637" width="10.00390625"/>
    <col customWidth="1" min="18" max="18" style="677" width="10.00390625"/>
    <col hidden="1" min="19" max="19" style="1637" width="10.57421875"/>
  </cols>
  <sheetData>
    <row r="1" s="1368" customFormat="1" ht="15" hidden="1" customHeight="1">
      <c r="C1" s="674"/>
      <c r="H1" s="419">
        <v>4</v>
      </c>
      <c r="R1" s="422"/>
      <c r="S1" s="419" t="s">
        <v>14</v>
      </c>
    </row>
    <row r="2" ht="22.5" hidden="1" customHeight="1">
      <c r="C2" s="1930" t="s">
        <v>689</v>
      </c>
      <c r="D2" s="541"/>
      <c r="E2" s="665"/>
      <c r="F2" s="1763" t="str">
        <f>IF(TEMPLATE_SPHERE="HEAT","Гкал/час","тыс. куб. м/сутки")</f>
        <v>Гкал/час</v>
      </c>
      <c r="G2" s="682"/>
      <c r="H2" s="682"/>
      <c r="I2" s="291"/>
      <c r="S2" s="507">
        <v>0</v>
      </c>
    </row>
    <row r="3" s="1368" customFormat="1" ht="15" hidden="1" customHeight="1">
      <c r="C3" s="674"/>
      <c r="R3" s="422"/>
      <c r="S3" s="419">
        <v>0</v>
      </c>
    </row>
    <row r="4" ht="15.75" customHeight="1">
      <c r="C4" s="178"/>
      <c r="D4" s="511"/>
      <c r="E4" s="511"/>
      <c r="F4" s="511"/>
      <c r="G4" s="511"/>
      <c r="H4" s="511"/>
      <c r="S4" s="507">
        <v>15</v>
      </c>
    </row>
    <row r="5" ht="39.75" customHeight="1">
      <c r="C5" s="178"/>
      <c r="D5" s="2239" t="str">
        <f>TP_NAME_FORM</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r="6" ht="15.75" customHeight="1">
      <c r="C6" s="178"/>
      <c r="D6" s="2178" t="str">
        <f>IF(org=0,"Не определено",org)</f>
        <v xml:space="preserve">филиал ПАО "ОГК-2" - Рязанская ГРЭС</v>
      </c>
      <c r="E6" s="2178"/>
      <c r="F6" s="2178"/>
      <c r="G6" s="2178"/>
      <c r="H6" s="2178"/>
      <c r="I6" s="539"/>
      <c r="S6" s="507">
        <v>15</v>
      </c>
    </row>
    <row r="7" s="1637" customFormat="1" ht="15.75" customHeight="1">
      <c r="A7" s="761"/>
      <c r="C7" s="178"/>
      <c r="D7" s="678"/>
      <c r="E7" s="678"/>
      <c r="F7" s="678"/>
      <c r="G7" s="678"/>
      <c r="H7" s="754"/>
      <c r="I7" s="539"/>
      <c r="R7" s="677"/>
      <c r="S7" s="760">
        <v>15</v>
      </c>
    </row>
    <row r="8" ht="1.05" customHeight="1">
      <c r="C8" s="178"/>
      <c r="D8" s="511"/>
      <c r="E8" s="511"/>
      <c r="F8" s="511"/>
      <c r="G8" s="511"/>
      <c r="H8" s="539" t="s">
        <v>118</v>
      </c>
      <c r="S8" s="507">
        <v>1</v>
      </c>
    </row>
    <row r="9" ht="15.75" customHeight="1">
      <c r="C9" s="178"/>
      <c r="D9" s="713"/>
      <c r="E9" s="2369" t="s">
        <v>106</v>
      </c>
      <c r="F9" s="2370"/>
      <c r="G9" s="818" t="str">
        <f>IF(G8="","",INDEX(DIFFERENTIATION_UNMERGE_VD,MATCH(G8,DIFFERENTIATION_ID_DIFF,0)))</f>
        <v/>
      </c>
      <c r="H9" s="818" t="str">
        <f>IF(H8="","",INDEX(DIFFERENTIATION_UNMERGE_VD,MATCH(H8,DIFFERENTIATION_ID_DIFF,0)))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I9" s="2129" t="s">
        <v>301</v>
      </c>
      <c r="S9" s="507">
        <v>15</v>
      </c>
    </row>
    <row r="10" s="1637" customFormat="1" ht="15.75" customHeight="1">
      <c r="A10" s="761"/>
      <c r="C10" s="178"/>
      <c r="D10" s="713"/>
      <c r="E10" s="2369" t="s">
        <v>564</v>
      </c>
      <c r="F10" s="2370"/>
      <c r="G10" s="818" t="str">
        <f>IF(G8="","",INDEX(DIFFERENTIATION_UNMERGE_AREA,MATCH(G8,DIFFERENTIATION_ID_DIFF,0)))</f>
        <v/>
      </c>
      <c r="H10" s="818" t="str">
        <f>IF(H8="","",INDEX(DIFFERENTIATION_UNMERGE_AREA,MATCH(H8,DIFFERENTIATION_ID_DIFF,0)))</f>
        <v xml:space="preserve">без дифференциации</v>
      </c>
      <c r="I10" s="2129"/>
      <c r="R10" s="677"/>
      <c r="S10" s="760">
        <v>15</v>
      </c>
    </row>
    <row r="11" s="1637" customFormat="1" ht="15.75" customHeight="1">
      <c r="A11" s="761"/>
      <c r="C11" s="178"/>
      <c r="D11" s="713"/>
      <c r="E11" s="2369" t="s">
        <v>565</v>
      </c>
      <c r="F11" s="2370"/>
      <c r="G11" s="818" t="str">
        <f>IF(G8="","",INDEX(DIFFERENTIATION_UNMERGE_SYSTEM,MATCH(G8,DIFFERENTIATION_ID_DIFF,0)))</f>
        <v/>
      </c>
      <c r="H11" s="818" t="str">
        <f>IF(H8="","",INDEX(DIFFERENTIATION_UNMERGE_SYSTEM,MATCH(H8,DIFFERENTIATION_ID_DIFF,0)))</f>
        <v xml:space="preserve">без дифференциации</v>
      </c>
      <c r="I11" s="2129"/>
      <c r="R11" s="677"/>
      <c r="S11" s="760">
        <v>15</v>
      </c>
    </row>
    <row r="12" s="1637" customFormat="1" ht="15.75" customHeight="1">
      <c r="A12" s="761"/>
      <c r="C12" s="178"/>
      <c r="D12" s="2371" t="s">
        <v>300</v>
      </c>
      <c r="E12" s="2372"/>
      <c r="F12" s="2372"/>
      <c r="G12" s="889"/>
      <c r="H12" s="889"/>
      <c r="I12" s="2129"/>
      <c r="R12" s="677"/>
      <c r="S12" s="760">
        <v>15</v>
      </c>
    </row>
    <row r="13" ht="35.649999999999999" customHeight="1">
      <c r="C13" s="178"/>
      <c r="D13" s="763" t="s">
        <v>88</v>
      </c>
      <c r="E13" s="762" t="s">
        <v>302</v>
      </c>
      <c r="F13" s="762" t="s">
        <v>566</v>
      </c>
      <c r="G13" s="810" t="s">
        <v>303</v>
      </c>
      <c r="H13" s="756" t="s">
        <v>303</v>
      </c>
      <c r="I13" s="2129"/>
      <c r="S13" s="507">
        <v>34</v>
      </c>
    </row>
    <row r="14" ht="15" hidden="1" customHeight="1">
      <c r="C14" s="178"/>
      <c r="D14" s="595" t="s">
        <v>110</v>
      </c>
      <c r="E14" s="595" t="s">
        <v>111</v>
      </c>
      <c r="F14" s="595" t="s">
        <v>90</v>
      </c>
      <c r="G14" s="661" t="str">
        <f>G1&amp;".1"</f>
        <v>.1</v>
      </c>
      <c r="H14" s="661" t="str">
        <f>H1&amp;".1"</f>
        <v>4.1</v>
      </c>
      <c r="I14" s="291"/>
      <c r="S14" s="507">
        <v>0</v>
      </c>
    </row>
    <row r="15" ht="15.75" customHeight="1">
      <c r="A15" s="507"/>
      <c r="C15" s="528"/>
      <c r="D15" s="523">
        <v>1</v>
      </c>
      <c r="E15" s="1932" t="str">
        <f>TP_P_A</f>
        <v xml:space="preserve">Количество поданных заявок</v>
      </c>
      <c r="F15" s="523" t="s">
        <v>1116</v>
      </c>
      <c r="G15" s="687"/>
      <c r="H15" s="687">
        <v>0</v>
      </c>
      <c r="I15" s="210" t="str">
        <f>TP_P_NOTE_A</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r="16" ht="15.75" customHeight="1">
      <c r="A16" s="507"/>
      <c r="C16" s="528"/>
      <c r="D16" s="523">
        <v>2</v>
      </c>
      <c r="E16" s="1932" t="str">
        <f>TP_P_B</f>
        <v xml:space="preserve">Количество рассмотренных заявок</v>
      </c>
      <c r="F16" s="523" t="s">
        <v>1116</v>
      </c>
      <c r="G16" s="687"/>
      <c r="H16" s="687">
        <v>0</v>
      </c>
      <c r="I16" s="210" t="str">
        <f>TP_P_NOTE_B</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r="17" ht="77.700000000000003" customHeight="1">
      <c r="A17" s="507"/>
      <c r="C17" s="528"/>
      <c r="D17" s="523">
        <v>3</v>
      </c>
      <c r="E17" s="1932" t="str">
        <f>TP_P_V</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 xml:space="preserve">Указывается количество заявок с решением об отказе в течение отчетного квартала.</v>
      </c>
      <c r="S17" s="507">
        <v>74</v>
      </c>
    </row>
    <row r="18" ht="54.75" customHeight="1">
      <c r="A18" s="507"/>
      <c r="C18" s="528"/>
      <c r="D18" s="523">
        <v>4</v>
      </c>
      <c r="E18" s="1932" t="str">
        <f>TP_P_V_1</f>
        <v xml:space="preserve">Причины отказа в заключении договора о подключении (технологическом присоединении) к системе теплоснабжения</v>
      </c>
      <c r="F18" s="523" t="s">
        <v>306</v>
      </c>
      <c r="G18" s="688"/>
      <c r="H18" s="688"/>
      <c r="I18" s="840"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r="19" ht="60" customHeight="1">
      <c r="A19" s="507"/>
      <c r="C19" s="528"/>
      <c r="D19" s="523">
        <v>5</v>
      </c>
      <c r="E19" s="1932" t="str">
        <f>TP_P_G</f>
        <v xml:space="preserve">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112.65000000000001</v>
      </c>
      <c r="I19" s="210"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S19" s="507">
        <v>57</v>
      </c>
    </row>
    <row r="20" ht="15" hidden="1" customHeight="1">
      <c r="D20" s="511" t="s">
        <v>1117</v>
      </c>
      <c r="E20" s="690"/>
      <c r="F20" s="511"/>
      <c r="G20" s="511"/>
      <c r="H20" s="511"/>
      <c r="I20" s="1765"/>
      <c r="S20" s="507">
        <v>0</v>
      </c>
    </row>
    <row r="21" ht="29.25" customHeight="1">
      <c r="C21" s="453"/>
      <c r="D21" s="541" t="s">
        <v>313</v>
      </c>
      <c r="E21" s="672" t="s">
        <v>1118</v>
      </c>
      <c r="F21" s="1763" t="str">
        <f>IF(TEMPLATE_SPHERE="HEAT","Гкал/час","тыс. куб. м/сутки")</f>
        <v>Гкал/час</v>
      </c>
      <c r="G21" s="682"/>
      <c r="H21" s="682">
        <v>112.65000000000001</v>
      </c>
      <c r="I21" s="217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S21" s="507">
        <v>28</v>
      </c>
    </row>
    <row r="22" ht="15.75" customHeight="1">
      <c r="A22" s="507"/>
      <c r="C22" s="507"/>
      <c r="D22" s="349"/>
      <c r="E22" s="582" t="s">
        <v>1119</v>
      </c>
      <c r="F22" s="574"/>
      <c r="G22" s="574"/>
      <c r="H22" s="574"/>
      <c r="I22" s="2173"/>
      <c r="R22" s="507"/>
      <c r="S22" s="507">
        <v>15</v>
      </c>
    </row>
    <row r="23" ht="22.5" hidden="1" customHeight="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autoFilter="0" deleteColumns="0" deleteRows="0" formatColumns="0" formatRows="0" insertColumns="1" insertRows="0" sort="0"/>
  <mergeCells count="8">
    <mergeCell ref="I21:I22"/>
    <mergeCell ref="I9:I13"/>
    <mergeCell ref="D5:H5"/>
    <mergeCell ref="D6:H6"/>
    <mergeCell ref="E9:F9"/>
    <mergeCell ref="E10:F10"/>
    <mergeCell ref="E11:F11"/>
    <mergeCell ref="D12:F12"/>
  </mergeCells>
  <dataValidations count="1">
    <dataValidation sqref="E15 E13"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090060-007E-481A-9D19-002D00F500C7}" type="textLength" allowBlank="1" error="Допускается ввод не более 900 символов!" errorTitle="Ошибка" operator="lessThanOrEqual" showErrorMessage="1" showInputMessage="1">
          <x14:formula1>
            <xm:f>900</xm:f>
          </x14:formula1>
          <xm:sqref>E21 E2 G18:H18</xm:sqref>
        </x14:dataValidation>
        <x14:dataValidation xr:uid="{00E20042-0090-4D2E-8135-0043003500B0}" type="whole" allowBlank="1" error="Допускается ввод только неотрицательных целых чисел!" errorTitle="Ошибка" showErrorMessage="1">
          <x14:formula1>
            <xm:f>0</xm:f>
          </x14:formula1>
          <x14:formula2>
            <xm:f>9.99999999999999E+23</xm:f>
          </x14:formula2>
          <xm:sqref>G15:H17</xm:sqref>
        </x14:dataValidation>
        <x14:dataValidation xr:uid="{0017002D-004D-4A0B-99F9-00DA00750066}" type="decimal" allowBlank="1" error="Допускается ввод только действительных чисел!" errorTitle="Ошибка" showErrorMessage="1">
          <x14:formula1>
            <xm:f>-9.99999999999999E+23</xm:f>
          </x14:formula1>
          <x14:formula2>
            <xm:f>9.99999999999999E+23</xm:f>
          </x14:formula2>
          <xm:sqref>G2:H2 G21:H21</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pageSetUpPr fitToPage="1"/>
  </sheetPr>
  <sheetViews>
    <sheetView showGridLines="0" topLeftCell="A1" zoomScale="90" workbookViewId="0">
      <selection activeCell="A1" sqref="A1"/>
    </sheetView>
  </sheetViews>
  <sheetFormatPr defaultColWidth="10.57421875" defaultRowHeight="14.25" customHeight="1"/>
  <cols>
    <col customWidth="1" hidden="1" min="1" max="1" style="2399" width="9.140625"/>
    <col customWidth="1" hidden="1" min="2" max="2" style="1368" width="9.140625"/>
    <col customWidth="1" min="3" max="3" style="346" width="3.00390625"/>
    <col customWidth="1" min="4" max="4" style="1637" width="6.00390625"/>
    <col customWidth="1" min="5" max="6" style="1637" width="64.00390625"/>
    <col customWidth="1" min="7" max="7" style="1637" width="140.00390625"/>
    <col customWidth="1" min="8" max="8" style="1637" width="10.00390625"/>
    <col customWidth="1" min="9" max="10" style="1626" width="10.00390625"/>
    <col customWidth="1" min="11" max="16" style="1637" width="10.00390625"/>
    <col hidden="1" min="17" max="17" style="1637" width="10.57421875"/>
  </cols>
  <sheetData>
    <row r="1" ht="22.5" hidden="1" customHeight="1">
      <c r="M1" s="257"/>
      <c r="N1" s="257"/>
      <c r="P1" s="257"/>
      <c r="Q1" s="85" t="s">
        <v>14</v>
      </c>
    </row>
    <row r="2" ht="14.25" hidden="1" customHeight="1">
      <c r="Q2" s="85">
        <v>0</v>
      </c>
    </row>
    <row r="3" ht="14.25" hidden="1" customHeight="1">
      <c r="Q3" s="85">
        <v>0</v>
      </c>
    </row>
    <row r="4" ht="3" customHeight="1">
      <c r="C4" s="98"/>
      <c r="D4" s="86"/>
      <c r="E4" s="86"/>
      <c r="F4" s="87"/>
      <c r="G4" s="87"/>
      <c r="Q4" s="85">
        <v>3</v>
      </c>
    </row>
    <row r="5" ht="29.25" customHeight="1">
      <c r="C5" s="98"/>
      <c r="D5" s="2456" t="str">
        <f>TERMS_NAME_FORM</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r="6" s="1637" customFormat="1" ht="18.75" customHeight="1">
      <c r="A6" s="884"/>
      <c r="B6" s="419"/>
      <c r="C6" s="378"/>
      <c r="D6" s="2459" t="str">
        <f>IF(org=0,"Не определено",org)</f>
        <v xml:space="preserve">филиал ПАО "ОГК-2" - Рязанская ГРЭС</v>
      </c>
      <c r="E6" s="2460"/>
      <c r="F6" s="2460"/>
      <c r="G6" s="2461"/>
      <c r="I6" s="502"/>
      <c r="J6" s="502"/>
      <c r="Q6" s="760">
        <v>18</v>
      </c>
    </row>
    <row r="7" ht="14.65" customHeight="1">
      <c r="C7" s="98"/>
      <c r="D7" s="86"/>
      <c r="E7" s="97"/>
      <c r="F7" s="754"/>
      <c r="G7" s="195"/>
      <c r="Q7" s="85">
        <v>14</v>
      </c>
    </row>
    <row r="8" s="1637" customFormat="1" ht="1.05" customHeight="1">
      <c r="A8" s="1671"/>
      <c r="B8" s="1162"/>
      <c r="C8" s="378"/>
      <c r="D8" s="365"/>
      <c r="E8" s="391"/>
      <c r="F8" s="754"/>
      <c r="G8" s="195"/>
      <c r="I8" s="1626"/>
      <c r="J8" s="1626"/>
      <c r="Q8" s="1633">
        <v>1</v>
      </c>
    </row>
    <row r="9" ht="14.65" customHeight="1">
      <c r="C9" s="98"/>
      <c r="D9" s="2211" t="s">
        <v>300</v>
      </c>
      <c r="E9" s="2211"/>
      <c r="F9" s="2211"/>
      <c r="G9" s="2391" t="s">
        <v>301</v>
      </c>
      <c r="Q9" s="85">
        <v>14</v>
      </c>
    </row>
    <row r="10" ht="24" customHeight="1">
      <c r="C10" s="98"/>
      <c r="D10" s="107" t="s">
        <v>88</v>
      </c>
      <c r="E10" s="110" t="s">
        <v>302</v>
      </c>
      <c r="F10" s="110" t="s">
        <v>390</v>
      </c>
      <c r="G10" s="2391"/>
      <c r="Q10" s="85">
        <v>23</v>
      </c>
    </row>
    <row r="11" ht="12" hidden="1" customHeight="1">
      <c r="C11" s="98"/>
      <c r="D11" s="89"/>
      <c r="E11" s="89"/>
      <c r="F11" s="89"/>
      <c r="G11" s="89"/>
      <c r="Q11" s="85">
        <v>0</v>
      </c>
    </row>
    <row r="12" ht="65.25" customHeight="1">
      <c r="A12" s="194"/>
      <c r="C12" s="98"/>
      <c r="D12" s="149">
        <v>1</v>
      </c>
      <c r="E12" s="199" t="str">
        <f>TERMS_P_1</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r="13" ht="24" customHeight="1">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200" t="s">
        <v>306</v>
      </c>
      <c r="G13" s="153"/>
      <c r="Q13" s="85">
        <v>23</v>
      </c>
    </row>
    <row r="14" ht="14.65" customHeight="1">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r="15" ht="15.75" customHeight="1">
      <c r="A15" s="194"/>
      <c r="C15" s="98"/>
      <c r="D15" s="111"/>
      <c r="E15" s="351" t="s">
        <v>1120</v>
      </c>
      <c r="F15" s="203"/>
      <c r="G15" s="2173"/>
      <c r="Q15" s="85">
        <v>15</v>
      </c>
    </row>
    <row r="16" ht="14.65" customHeight="1">
      <c r="A16" s="194"/>
      <c r="C16" s="98"/>
      <c r="D16" s="149" t="s">
        <v>1025</v>
      </c>
      <c r="E16" s="196"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системе теплоснабжения</v>
      </c>
      <c r="F16" s="200" t="s">
        <v>306</v>
      </c>
      <c r="G16" s="339"/>
      <c r="Q16" s="85">
        <v>14</v>
      </c>
    </row>
    <row r="17" ht="14.65" customHeight="1">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r="18" s="1637" customFormat="1" ht="22" customHeight="1">
      <c r="A18" s="345"/>
      <c r="B18" s="148"/>
      <c r="C18" s="309"/>
      <c r="D18" s="349"/>
      <c r="E18" s="351" t="s">
        <v>1121</v>
      </c>
      <c r="F18" s="340"/>
      <c r="G18" s="2173"/>
      <c r="I18" s="352"/>
      <c r="J18" s="352"/>
      <c r="Q18" s="344">
        <v>21</v>
      </c>
    </row>
    <row r="19" s="1637" customFormat="1" ht="256.5" hidden="1" customHeight="1">
      <c r="A19" s="345"/>
      <c r="B19" s="419"/>
      <c r="C19" s="378"/>
      <c r="D19" s="886" t="s">
        <v>1027</v>
      </c>
      <c r="E19" s="885" t="s">
        <v>1122</v>
      </c>
      <c r="F19" s="387"/>
      <c r="G19" s="339" t="s">
        <v>1123</v>
      </c>
      <c r="I19" s="502"/>
      <c r="J19" s="502"/>
      <c r="Q19" s="760">
        <v>0</v>
      </c>
    </row>
    <row r="20" s="1637" customFormat="1" ht="14.65" customHeight="1">
      <c r="A20" s="345"/>
      <c r="B20" s="148"/>
      <c r="C20" s="309"/>
      <c r="D20" s="887">
        <v>2</v>
      </c>
      <c r="E20" s="332" t="s">
        <v>1124</v>
      </c>
      <c r="F20" s="200" t="s">
        <v>306</v>
      </c>
      <c r="G20" s="339"/>
      <c r="I20" s="352"/>
      <c r="J20" s="352"/>
      <c r="Q20" s="344">
        <v>14</v>
      </c>
    </row>
    <row r="21" s="1637" customFormat="1" ht="18.75" hidden="1" customHeight="1">
      <c r="A21" s="345"/>
      <c r="B21" s="148"/>
      <c r="C21" s="309"/>
      <c r="D21" s="335" t="s">
        <v>636</v>
      </c>
      <c r="E21" s="334"/>
      <c r="F21" s="333"/>
      <c r="G21" s="343"/>
      <c r="H21" s="336"/>
      <c r="I21" s="352"/>
      <c r="J21" s="352"/>
      <c r="Q21" s="344">
        <v>0</v>
      </c>
    </row>
    <row r="22" ht="15.75" customHeight="1">
      <c r="A22" s="194"/>
      <c r="C22" s="98"/>
      <c r="D22" s="111"/>
      <c r="E22" s="205" t="s">
        <v>322</v>
      </c>
      <c r="F22" s="340"/>
      <c r="G22" s="341"/>
      <c r="Q22" s="85">
        <v>15</v>
      </c>
    </row>
    <row r="23" s="1637" customFormat="1" ht="22.5" hidden="1" customHeight="1">
      <c r="A23" s="345"/>
      <c r="B23" s="1162"/>
      <c r="C23" s="378"/>
      <c r="D23" s="1675" t="s">
        <v>111</v>
      </c>
      <c r="E23" s="199" t="s">
        <v>1125</v>
      </c>
      <c r="F23" s="1672" t="s">
        <v>306</v>
      </c>
      <c r="G23" s="347"/>
      <c r="I23" s="1626"/>
      <c r="J23" s="1626"/>
      <c r="Q23" s="1633">
        <v>0</v>
      </c>
    </row>
    <row r="24" s="1637" customFormat="1" ht="14.25" hidden="1" customHeight="1">
      <c r="A24" s="345"/>
      <c r="B24" s="1162"/>
      <c r="C24" s="378"/>
      <c r="D24" s="1675" t="s">
        <v>709</v>
      </c>
      <c r="E24" s="1674" t="s">
        <v>1126</v>
      </c>
      <c r="F24" s="1672" t="s">
        <v>306</v>
      </c>
      <c r="G24" s="339"/>
      <c r="I24" s="1626"/>
      <c r="J24" s="1626"/>
      <c r="Q24" s="1633">
        <v>0</v>
      </c>
    </row>
    <row r="25" s="1637" customFormat="1" ht="14.25" hidden="1" customHeight="1">
      <c r="A25" s="345"/>
      <c r="B25" s="1162"/>
      <c r="C25" s="378"/>
      <c r="D25" s="1675" t="s">
        <v>712</v>
      </c>
      <c r="E25" s="197"/>
      <c r="F25" s="387"/>
      <c r="G25" s="2171" t="s">
        <v>1127</v>
      </c>
      <c r="I25" s="1626"/>
      <c r="J25" s="1626"/>
      <c r="Q25" s="1633">
        <v>0</v>
      </c>
    </row>
    <row r="26" s="1637" customFormat="1" ht="22.5" hidden="1" customHeight="1">
      <c r="A26" s="345"/>
      <c r="B26" s="1162"/>
      <c r="C26" s="378"/>
      <c r="D26" s="349"/>
      <c r="E26" s="351" t="s">
        <v>1128</v>
      </c>
      <c r="F26" s="340"/>
      <c r="G26" s="2173"/>
      <c r="I26" s="1626"/>
      <c r="J26" s="1626"/>
      <c r="Q26" s="1633">
        <v>0</v>
      </c>
    </row>
    <row r="27" ht="3" customHeight="1">
      <c r="Q27" s="85">
        <v>3</v>
      </c>
    </row>
    <row r="28" ht="14.65" customHeight="1">
      <c r="D28" s="338"/>
      <c r="E28" s="337"/>
      <c r="F28" s="317"/>
      <c r="G28" s="317"/>
      <c r="H28" s="317"/>
      <c r="I28" s="317"/>
      <c r="J28" s="317"/>
      <c r="K28" s="317"/>
      <c r="L28" s="317"/>
      <c r="M28" s="317"/>
      <c r="N28" s="317"/>
      <c r="O28" s="317"/>
      <c r="P28" s="317"/>
      <c r="Q28" s="85">
        <v>14</v>
      </c>
    </row>
    <row r="29" ht="14.65" customHeight="1">
      <c r="D29" s="338"/>
      <c r="E29" s="584"/>
      <c r="Q29" s="85">
        <v>14</v>
      </c>
    </row>
    <row r="30" ht="14.65" customHeight="1">
      <c r="Q30" s="85">
        <v>14</v>
      </c>
    </row>
    <row r="31" ht="14.65" customHeight="1">
      <c r="E31" s="760"/>
      <c r="Q31" s="85">
        <v>14</v>
      </c>
    </row>
    <row r="32" ht="22.5" hidden="1" customHeight="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autoFilter="0" deleteColumns="0" deleteRows="0" formatColumns="0" formatRows="0" insertColumns="1" insertRows="0" sort="0"/>
  <mergeCells count="7">
    <mergeCell ref="D5:G5"/>
    <mergeCell ref="D6:G6"/>
    <mergeCell ref="G25:G26"/>
    <mergeCell ref="G17:G18"/>
    <mergeCell ref="D9:F9"/>
    <mergeCell ref="G9:G10"/>
    <mergeCell ref="G14:G15"/>
  </mergeCells>
  <pageMargins left="0" right="0" top="0" bottom="0" header="0" footer="0.79000000000000004"/>
  <pageSetup paperSize="9" scale="41" fitToHeight="0" pageOrder="downThenOver" orientation="portrait" blackAndWhite="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3500AD-001F-476D-BAC1-00BB00960093}"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F14 F17:F19 F25:F26</xm:sqref>
        </x14:dataValidation>
        <x14:dataValidation xr:uid="{00090037-00EF-4E59-A820-008F00DA0014}" type="textLength" allowBlank="1" error="Допускается ввод не более 900 символов!" errorTitle="Ошибка" operator="lessThanOrEqual" showErrorMessage="1" showInputMessage="1">
          <x14:formula1>
            <xm:f>900</xm:f>
          </x14:formula1>
          <xm:sqref>G14 G25 E17 E14 G17 G21 E25</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778" width="9.140625"/>
    <col customWidth="1" hidden="1" min="2" max="2" style="1368" width="9.140625"/>
    <col customWidth="1" min="3" max="3" style="346" width="3.00390625"/>
    <col customWidth="1" min="4" max="4" style="1637" width="6.00390625"/>
    <col customWidth="1" min="5" max="5" style="1637" width="63.00390625"/>
    <col customWidth="1" hidden="1" min="6" max="6" style="1637" width="1.7109375"/>
    <col customWidth="1" min="7" max="8" style="1637" width="35.00390625"/>
    <col customWidth="1" min="9" max="9" style="1637" width="91.00390625"/>
    <col customWidth="1" min="10" max="10" style="1637" width="68.00390625"/>
    <col customWidth="1" min="11" max="12" style="1626" width="10.00390625"/>
    <col hidden="1" min="13" max="13" style="1637" width="10.57421875"/>
  </cols>
  <sheetData>
    <row r="1" ht="22.5" hidden="1" customHeight="1">
      <c r="M1" s="85" t="s">
        <v>14</v>
      </c>
    </row>
    <row r="2" s="1637" customFormat="1" ht="18.75" hidden="1" customHeight="1">
      <c r="A2" s="1685"/>
      <c r="B2" s="1162"/>
      <c r="C2" s="1732" t="s">
        <v>689</v>
      </c>
      <c r="D2" s="1675"/>
      <c r="E2" s="201"/>
      <c r="F2" s="1672"/>
      <c r="G2" s="1672" t="s">
        <v>306</v>
      </c>
      <c r="H2" s="1163"/>
      <c r="K2" s="1626"/>
      <c r="L2" s="1626"/>
      <c r="M2" s="1633">
        <v>0</v>
      </c>
    </row>
    <row r="3" s="1637" customFormat="1" ht="14.25" hidden="1" customHeight="1">
      <c r="A3" s="1364"/>
      <c r="B3" s="1162"/>
      <c r="C3" s="346"/>
      <c r="K3" s="1626"/>
      <c r="L3" s="1626"/>
      <c r="M3" s="1633">
        <v>0</v>
      </c>
    </row>
    <row r="4" s="1637" customFormat="1" ht="18.75" hidden="1" customHeight="1">
      <c r="A4" s="1685"/>
      <c r="B4" s="1162"/>
      <c r="C4" s="1732" t="s">
        <v>689</v>
      </c>
      <c r="D4" s="1675"/>
      <c r="E4" s="207" t="s">
        <v>1129</v>
      </c>
      <c r="F4" s="1672"/>
      <c r="G4" s="259"/>
      <c r="H4" s="1672" t="s">
        <v>306</v>
      </c>
      <c r="K4" s="1626"/>
      <c r="L4" s="1626"/>
      <c r="M4" s="1633">
        <v>0</v>
      </c>
    </row>
    <row r="5" s="1637" customFormat="1" ht="14.25" hidden="1" customHeight="1">
      <c r="A5" s="1364"/>
      <c r="B5" s="1162"/>
      <c r="C5" s="346"/>
      <c r="K5" s="1626"/>
      <c r="L5" s="1626"/>
      <c r="M5" s="1633">
        <v>0</v>
      </c>
    </row>
    <row r="6" s="1637" customFormat="1" ht="18.75" hidden="1" customHeight="1">
      <c r="A6" s="1685"/>
      <c r="B6" s="1162"/>
      <c r="C6" s="1732" t="s">
        <v>689</v>
      </c>
      <c r="D6" s="1675"/>
      <c r="E6" s="208" t="s">
        <v>1130</v>
      </c>
      <c r="F6" s="1672"/>
      <c r="G6" s="259"/>
      <c r="H6" s="1672" t="s">
        <v>306</v>
      </c>
      <c r="K6" s="1626"/>
      <c r="L6" s="1626"/>
      <c r="M6" s="1633">
        <v>0</v>
      </c>
    </row>
    <row r="7" s="1637" customFormat="1" ht="14.25" hidden="1" customHeight="1">
      <c r="A7" s="1364"/>
      <c r="B7" s="1162"/>
      <c r="C7" s="346"/>
      <c r="K7" s="1626"/>
      <c r="L7" s="1626"/>
      <c r="M7" s="1633">
        <v>0</v>
      </c>
    </row>
    <row r="8" s="1637" customFormat="1" ht="18.75" hidden="1" customHeight="1">
      <c r="A8" s="1685"/>
      <c r="B8" s="1162"/>
      <c r="C8" s="1732" t="s">
        <v>689</v>
      </c>
      <c r="D8" s="1675"/>
      <c r="E8" s="208" t="s">
        <v>1131</v>
      </c>
      <c r="F8" s="1672"/>
      <c r="G8" s="259"/>
      <c r="H8" s="1672" t="s">
        <v>306</v>
      </c>
      <c r="K8" s="1626"/>
      <c r="L8" s="1626"/>
      <c r="M8" s="1633">
        <v>0</v>
      </c>
    </row>
    <row r="9" s="1637" customFormat="1" ht="14.25" hidden="1" customHeight="1">
      <c r="A9" s="1364"/>
      <c r="B9" s="1162"/>
      <c r="C9" s="346"/>
      <c r="K9" s="1626"/>
      <c r="L9" s="1626"/>
      <c r="M9" s="1633">
        <v>0</v>
      </c>
    </row>
    <row r="10" s="1637" customFormat="1" ht="18.75" hidden="1" customHeight="1">
      <c r="A10" s="1685"/>
      <c r="B10" s="1162"/>
      <c r="C10" s="1732" t="s">
        <v>689</v>
      </c>
      <c r="D10" s="1675"/>
      <c r="E10" s="208" t="s">
        <v>1132</v>
      </c>
      <c r="F10" s="1672"/>
      <c r="G10" s="1676"/>
      <c r="H10" s="1672" t="s">
        <v>306</v>
      </c>
      <c r="K10" s="1626"/>
      <c r="L10" s="1626" t="s">
        <v>1133</v>
      </c>
      <c r="M10" s="1633">
        <v>0</v>
      </c>
    </row>
    <row r="11" ht="14.25" hidden="1" customHeight="1">
      <c r="M11" s="85">
        <v>0</v>
      </c>
    </row>
    <row r="12" ht="14.25" hidden="1" customHeight="1">
      <c r="M12" s="85">
        <v>0</v>
      </c>
    </row>
    <row r="13" ht="14.65" customHeight="1">
      <c r="C13" s="98"/>
      <c r="D13" s="86"/>
      <c r="E13" s="86"/>
      <c r="F13" s="86"/>
      <c r="G13" s="86"/>
      <c r="H13" s="87"/>
      <c r="I13" s="87"/>
      <c r="M13" s="85">
        <v>14</v>
      </c>
    </row>
    <row r="14" ht="29.25" customHeight="1">
      <c r="C14" s="98"/>
      <c r="D14" s="2456" t="str">
        <f>PROCEDURE_TC_NAME_FORM</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r="15" s="1637" customFormat="1" ht="14.65" customHeight="1">
      <c r="A15" s="1364"/>
      <c r="B15" s="1162"/>
      <c r="C15" s="378"/>
      <c r="D15" s="2459" t="str">
        <f>IF(org=0,"Не определено",org)</f>
        <v xml:space="preserve">филиал ПАО "ОГК-2" - Рязанская ГРЭС</v>
      </c>
      <c r="E15" s="2460"/>
      <c r="F15" s="2460"/>
      <c r="G15" s="2460"/>
      <c r="H15" s="2461"/>
      <c r="J15" s="854"/>
      <c r="K15" s="1626"/>
      <c r="L15" s="1626"/>
      <c r="M15" s="1633">
        <v>14</v>
      </c>
    </row>
    <row r="16" ht="14.65" customHeight="1">
      <c r="C16" s="98"/>
      <c r="D16" s="86"/>
      <c r="E16" s="97"/>
      <c r="F16" s="97"/>
      <c r="G16" s="97"/>
      <c r="H16" s="754"/>
      <c r="I16" s="195"/>
      <c r="M16" s="85">
        <v>14</v>
      </c>
    </row>
    <row r="17" s="1637" customFormat="1" ht="14.25" hidden="1" customHeight="1">
      <c r="A17" s="1364"/>
      <c r="B17" s="1162"/>
      <c r="C17" s="378"/>
      <c r="D17" s="365"/>
      <c r="E17" s="391"/>
      <c r="F17" s="391"/>
      <c r="G17" s="391"/>
      <c r="H17" s="754"/>
      <c r="I17" s="195"/>
      <c r="K17" s="1626"/>
      <c r="L17" s="1626"/>
      <c r="M17" s="1633">
        <v>0</v>
      </c>
    </row>
    <row r="18" ht="22" customHeight="1">
      <c r="C18" s="98"/>
      <c r="D18" s="2211" t="s">
        <v>300</v>
      </c>
      <c r="E18" s="2211"/>
      <c r="F18" s="2211"/>
      <c r="G18" s="2211"/>
      <c r="H18" s="2211"/>
      <c r="I18" s="2391" t="s">
        <v>301</v>
      </c>
      <c r="M18" s="85">
        <v>21</v>
      </c>
    </row>
    <row r="19" ht="22" customHeight="1">
      <c r="C19" s="98"/>
      <c r="D19" s="107" t="s">
        <v>88</v>
      </c>
      <c r="E19" s="110" t="s">
        <v>302</v>
      </c>
      <c r="F19" s="110"/>
      <c r="G19" s="110" t="s">
        <v>303</v>
      </c>
      <c r="H19" s="110" t="s">
        <v>390</v>
      </c>
      <c r="I19" s="2391"/>
      <c r="M19" s="85">
        <v>21</v>
      </c>
    </row>
    <row r="20" ht="12" hidden="1" customHeight="1">
      <c r="C20" s="98"/>
      <c r="D20" s="89"/>
      <c r="E20" s="89"/>
      <c r="F20" s="89"/>
      <c r="G20" s="89"/>
      <c r="H20" s="89"/>
      <c r="I20" s="89"/>
      <c r="M20" s="85">
        <v>0</v>
      </c>
    </row>
    <row r="21" ht="14.65" customHeight="1">
      <c r="A21" s="1685"/>
      <c r="C21" s="98"/>
      <c r="D21" s="149">
        <v>1</v>
      </c>
      <c r="E21" s="2463" t="s">
        <v>1134</v>
      </c>
      <c r="F21" s="2463"/>
      <c r="G21" s="2463"/>
      <c r="H21" s="2463"/>
      <c r="I21" s="210"/>
      <c r="M21" s="85">
        <v>14</v>
      </c>
    </row>
    <row r="22" ht="21" customHeight="1">
      <c r="A22" s="1685"/>
      <c r="C22" s="98"/>
      <c r="D22" s="149" t="s">
        <v>1023</v>
      </c>
      <c r="E22" s="196" t="s">
        <v>1135</v>
      </c>
      <c r="F22" s="200"/>
      <c r="G22" s="1739"/>
      <c r="H22" s="200" t="s">
        <v>306</v>
      </c>
      <c r="I22" s="153" t="s">
        <v>1136</v>
      </c>
      <c r="M22" s="85">
        <v>20</v>
      </c>
    </row>
    <row r="23" ht="60" customHeight="1">
      <c r="A23" s="1685"/>
      <c r="C23" s="98"/>
      <c r="D23" s="149" t="s">
        <v>1025</v>
      </c>
      <c r="E23" s="196" t="s">
        <v>1137</v>
      </c>
      <c r="F23" s="200"/>
      <c r="G23" s="259"/>
      <c r="H23" s="215"/>
      <c r="I23" s="260" t="s">
        <v>1138</v>
      </c>
      <c r="M23" s="85">
        <v>57</v>
      </c>
    </row>
    <row r="24" ht="14.65" customHeight="1">
      <c r="A24" s="1685"/>
      <c r="B24" s="148">
        <v>3</v>
      </c>
      <c r="C24" s="98"/>
      <c r="D24" s="149">
        <v>2</v>
      </c>
      <c r="E24" s="224"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r="25" ht="48.25" customHeight="1">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r="26" ht="14.65" customHeight="1">
      <c r="A26" s="1685"/>
      <c r="C26" s="98"/>
      <c r="D26" s="149" t="s">
        <v>324</v>
      </c>
      <c r="E26" s="201"/>
      <c r="F26" s="200"/>
      <c r="G26" s="200" t="s">
        <v>306</v>
      </c>
      <c r="H26" s="215"/>
      <c r="I26" s="2171" t="s">
        <v>1139</v>
      </c>
      <c r="M26" s="85">
        <v>14</v>
      </c>
    </row>
    <row r="27" ht="15.75" customHeight="1">
      <c r="A27" s="1685" t="s">
        <v>110</v>
      </c>
      <c r="C27" s="98"/>
      <c r="D27" s="111"/>
      <c r="E27" s="205" t="s">
        <v>322</v>
      </c>
      <c r="F27" s="206"/>
      <c r="G27" s="206"/>
      <c r="H27" s="203"/>
      <c r="I27" s="2173"/>
      <c r="M27" s="85">
        <v>15</v>
      </c>
    </row>
    <row r="28" ht="39.75" customHeight="1">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r="29" ht="21" customHeight="1">
      <c r="A29" s="1685"/>
      <c r="C29" s="98"/>
      <c r="D29" s="149" t="s">
        <v>754</v>
      </c>
      <c r="E29" s="207" t="s">
        <v>1129</v>
      </c>
      <c r="F29" s="200"/>
      <c r="G29" s="259"/>
      <c r="H29" s="200" t="s">
        <v>306</v>
      </c>
      <c r="I29" s="2171" t="s">
        <v>1140</v>
      </c>
      <c r="M29" s="85">
        <v>20</v>
      </c>
    </row>
    <row r="30" ht="15.75" customHeight="1">
      <c r="A30" s="1685" t="s">
        <v>111</v>
      </c>
      <c r="C30" s="98"/>
      <c r="D30" s="111"/>
      <c r="E30" s="205" t="s">
        <v>322</v>
      </c>
      <c r="F30" s="206"/>
      <c r="G30" s="206"/>
      <c r="H30" s="203"/>
      <c r="I30" s="2173"/>
      <c r="M30" s="85">
        <v>15</v>
      </c>
    </row>
    <row r="31" ht="31.5" customHeight="1">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r="32" ht="27.300000000000001" customHeight="1">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r="33" ht="14.65" customHeight="1">
      <c r="A33" s="1685"/>
      <c r="C33" s="98"/>
      <c r="D33" s="149" t="s">
        <v>1141</v>
      </c>
      <c r="E33" s="208" t="s">
        <v>1130</v>
      </c>
      <c r="F33" s="200"/>
      <c r="G33" s="259"/>
      <c r="H33" s="200" t="s">
        <v>306</v>
      </c>
      <c r="I33" s="2171" t="s">
        <v>1142</v>
      </c>
      <c r="M33" s="85">
        <v>14</v>
      </c>
    </row>
    <row r="34" ht="15.75" customHeight="1">
      <c r="A34" s="1685" t="s">
        <v>90</v>
      </c>
      <c r="C34" s="98"/>
      <c r="D34" s="111"/>
      <c r="E34" s="206" t="s">
        <v>322</v>
      </c>
      <c r="F34" s="202"/>
      <c r="G34" s="202"/>
      <c r="H34" s="203"/>
      <c r="I34" s="2173"/>
      <c r="M34" s="85">
        <v>15</v>
      </c>
    </row>
    <row r="35" ht="25.199999999999999" customHeight="1">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r="36" ht="14.65" customHeight="1">
      <c r="A36" s="1685"/>
      <c r="C36" s="98"/>
      <c r="D36" s="149" t="s">
        <v>1143</v>
      </c>
      <c r="E36" s="208" t="s">
        <v>1131</v>
      </c>
      <c r="F36" s="200"/>
      <c r="G36" s="259"/>
      <c r="H36" s="200" t="s">
        <v>306</v>
      </c>
      <c r="I36" s="2145" t="s">
        <v>1144</v>
      </c>
      <c r="M36" s="85">
        <v>14</v>
      </c>
    </row>
    <row r="37" ht="15.75" customHeight="1">
      <c r="A37" s="1685" t="s">
        <v>91</v>
      </c>
      <c r="C37" s="98"/>
      <c r="D37" s="111"/>
      <c r="E37" s="206" t="s">
        <v>322</v>
      </c>
      <c r="F37" s="202"/>
      <c r="G37" s="202"/>
      <c r="H37" s="203"/>
      <c r="I37" s="2145"/>
      <c r="M37" s="85">
        <v>15</v>
      </c>
    </row>
    <row r="38" ht="27.300000000000001" customHeight="1">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r="39" ht="14.65" customHeight="1">
      <c r="A39" s="1685"/>
      <c r="C39" s="98"/>
      <c r="D39" s="149" t="s">
        <v>884</v>
      </c>
      <c r="E39" s="208" t="s">
        <v>1132</v>
      </c>
      <c r="F39" s="200"/>
      <c r="G39" s="209"/>
      <c r="H39" s="200" t="s">
        <v>306</v>
      </c>
      <c r="I39" s="2171" t="s">
        <v>1145</v>
      </c>
      <c r="L39" s="157" t="s">
        <v>1133</v>
      </c>
      <c r="M39" s="85">
        <v>14</v>
      </c>
    </row>
    <row r="40" ht="15.75" customHeight="1">
      <c r="A40" s="1685" t="s">
        <v>112</v>
      </c>
      <c r="C40" s="98"/>
      <c r="D40" s="111"/>
      <c r="E40" s="206" t="s">
        <v>322</v>
      </c>
      <c r="F40" s="202"/>
      <c r="G40" s="202"/>
      <c r="H40" s="203"/>
      <c r="I40" s="2173"/>
      <c r="M40" s="85">
        <v>15</v>
      </c>
    </row>
    <row r="41" s="1825" customFormat="1" ht="3" customHeight="1">
      <c r="A41" s="1685"/>
      <c r="K41" s="198"/>
      <c r="L41" s="198"/>
      <c r="M41" s="142">
        <v>3</v>
      </c>
    </row>
    <row r="42" ht="26.25" customHeight="1">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r="43" ht="22.5" hidden="1" customHeight="1">
      <c r="A43" s="1364" t="s">
        <v>82</v>
      </c>
      <c r="B43" s="148">
        <v>0</v>
      </c>
      <c r="C43" s="99">
        <v>3</v>
      </c>
      <c r="D43" s="85">
        <v>6</v>
      </c>
      <c r="E43" s="85">
        <v>63</v>
      </c>
      <c r="F43" s="85">
        <v>0</v>
      </c>
      <c r="G43" s="85">
        <v>35</v>
      </c>
      <c r="H43" s="85">
        <v>35</v>
      </c>
      <c r="I43" s="85">
        <v>91</v>
      </c>
      <c r="J43" s="85">
        <v>68</v>
      </c>
      <c r="K43" s="157">
        <v>10</v>
      </c>
      <c r="L43" s="157">
        <v>10</v>
      </c>
      <c r="M43" s="85">
        <v>23</v>
      </c>
    </row>
  </sheetData>
  <sheetProtection autoFilter="0" deleteColumns="0" deleteRows="0" formatColumns="0" formatRows="0" insertColumns="1" insertRows="0" sort="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1">
    <dataValidation sqref="G2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3">
        <x14:dataValidation xr:uid="{00710035-00E8-4E0A-B08B-00A5007A0025}" type="textLength" allowBlank="1" error="Допускается ввод не более 900 символов!" errorTitle="Ошибка" operator="lessThanOrEqual" showErrorMessage="1" showInputMessage="1">
          <x14:formula1>
            <xm:f>900</xm:f>
          </x14:formula1>
          <xm:sqref>I23:I24 I33 G36 I39 I26 E29 G33 E36 I29 E33 I36 G23 E26 I10 E23 G29 E10 G8 E2 I2 I4 G4 E4 E6 I6 G6 E8 I8 E39</xm:sqref>
        </x14:dataValidation>
        <x14:dataValidation xr:uid="{00EF007F-00D2-4B5C-988A-00A5000F005D}"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H26 H23:H24 H2</xm:sqref>
        </x14:dataValidation>
        <x14:dataValidation xr:uid="{006D000B-0002-4659-95B7-0055003A0069}"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G10 G39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2" style="1781" width="25.140625"/>
    <col customWidth="1" hidden="1" min="3" max="3" style="1689" width="9.140625"/>
    <col customWidth="1" min="4" max="4" style="346" width="3.00390625"/>
    <col customWidth="1" min="5" max="5" style="1637" width="6.00390625"/>
    <col customWidth="1" min="6" max="6" style="1637" width="46.7109375"/>
    <col customWidth="1" min="7" max="7" style="1637" width="35.00390625"/>
    <col customWidth="1" min="8" max="8" style="1637" width="3.00390625"/>
    <col customWidth="1" min="9" max="10" style="1637" width="11.00390625"/>
    <col customWidth="1" min="11" max="12" style="1637" width="35.00390625"/>
    <col customWidth="1" min="13" max="13" style="1637" width="84.00390625"/>
    <col customWidth="1" min="14" max="14" style="1637" width="10.00390625"/>
    <col customWidth="1" min="15" max="16" style="1626" width="10.00390625"/>
    <col customWidth="1" min="17" max="33" style="1637" width="10.00390625"/>
    <col hidden="1" min="34" max="34" style="1637" width="10.57421875"/>
  </cols>
  <sheetData>
    <row r="1" s="1637" customFormat="1" ht="22.5" hidden="1" customHeight="1">
      <c r="A1" s="1781"/>
      <c r="B1" s="1781"/>
      <c r="C1" s="371"/>
      <c r="D1" s="346"/>
      <c r="N1" s="1638">
        <f>_xlfn.IFERROR(MATCH("метод экономически обоснованных расходов (затрат)",OFFER_METHOD,0),0)</f>
        <v>0</v>
      </c>
      <c r="O1" s="1626"/>
      <c r="P1" s="1626"/>
      <c r="T1" s="833"/>
      <c r="AG1" s="257"/>
      <c r="AH1" s="1633" t="s">
        <v>14</v>
      </c>
    </row>
    <row r="2" s="1637" customFormat="1" ht="18.75" hidden="1" customHeight="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r="3" s="1637" customFormat="1" ht="18.75" hidden="1" customHeight="1">
      <c r="A3" s="1782"/>
      <c r="B3" s="1782"/>
      <c r="C3" s="371" t="s">
        <v>1146</v>
      </c>
      <c r="D3" s="346"/>
      <c r="E3" s="1033"/>
      <c r="F3" s="1033"/>
      <c r="G3" s="2429"/>
      <c r="H3" s="1502"/>
      <c r="I3" s="653" t="s">
        <v>1147</v>
      </c>
      <c r="J3" s="573"/>
      <c r="K3" s="1502"/>
      <c r="L3" s="216"/>
      <c r="M3" s="1877"/>
      <c r="N3" s="336"/>
      <c r="O3" s="1626"/>
      <c r="P3" s="1626"/>
      <c r="AH3" s="1633">
        <v>0</v>
      </c>
    </row>
    <row r="4" s="1637" customFormat="1" ht="14.25" hidden="1" customHeight="1">
      <c r="A4" s="1781"/>
      <c r="B4" s="1781"/>
      <c r="C4" s="371"/>
      <c r="D4" s="346"/>
      <c r="N4" s="1638">
        <f>_xlfn.IFERROR(MATCH("метод экономически обоснованных расходов (затрат)",OFFER_METHOD,0),0)</f>
        <v>0</v>
      </c>
      <c r="O4" s="1626"/>
      <c r="P4" s="1626"/>
      <c r="T4" s="833"/>
      <c r="AG4" s="257"/>
      <c r="AH4" s="1633">
        <v>0</v>
      </c>
    </row>
    <row r="5" s="1637" customFormat="1" ht="18.75" hidden="1" customHeight="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r="6" s="1637" customFormat="1" ht="18.75" hidden="1" customHeight="1">
      <c r="A6" s="1782"/>
      <c r="B6" s="1782"/>
      <c r="C6" s="371" t="s">
        <v>1148</v>
      </c>
      <c r="D6" s="346"/>
      <c r="E6" s="1033"/>
      <c r="F6" s="1033"/>
      <c r="G6" s="2429"/>
      <c r="H6" s="1502"/>
      <c r="I6" s="653" t="s">
        <v>1147</v>
      </c>
      <c r="J6" s="573"/>
      <c r="K6" s="1502"/>
      <c r="L6" s="216"/>
      <c r="M6" s="1877"/>
      <c r="N6" s="336"/>
      <c r="O6" s="1626"/>
      <c r="P6" s="1626"/>
      <c r="AH6" s="1633">
        <v>0</v>
      </c>
    </row>
    <row r="7" s="1637" customFormat="1" ht="14.25" hidden="1" customHeight="1">
      <c r="A7" s="1781"/>
      <c r="B7" s="1781"/>
      <c r="C7" s="371"/>
      <c r="D7" s="346"/>
      <c r="N7" s="1638">
        <f>_xlfn.IFERROR(MATCH("метод экономически обоснованных расходов (затрат)",OFFER_METHOD,0),0)</f>
        <v>0</v>
      </c>
      <c r="O7" s="1626"/>
      <c r="P7" s="1626"/>
      <c r="T7" s="833"/>
      <c r="AG7" s="257"/>
      <c r="AH7" s="1633">
        <v>0</v>
      </c>
    </row>
    <row r="8" s="1637" customFormat="1" ht="56.25" hidden="1" customHeight="1">
      <c r="A8" s="1782"/>
      <c r="B8" s="1782"/>
      <c r="C8" s="371"/>
      <c r="D8" s="346"/>
      <c r="E8" s="1033"/>
      <c r="F8" s="1033"/>
      <c r="G8" s="1033"/>
      <c r="H8" s="1773"/>
      <c r="I8" s="1741"/>
      <c r="J8" s="1775"/>
      <c r="K8" s="1867"/>
      <c r="L8" s="1773" t="s">
        <v>306</v>
      </c>
      <c r="M8" s="1877"/>
      <c r="N8" s="336"/>
      <c r="O8" s="1626"/>
      <c r="P8" s="1626"/>
      <c r="AH8" s="1633">
        <v>0</v>
      </c>
    </row>
    <row r="9" ht="14.25" hidden="1" customHeight="1">
      <c r="T9" s="399"/>
      <c r="AG9" s="257"/>
      <c r="AH9" s="376">
        <v>0</v>
      </c>
    </row>
    <row r="10" s="1637" customFormat="1" ht="56.25" hidden="1" customHeight="1">
      <c r="A10" s="1782"/>
      <c r="B10" s="1782"/>
      <c r="C10" s="371"/>
      <c r="D10" s="346"/>
      <c r="E10" s="1033"/>
      <c r="F10" s="1033"/>
      <c r="G10" s="1033"/>
      <c r="H10" s="1772"/>
      <c r="I10" s="1741"/>
      <c r="J10" s="1775"/>
      <c r="K10" s="1780"/>
      <c r="L10" s="1773" t="s">
        <v>306</v>
      </c>
      <c r="M10" s="1877"/>
      <c r="N10" s="336"/>
      <c r="O10" s="1626"/>
      <c r="P10" s="1626"/>
      <c r="AH10" s="1633">
        <v>0</v>
      </c>
    </row>
    <row r="11" ht="14.25" hidden="1" customHeight="1">
      <c r="AH11" s="376">
        <v>0</v>
      </c>
    </row>
    <row r="12" ht="14.25" hidden="1" customHeight="1">
      <c r="AH12" s="376">
        <v>0</v>
      </c>
    </row>
    <row r="13" ht="6.2999999999999998" customHeight="1">
      <c r="D13" s="378"/>
      <c r="E13" s="365"/>
      <c r="F13" s="365"/>
      <c r="G13" s="365"/>
      <c r="H13" s="365"/>
      <c r="I13" s="365"/>
      <c r="J13" s="365"/>
      <c r="K13" s="365"/>
      <c r="L13" s="87"/>
      <c r="M13" s="87"/>
      <c r="AH13" s="376">
        <v>6</v>
      </c>
    </row>
    <row r="14" ht="14.65" customHeight="1">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r="15" ht="6.2999999999999998" customHeight="1">
      <c r="D15" s="378"/>
      <c r="E15" s="365"/>
      <c r="F15" s="391"/>
      <c r="G15" s="391"/>
      <c r="H15" s="391"/>
      <c r="I15" s="391"/>
      <c r="J15" s="391"/>
      <c r="K15" s="391"/>
      <c r="L15" s="324"/>
      <c r="M15" s="195"/>
      <c r="AH15" s="376">
        <v>6</v>
      </c>
    </row>
    <row r="16" ht="24" customHeight="1">
      <c r="D16" s="378"/>
      <c r="E16" s="365"/>
      <c r="F16" s="307" t="str">
        <f>"Дата подачи заявления об "&amp;IF(TITLE_DATE_PR_CHANGE="","утверждении","изменении")&amp;" тарифов"</f>
        <v xml:space="preserve">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r="17" ht="24" customHeight="1">
      <c r="D17" s="378"/>
      <c r="E17" s="365"/>
      <c r="F17" s="307" t="str">
        <f>"Номер подачи заявления об "&amp;IF(TITLE_DATE_PR_CHANGE="","утверждении","изменении")&amp;" тарифов"</f>
        <v xml:space="preserve">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r="18" ht="14.65" customHeight="1">
      <c r="D18" s="378"/>
      <c r="E18" s="365"/>
      <c r="F18" s="391"/>
      <c r="G18" s="391"/>
      <c r="H18" s="391"/>
      <c r="I18" s="391"/>
      <c r="J18" s="391"/>
      <c r="K18" s="391"/>
      <c r="L18" s="754"/>
      <c r="M18" s="195"/>
      <c r="AH18" s="376">
        <v>14</v>
      </c>
    </row>
    <row r="19" ht="22" customHeight="1">
      <c r="D19" s="378"/>
      <c r="E19" s="2211" t="s">
        <v>300</v>
      </c>
      <c r="F19" s="2211"/>
      <c r="G19" s="2211"/>
      <c r="H19" s="2211"/>
      <c r="I19" s="2211"/>
      <c r="J19" s="2211"/>
      <c r="K19" s="2211"/>
      <c r="L19" s="2211"/>
      <c r="M19" s="2391" t="s">
        <v>301</v>
      </c>
      <c r="AH19" s="376">
        <v>21</v>
      </c>
    </row>
    <row r="20" ht="22" customHeight="1">
      <c r="D20" s="378"/>
      <c r="E20" s="2279" t="s">
        <v>88</v>
      </c>
      <c r="F20" s="2226" t="s">
        <v>124</v>
      </c>
      <c r="G20" s="2226" t="s">
        <v>125</v>
      </c>
      <c r="H20" s="2388" t="s">
        <v>1149</v>
      </c>
      <c r="I20" s="2389"/>
      <c r="J20" s="2435"/>
      <c r="K20" s="2226" t="s">
        <v>303</v>
      </c>
      <c r="L20" s="2226" t="s">
        <v>390</v>
      </c>
      <c r="M20" s="2391"/>
      <c r="AH20" s="376">
        <v>21</v>
      </c>
    </row>
    <row r="21" ht="22" customHeight="1">
      <c r="D21" s="378"/>
      <c r="E21" s="2281"/>
      <c r="F21" s="2227"/>
      <c r="G21" s="2227"/>
      <c r="H21" s="2220" t="s">
        <v>1150</v>
      </c>
      <c r="I21" s="2222"/>
      <c r="J21" s="110" t="s">
        <v>1151</v>
      </c>
      <c r="K21" s="2227"/>
      <c r="L21" s="2227"/>
      <c r="M21" s="2391"/>
      <c r="AH21" s="376">
        <v>21</v>
      </c>
    </row>
    <row r="22" ht="12.75" customHeight="1">
      <c r="D22" s="378"/>
      <c r="E22" s="283"/>
      <c r="F22" s="283"/>
      <c r="G22" s="283"/>
      <c r="H22" s="2469"/>
      <c r="I22" s="2469"/>
      <c r="J22" s="283"/>
      <c r="K22" s="283"/>
      <c r="L22" s="283"/>
      <c r="M22" s="283"/>
      <c r="AH22" s="376">
        <v>12</v>
      </c>
    </row>
    <row r="23" ht="19.949999999999999" customHeight="1">
      <c r="A23" s="1782"/>
      <c r="B23" s="1782"/>
      <c r="D23" s="378"/>
      <c r="E23" s="1868" t="s">
        <v>110</v>
      </c>
      <c r="F23" s="2470" t="str">
        <f>"Предлагаемый метод регулирования"&amp;IF(TEMPLATE_SPHERE="HEAT"," в сфере "&amp;TEMPLATE_SPHERE_RUS,"")</f>
        <v xml:space="preserve">Предлагаемый метод регулирования в сфере теплоснабжения</v>
      </c>
      <c r="G23" s="2471"/>
      <c r="H23" s="2463"/>
      <c r="I23" s="2463"/>
      <c r="J23" s="2463"/>
      <c r="K23" s="2471" t="s">
        <v>306</v>
      </c>
      <c r="L23" s="2463"/>
      <c r="M23" s="1771"/>
      <c r="N23" s="336"/>
      <c r="AH23" s="376">
        <v>19</v>
      </c>
    </row>
    <row r="24" ht="60.75" hidden="1" customHeight="1">
      <c r="A24" s="1782" t="s">
        <v>157</v>
      </c>
      <c r="B24" s="1782" t="s">
        <v>158</v>
      </c>
      <c r="D24" s="2468"/>
      <c r="E24" s="2206"/>
      <c r="F24" s="2472"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r="25" s="1637" customFormat="1" ht="18.75" hidden="1" customHeight="1">
      <c r="A25" s="1782"/>
      <c r="B25" s="1782"/>
      <c r="C25" s="371" t="s">
        <v>1146</v>
      </c>
      <c r="D25" s="2468"/>
      <c r="E25" s="2206"/>
      <c r="F25" s="2472"/>
      <c r="G25" s="2429"/>
      <c r="H25" s="1502"/>
      <c r="I25" s="653" t="s">
        <v>1147</v>
      </c>
      <c r="J25" s="573"/>
      <c r="K25" s="1502"/>
      <c r="L25" s="216"/>
      <c r="M25" s="2172"/>
      <c r="N25" s="336"/>
      <c r="O25" s="1626"/>
      <c r="P25" s="1626"/>
      <c r="AH25" s="1633">
        <v>0</v>
      </c>
    </row>
    <row r="26" ht="0.75" hidden="1" customHeight="1">
      <c r="A26" s="1782"/>
      <c r="B26" s="1782"/>
      <c r="C26" s="371" t="s">
        <v>1152</v>
      </c>
      <c r="D26" s="2468"/>
      <c r="E26" s="2206"/>
      <c r="F26" s="2385"/>
      <c r="G26" s="402"/>
      <c r="H26" s="1502"/>
      <c r="I26" s="397"/>
      <c r="J26" s="351"/>
      <c r="K26" s="1502"/>
      <c r="L26" s="203"/>
      <c r="M26" s="2172"/>
      <c r="N26" s="336"/>
      <c r="AH26" s="376">
        <v>0</v>
      </c>
    </row>
    <row r="27" s="1637" customFormat="1" ht="45" hidden="1" customHeight="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r="28" s="1637" customFormat="1" ht="18.75" hidden="1" customHeight="1">
      <c r="A28" s="1782"/>
      <c r="B28" s="1782"/>
      <c r="C28" s="371" t="s">
        <v>1146</v>
      </c>
      <c r="D28" s="2464"/>
      <c r="E28" s="2465"/>
      <c r="F28" s="2466"/>
      <c r="G28" s="2429"/>
      <c r="H28" s="1502"/>
      <c r="I28" s="653" t="s">
        <v>1147</v>
      </c>
      <c r="J28" s="573"/>
      <c r="K28" s="1502"/>
      <c r="L28" s="216"/>
      <c r="M28" s="2172"/>
      <c r="N28" s="336"/>
      <c r="O28" s="1626"/>
      <c r="P28" s="1626"/>
      <c r="AH28" s="1633">
        <v>0</v>
      </c>
    </row>
    <row r="29" s="1637" customFormat="1" ht="0.75" hidden="1" customHeight="1">
      <c r="A29" s="1782"/>
      <c r="B29" s="1782"/>
      <c r="C29" s="371" t="s">
        <v>1152</v>
      </c>
      <c r="D29" s="2464"/>
      <c r="E29" s="2206"/>
      <c r="F29" s="2385"/>
      <c r="G29" s="402"/>
      <c r="H29" s="1502"/>
      <c r="I29" s="653"/>
      <c r="J29" s="573"/>
      <c r="K29" s="1502"/>
      <c r="L29" s="216"/>
      <c r="M29" s="2172"/>
      <c r="N29" s="336"/>
      <c r="O29" s="1626"/>
      <c r="P29" s="1626"/>
      <c r="AH29" s="1633">
        <v>0</v>
      </c>
    </row>
    <row r="30" s="1637" customFormat="1" ht="45" hidden="1" customHeight="1">
      <c r="A30" s="1782" t="s">
        <v>169</v>
      </c>
      <c r="B30" s="1782" t="s">
        <v>170</v>
      </c>
      <c r="C30" s="371"/>
      <c r="D30" s="2464"/>
      <c r="E30" s="2206"/>
      <c r="F30" s="2385"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r="31" s="1637" customFormat="1" ht="18.75" hidden="1" customHeight="1">
      <c r="A31" s="1782"/>
      <c r="B31" s="1782"/>
      <c r="C31" s="371" t="s">
        <v>1146</v>
      </c>
      <c r="D31" s="2464"/>
      <c r="E31" s="2206"/>
      <c r="F31" s="2385"/>
      <c r="G31" s="2429"/>
      <c r="H31" s="1502"/>
      <c r="I31" s="653" t="s">
        <v>1147</v>
      </c>
      <c r="J31" s="573"/>
      <c r="K31" s="1502"/>
      <c r="L31" s="216"/>
      <c r="M31" s="2172"/>
      <c r="N31" s="336"/>
      <c r="O31" s="1626"/>
      <c r="P31" s="1626"/>
      <c r="AH31" s="1633">
        <v>0</v>
      </c>
    </row>
    <row r="32" s="1637" customFormat="1" ht="0.75" hidden="1" customHeight="1">
      <c r="A32" s="1782"/>
      <c r="B32" s="1782"/>
      <c r="C32" s="371" t="s">
        <v>1152</v>
      </c>
      <c r="D32" s="2464"/>
      <c r="E32" s="2206"/>
      <c r="F32" s="2385"/>
      <c r="G32" s="402"/>
      <c r="H32" s="1502"/>
      <c r="I32" s="653"/>
      <c r="J32" s="573"/>
      <c r="K32" s="1502"/>
      <c r="L32" s="216"/>
      <c r="M32" s="2172"/>
      <c r="N32" s="336"/>
      <c r="O32" s="1626"/>
      <c r="P32" s="1626"/>
      <c r="AH32" s="1633">
        <v>0</v>
      </c>
    </row>
    <row r="33" s="1637" customFormat="1" ht="45" hidden="1" customHeight="1">
      <c r="A33" s="1782" t="s">
        <v>175</v>
      </c>
      <c r="B33" s="1782" t="s">
        <v>176</v>
      </c>
      <c r="C33" s="371"/>
      <c r="D33" s="2464"/>
      <c r="E33" s="2206"/>
      <c r="F33" s="2385"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r="34" s="1637" customFormat="1" ht="18.75" hidden="1" customHeight="1">
      <c r="A34" s="1782"/>
      <c r="B34" s="1782"/>
      <c r="C34" s="371" t="s">
        <v>1146</v>
      </c>
      <c r="D34" s="2464"/>
      <c r="E34" s="2206"/>
      <c r="F34" s="2385"/>
      <c r="G34" s="2429"/>
      <c r="H34" s="1502"/>
      <c r="I34" s="653" t="s">
        <v>1147</v>
      </c>
      <c r="J34" s="573"/>
      <c r="K34" s="1502"/>
      <c r="L34" s="216"/>
      <c r="M34" s="2172"/>
      <c r="N34" s="336"/>
      <c r="O34" s="1626"/>
      <c r="P34" s="1626"/>
      <c r="AH34" s="1633">
        <v>0</v>
      </c>
    </row>
    <row r="35" s="1637" customFormat="1" ht="0.75" hidden="1" customHeight="1">
      <c r="A35" s="1782"/>
      <c r="B35" s="1782"/>
      <c r="C35" s="371" t="s">
        <v>1152</v>
      </c>
      <c r="D35" s="2464"/>
      <c r="E35" s="2206"/>
      <c r="F35" s="2385"/>
      <c r="G35" s="402"/>
      <c r="H35" s="1502"/>
      <c r="I35" s="653"/>
      <c r="J35" s="573"/>
      <c r="K35" s="1502"/>
      <c r="L35" s="216"/>
      <c r="M35" s="2172"/>
      <c r="N35" s="336"/>
      <c r="O35" s="1626"/>
      <c r="P35" s="1626"/>
      <c r="AH35" s="1633">
        <v>0</v>
      </c>
    </row>
    <row r="36" s="1637" customFormat="1" ht="18.75" hidden="1" customHeight="1">
      <c r="A36" s="1782" t="s">
        <v>181</v>
      </c>
      <c r="B36" s="1782" t="s">
        <v>182</v>
      </c>
      <c r="C36" s="371"/>
      <c r="D36" s="2464"/>
      <c r="E36" s="2206"/>
      <c r="F36" s="2385" t="str">
        <f>INDEX(PT_DIFFERENTIATION_VTAR,MATCH(A36,PT_DIFFERENTIATION_VTAR_ID,0))</f>
        <v xml:space="preserve">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r="37" s="1637" customFormat="1" ht="18.75" hidden="1" customHeight="1">
      <c r="A37" s="1782"/>
      <c r="B37" s="1782"/>
      <c r="C37" s="371" t="s">
        <v>1146</v>
      </c>
      <c r="D37" s="2464"/>
      <c r="E37" s="2206"/>
      <c r="F37" s="2385"/>
      <c r="G37" s="2429"/>
      <c r="H37" s="1502"/>
      <c r="I37" s="653" t="s">
        <v>1147</v>
      </c>
      <c r="J37" s="573"/>
      <c r="K37" s="1502"/>
      <c r="L37" s="216"/>
      <c r="M37" s="2172"/>
      <c r="N37" s="336"/>
      <c r="O37" s="1626"/>
      <c r="P37" s="1626"/>
      <c r="AH37" s="1633">
        <v>0</v>
      </c>
    </row>
    <row r="38" s="1637" customFormat="1" ht="0.75" hidden="1" customHeight="1">
      <c r="A38" s="1782"/>
      <c r="B38" s="1782"/>
      <c r="C38" s="371" t="s">
        <v>1152</v>
      </c>
      <c r="D38" s="2464"/>
      <c r="E38" s="2206"/>
      <c r="F38" s="2385"/>
      <c r="G38" s="402"/>
      <c r="H38" s="1502"/>
      <c r="I38" s="653"/>
      <c r="J38" s="573"/>
      <c r="K38" s="1502"/>
      <c r="L38" s="216"/>
      <c r="M38" s="2172"/>
      <c r="N38" s="336"/>
      <c r="O38" s="1626"/>
      <c r="P38" s="1626"/>
      <c r="AH38" s="1633">
        <v>0</v>
      </c>
    </row>
    <row r="39" s="1637" customFormat="1" ht="18.75" hidden="1" customHeight="1">
      <c r="A39" s="1782" t="s">
        <v>187</v>
      </c>
      <c r="B39" s="1782" t="s">
        <v>188</v>
      </c>
      <c r="C39" s="371"/>
      <c r="D39" s="2464"/>
      <c r="E39" s="2206"/>
      <c r="F39" s="2385" t="str">
        <f>INDEX(PT_DIFFERENTIATION_VTAR,MATCH(A39,PT_DIFFERENTIATION_VTAR_ID,0))</f>
        <v xml:space="preserve">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r="40" s="1637" customFormat="1" ht="18.75" hidden="1" customHeight="1">
      <c r="A40" s="1782"/>
      <c r="B40" s="1782"/>
      <c r="C40" s="371" t="s">
        <v>1146</v>
      </c>
      <c r="D40" s="2464"/>
      <c r="E40" s="2206"/>
      <c r="F40" s="2385"/>
      <c r="G40" s="2429"/>
      <c r="H40" s="1502"/>
      <c r="I40" s="653" t="s">
        <v>1147</v>
      </c>
      <c r="J40" s="573"/>
      <c r="K40" s="1502"/>
      <c r="L40" s="216"/>
      <c r="M40" s="2172"/>
      <c r="N40" s="336"/>
      <c r="O40" s="1626"/>
      <c r="P40" s="1626"/>
      <c r="AH40" s="1633">
        <v>0</v>
      </c>
    </row>
    <row r="41" s="1637" customFormat="1" ht="0.75" hidden="1" customHeight="1">
      <c r="A41" s="1782"/>
      <c r="B41" s="1782"/>
      <c r="C41" s="371" t="s">
        <v>1152</v>
      </c>
      <c r="D41" s="2464"/>
      <c r="E41" s="2206"/>
      <c r="F41" s="2385"/>
      <c r="G41" s="402"/>
      <c r="H41" s="1502"/>
      <c r="I41" s="653"/>
      <c r="J41" s="573"/>
      <c r="K41" s="1502"/>
      <c r="L41" s="216"/>
      <c r="M41" s="2172"/>
      <c r="N41" s="336"/>
      <c r="O41" s="1626"/>
      <c r="P41" s="1626"/>
      <c r="AH41" s="1633">
        <v>0</v>
      </c>
    </row>
    <row r="42" s="1637" customFormat="1" ht="18.75" hidden="1" customHeight="1">
      <c r="A42" s="1782" t="s">
        <v>193</v>
      </c>
      <c r="B42" s="1782" t="s">
        <v>194</v>
      </c>
      <c r="C42" s="371"/>
      <c r="D42" s="2464"/>
      <c r="E42" s="2206"/>
      <c r="F42" s="2385"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r="43" s="1637" customFormat="1" ht="18.75" hidden="1" customHeight="1">
      <c r="A43" s="1782"/>
      <c r="B43" s="1782"/>
      <c r="C43" s="371" t="s">
        <v>1146</v>
      </c>
      <c r="D43" s="2464"/>
      <c r="E43" s="2206"/>
      <c r="F43" s="2385"/>
      <c r="G43" s="2429"/>
      <c r="H43" s="1502"/>
      <c r="I43" s="653" t="s">
        <v>1147</v>
      </c>
      <c r="J43" s="573"/>
      <c r="K43" s="1502"/>
      <c r="L43" s="216"/>
      <c r="M43" s="2172"/>
      <c r="N43" s="336"/>
      <c r="O43" s="1626"/>
      <c r="P43" s="1626"/>
      <c r="AH43" s="1633">
        <v>0</v>
      </c>
    </row>
    <row r="44" s="1637" customFormat="1" ht="0.75" hidden="1" customHeight="1">
      <c r="A44" s="1782"/>
      <c r="B44" s="1782"/>
      <c r="C44" s="371" t="s">
        <v>1152</v>
      </c>
      <c r="D44" s="2464"/>
      <c r="E44" s="2206"/>
      <c r="F44" s="2385"/>
      <c r="G44" s="402"/>
      <c r="H44" s="1502"/>
      <c r="I44" s="653"/>
      <c r="J44" s="573"/>
      <c r="K44" s="1502"/>
      <c r="L44" s="216"/>
      <c r="M44" s="2172"/>
      <c r="N44" s="336"/>
      <c r="O44" s="1626"/>
      <c r="P44" s="1626"/>
      <c r="AH44" s="1633">
        <v>0</v>
      </c>
    </row>
    <row r="45" s="1637" customFormat="1" ht="18.75" hidden="1" customHeight="1">
      <c r="A45" s="1782" t="s">
        <v>199</v>
      </c>
      <c r="B45" s="1782" t="s">
        <v>200</v>
      </c>
      <c r="C45" s="371"/>
      <c r="D45" s="2464"/>
      <c r="E45" s="2206"/>
      <c r="F45" s="2385" t="str">
        <f>INDEX(PT_DIFFERENTIATION_VTAR,MATCH(A45,PT_DIFFERENTIATION_VTAR_ID,0))</f>
        <v xml:space="preserve">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r="46" s="1637" customFormat="1" ht="18.75" hidden="1" customHeight="1">
      <c r="A46" s="1782"/>
      <c r="B46" s="1782"/>
      <c r="C46" s="371" t="s">
        <v>1146</v>
      </c>
      <c r="D46" s="2464"/>
      <c r="E46" s="2206"/>
      <c r="F46" s="2385"/>
      <c r="G46" s="2429"/>
      <c r="H46" s="1502"/>
      <c r="I46" s="653" t="s">
        <v>1147</v>
      </c>
      <c r="J46" s="573"/>
      <c r="K46" s="1502"/>
      <c r="L46" s="216"/>
      <c r="M46" s="2172"/>
      <c r="N46" s="336"/>
      <c r="O46" s="1626"/>
      <c r="P46" s="1626"/>
      <c r="AH46" s="1633">
        <v>0</v>
      </c>
    </row>
    <row r="47" s="1637" customFormat="1" ht="0.75" hidden="1" customHeight="1">
      <c r="A47" s="1782"/>
      <c r="B47" s="1782"/>
      <c r="C47" s="371" t="s">
        <v>1152</v>
      </c>
      <c r="D47" s="2464"/>
      <c r="E47" s="2206"/>
      <c r="F47" s="2385"/>
      <c r="G47" s="402"/>
      <c r="H47" s="1502"/>
      <c r="I47" s="653"/>
      <c r="J47" s="573"/>
      <c r="K47" s="1502"/>
      <c r="L47" s="216"/>
      <c r="M47" s="2172"/>
      <c r="N47" s="336"/>
      <c r="O47" s="1626"/>
      <c r="P47" s="1626"/>
      <c r="AH47" s="1633">
        <v>0</v>
      </c>
    </row>
    <row r="48" s="1637" customFormat="1" ht="18.75" hidden="1" customHeight="1">
      <c r="A48" s="1782" t="s">
        <v>205</v>
      </c>
      <c r="B48" s="1782" t="s">
        <v>206</v>
      </c>
      <c r="C48" s="371"/>
      <c r="D48" s="2464"/>
      <c r="E48" s="2206"/>
      <c r="F48" s="2385" t="str">
        <f>INDEX(PT_DIFFERENTIATION_VTAR,MATCH(A48,PT_DIFFERENTIATION_VTAR_ID,0))</f>
        <v xml:space="preserve">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r="49" s="1637" customFormat="1" ht="18.75" hidden="1" customHeight="1">
      <c r="A49" s="1782"/>
      <c r="B49" s="1782"/>
      <c r="C49" s="371" t="s">
        <v>1146</v>
      </c>
      <c r="D49" s="2464"/>
      <c r="E49" s="2206"/>
      <c r="F49" s="2385"/>
      <c r="G49" s="2429"/>
      <c r="H49" s="1502"/>
      <c r="I49" s="653" t="s">
        <v>1147</v>
      </c>
      <c r="J49" s="573"/>
      <c r="K49" s="1502"/>
      <c r="L49" s="216"/>
      <c r="M49" s="2172"/>
      <c r="N49" s="336"/>
      <c r="O49" s="1626"/>
      <c r="P49" s="1626"/>
      <c r="AH49" s="1633">
        <v>0</v>
      </c>
    </row>
    <row r="50" s="1637" customFormat="1" ht="0.75" hidden="1" customHeight="1">
      <c r="A50" s="1782"/>
      <c r="B50" s="1782"/>
      <c r="C50" s="371" t="s">
        <v>1152</v>
      </c>
      <c r="D50" s="2464"/>
      <c r="E50" s="2206"/>
      <c r="F50" s="2385"/>
      <c r="G50" s="402"/>
      <c r="H50" s="1502"/>
      <c r="I50" s="653"/>
      <c r="J50" s="573"/>
      <c r="K50" s="1502"/>
      <c r="L50" s="216"/>
      <c r="M50" s="2172"/>
      <c r="N50" s="336"/>
      <c r="O50" s="1626"/>
      <c r="P50" s="1626"/>
      <c r="AH50" s="1633">
        <v>0</v>
      </c>
    </row>
    <row r="51" s="1637" customFormat="1" ht="18.75" hidden="1" customHeight="1">
      <c r="A51" s="1782" t="s">
        <v>225</v>
      </c>
      <c r="B51" s="1782" t="s">
        <v>226</v>
      </c>
      <c r="C51" s="371"/>
      <c r="D51" s="2464"/>
      <c r="E51" s="2206"/>
      <c r="F51" s="2385" t="str">
        <f>INDEX(PT_DIFFERENTIATION_VTAR,MATCH(A51,PT_DIFFERENTIATION_VTAR_ID,0))</f>
        <v xml:space="preserve">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r="52" s="1637" customFormat="1" ht="18.75" hidden="1" customHeight="1">
      <c r="A52" s="1782"/>
      <c r="B52" s="1782"/>
      <c r="C52" s="371" t="s">
        <v>1146</v>
      </c>
      <c r="D52" s="2464"/>
      <c r="E52" s="2206"/>
      <c r="F52" s="2385"/>
      <c r="G52" s="2429"/>
      <c r="H52" s="1502"/>
      <c r="I52" s="653" t="s">
        <v>1147</v>
      </c>
      <c r="J52" s="573"/>
      <c r="K52" s="1502"/>
      <c r="L52" s="216"/>
      <c r="M52" s="2172"/>
      <c r="N52" s="336"/>
      <c r="O52" s="1626"/>
      <c r="P52" s="1626"/>
      <c r="AH52" s="1633">
        <v>0</v>
      </c>
    </row>
    <row r="53" s="1637" customFormat="1" ht="0.75" hidden="1" customHeight="1">
      <c r="A53" s="1782"/>
      <c r="B53" s="1782"/>
      <c r="C53" s="371" t="s">
        <v>1152</v>
      </c>
      <c r="D53" s="2464"/>
      <c r="E53" s="2206"/>
      <c r="F53" s="2385"/>
      <c r="G53" s="402"/>
      <c r="H53" s="1502"/>
      <c r="I53" s="653"/>
      <c r="J53" s="573"/>
      <c r="K53" s="1502"/>
      <c r="L53" s="216"/>
      <c r="M53" s="2172"/>
      <c r="N53" s="336"/>
      <c r="O53" s="1626"/>
      <c r="P53" s="1626"/>
      <c r="AH53" s="1633">
        <v>0</v>
      </c>
    </row>
    <row r="54" s="1637" customFormat="1" ht="18.75" hidden="1" customHeight="1">
      <c r="A54" s="1782" t="s">
        <v>230</v>
      </c>
      <c r="B54" s="1782" t="s">
        <v>231</v>
      </c>
      <c r="C54" s="371"/>
      <c r="D54" s="2464"/>
      <c r="E54" s="2206"/>
      <c r="F54" s="2385" t="str">
        <f>INDEX(PT_DIFFERENTIATION_VTAR,MATCH(A54,PT_DIFFERENTIATION_VTAR_ID,0))</f>
        <v xml:space="preserve">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r="55" s="1637" customFormat="1" ht="18.75" hidden="1" customHeight="1">
      <c r="A55" s="1782"/>
      <c r="B55" s="1782"/>
      <c r="C55" s="371" t="s">
        <v>1146</v>
      </c>
      <c r="D55" s="2464"/>
      <c r="E55" s="2206"/>
      <c r="F55" s="2385"/>
      <c r="G55" s="2429"/>
      <c r="H55" s="1502"/>
      <c r="I55" s="653" t="s">
        <v>1147</v>
      </c>
      <c r="J55" s="573"/>
      <c r="K55" s="1502"/>
      <c r="L55" s="216"/>
      <c r="M55" s="2172"/>
      <c r="N55" s="336"/>
      <c r="O55" s="1626"/>
      <c r="P55" s="1626"/>
      <c r="AH55" s="1633">
        <v>0</v>
      </c>
    </row>
    <row r="56" s="1637" customFormat="1" ht="0.75" hidden="1" customHeight="1">
      <c r="A56" s="1782"/>
      <c r="B56" s="1782"/>
      <c r="C56" s="371" t="s">
        <v>1152</v>
      </c>
      <c r="D56" s="2464"/>
      <c r="E56" s="2206"/>
      <c r="F56" s="2385"/>
      <c r="G56" s="402"/>
      <c r="H56" s="1502"/>
      <c r="I56" s="653"/>
      <c r="J56" s="573"/>
      <c r="K56" s="1502"/>
      <c r="L56" s="216"/>
      <c r="M56" s="2172"/>
      <c r="N56" s="336"/>
      <c r="O56" s="1626"/>
      <c r="P56" s="1626"/>
      <c r="AH56" s="1633">
        <v>0</v>
      </c>
    </row>
    <row r="57" s="1637" customFormat="1" ht="18.75" hidden="1" customHeight="1">
      <c r="A57" s="1782" t="s">
        <v>235</v>
      </c>
      <c r="B57" s="1782" t="s">
        <v>236</v>
      </c>
      <c r="C57" s="371"/>
      <c r="D57" s="2464"/>
      <c r="E57" s="2206"/>
      <c r="F57" s="2385" t="str">
        <f>INDEX(PT_DIFFERENTIATION_VTAR,MATCH(A57,PT_DIFFERENTIATION_VTAR_ID,0))</f>
        <v xml:space="preserve">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r="58" s="1637" customFormat="1" ht="18.75" hidden="1" customHeight="1">
      <c r="A58" s="1782"/>
      <c r="B58" s="1782"/>
      <c r="C58" s="371" t="s">
        <v>1146</v>
      </c>
      <c r="D58" s="2464"/>
      <c r="E58" s="2206"/>
      <c r="F58" s="2385"/>
      <c r="G58" s="2429"/>
      <c r="H58" s="1502"/>
      <c r="I58" s="653" t="s">
        <v>1147</v>
      </c>
      <c r="J58" s="573"/>
      <c r="K58" s="1502"/>
      <c r="L58" s="216"/>
      <c r="M58" s="2172"/>
      <c r="N58" s="336"/>
      <c r="O58" s="1626"/>
      <c r="P58" s="1626"/>
      <c r="AH58" s="1633">
        <v>0</v>
      </c>
    </row>
    <row r="59" s="1637" customFormat="1" ht="0.75" hidden="1" customHeight="1">
      <c r="A59" s="1782"/>
      <c r="B59" s="1782"/>
      <c r="C59" s="371" t="s">
        <v>1152</v>
      </c>
      <c r="D59" s="2464"/>
      <c r="E59" s="2206"/>
      <c r="F59" s="2385"/>
      <c r="G59" s="402"/>
      <c r="H59" s="1502"/>
      <c r="I59" s="653"/>
      <c r="J59" s="573"/>
      <c r="K59" s="1502"/>
      <c r="L59" s="216"/>
      <c r="M59" s="2172"/>
      <c r="N59" s="336"/>
      <c r="O59" s="1626"/>
      <c r="P59" s="1626"/>
      <c r="AH59" s="1633">
        <v>0</v>
      </c>
    </row>
    <row r="60" s="1637" customFormat="1" ht="18.75" hidden="1" customHeight="1">
      <c r="A60" s="1782" t="s">
        <v>240</v>
      </c>
      <c r="B60" s="1782" t="s">
        <v>241</v>
      </c>
      <c r="C60" s="371"/>
      <c r="D60" s="2464"/>
      <c r="E60" s="2206"/>
      <c r="F60" s="2385" t="str">
        <f>INDEX(PT_DIFFERENTIATION_VTAR,MATCH(A60,PT_DIFFERENTIATION_VTAR_ID,0))</f>
        <v xml:space="preserve">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r="61" s="1637" customFormat="1" ht="18.75" hidden="1" customHeight="1">
      <c r="A61" s="1782"/>
      <c r="B61" s="1782"/>
      <c r="C61" s="371" t="s">
        <v>1146</v>
      </c>
      <c r="D61" s="2464"/>
      <c r="E61" s="2206"/>
      <c r="F61" s="2385"/>
      <c r="G61" s="2429"/>
      <c r="H61" s="1502"/>
      <c r="I61" s="653" t="s">
        <v>1147</v>
      </c>
      <c r="J61" s="573"/>
      <c r="K61" s="1502"/>
      <c r="L61" s="216"/>
      <c r="M61" s="2172"/>
      <c r="N61" s="336"/>
      <c r="O61" s="1626"/>
      <c r="P61" s="1626"/>
      <c r="AH61" s="1633">
        <v>0</v>
      </c>
    </row>
    <row r="62" s="1637" customFormat="1" ht="0.75" hidden="1" customHeight="1">
      <c r="A62" s="1782"/>
      <c r="B62" s="1782"/>
      <c r="C62" s="371" t="s">
        <v>1152</v>
      </c>
      <c r="D62" s="2464"/>
      <c r="E62" s="2206"/>
      <c r="F62" s="2385"/>
      <c r="G62" s="402"/>
      <c r="H62" s="1502"/>
      <c r="I62" s="653"/>
      <c r="J62" s="573"/>
      <c r="K62" s="1502"/>
      <c r="L62" s="216"/>
      <c r="M62" s="2172"/>
      <c r="N62" s="336"/>
      <c r="O62" s="1626"/>
      <c r="P62" s="1626"/>
      <c r="AH62" s="1633">
        <v>0</v>
      </c>
    </row>
    <row r="63" s="1637" customFormat="1" ht="18.75" hidden="1" customHeight="1">
      <c r="A63" s="1782" t="s">
        <v>245</v>
      </c>
      <c r="B63" s="1782" t="s">
        <v>246</v>
      </c>
      <c r="C63" s="371"/>
      <c r="D63" s="2464"/>
      <c r="E63" s="2206"/>
      <c r="F63" s="2385"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r="64" s="1637" customFormat="1" ht="18.75" hidden="1" customHeight="1">
      <c r="A64" s="1782"/>
      <c r="B64" s="1782"/>
      <c r="C64" s="371" t="s">
        <v>1146</v>
      </c>
      <c r="D64" s="2464"/>
      <c r="E64" s="2206"/>
      <c r="F64" s="2385"/>
      <c r="G64" s="2429"/>
      <c r="H64" s="1502"/>
      <c r="I64" s="653" t="s">
        <v>1147</v>
      </c>
      <c r="J64" s="573"/>
      <c r="K64" s="1502"/>
      <c r="L64" s="216"/>
      <c r="M64" s="2172"/>
      <c r="N64" s="336"/>
      <c r="O64" s="1626"/>
      <c r="P64" s="1626"/>
      <c r="AH64" s="1633">
        <v>0</v>
      </c>
    </row>
    <row r="65" s="1637" customFormat="1" ht="0.75" hidden="1" customHeight="1">
      <c r="A65" s="1782"/>
      <c r="B65" s="1782"/>
      <c r="C65" s="371" t="s">
        <v>1152</v>
      </c>
      <c r="D65" s="2464"/>
      <c r="E65" s="2206"/>
      <c r="F65" s="2385"/>
      <c r="G65" s="402"/>
      <c r="H65" s="1502"/>
      <c r="I65" s="653"/>
      <c r="J65" s="573"/>
      <c r="K65" s="1502"/>
      <c r="L65" s="216"/>
      <c r="M65" s="2172"/>
      <c r="N65" s="336"/>
      <c r="O65" s="1626"/>
      <c r="P65" s="1626"/>
      <c r="AH65" s="1633">
        <v>0</v>
      </c>
    </row>
    <row r="66" s="1637" customFormat="1" ht="18.75" hidden="1" customHeight="1">
      <c r="A66" s="1782" t="s">
        <v>250</v>
      </c>
      <c r="B66" s="1782" t="s">
        <v>251</v>
      </c>
      <c r="C66" s="371"/>
      <c r="D66" s="2464"/>
      <c r="E66" s="2206"/>
      <c r="F66" s="2385" t="str">
        <f>INDEX(PT_DIFFERENTIATION_VTAR,MATCH(A66,PT_DIFFERENTIATION_VTAR_ID,0))</f>
        <v xml:space="preserve">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r="67" s="1637" customFormat="1" ht="18.75" hidden="1" customHeight="1">
      <c r="A67" s="1782"/>
      <c r="B67" s="1782"/>
      <c r="C67" s="371" t="s">
        <v>1146</v>
      </c>
      <c r="D67" s="2464"/>
      <c r="E67" s="2206"/>
      <c r="F67" s="2385"/>
      <c r="G67" s="2429"/>
      <c r="H67" s="1502"/>
      <c r="I67" s="653" t="s">
        <v>1147</v>
      </c>
      <c r="J67" s="573"/>
      <c r="K67" s="1502"/>
      <c r="L67" s="216"/>
      <c r="M67" s="2172"/>
      <c r="N67" s="336"/>
      <c r="O67" s="1626"/>
      <c r="P67" s="1626"/>
      <c r="AH67" s="1633">
        <v>0</v>
      </c>
    </row>
    <row r="68" s="1637" customFormat="1" ht="0.75" hidden="1" customHeight="1">
      <c r="A68" s="1782"/>
      <c r="B68" s="1782"/>
      <c r="C68" s="371" t="s">
        <v>1152</v>
      </c>
      <c r="D68" s="2464"/>
      <c r="E68" s="2206"/>
      <c r="F68" s="2385"/>
      <c r="G68" s="402"/>
      <c r="H68" s="1502"/>
      <c r="I68" s="653"/>
      <c r="J68" s="573"/>
      <c r="K68" s="1502"/>
      <c r="L68" s="216"/>
      <c r="M68" s="2172"/>
      <c r="N68" s="336"/>
      <c r="O68" s="1626"/>
      <c r="P68" s="1626"/>
      <c r="AH68" s="1633">
        <v>0</v>
      </c>
    </row>
    <row r="69" s="1637" customFormat="1" ht="18.75" hidden="1" customHeight="1">
      <c r="A69" s="1782" t="s">
        <v>255</v>
      </c>
      <c r="B69" s="1782" t="s">
        <v>256</v>
      </c>
      <c r="C69" s="371"/>
      <c r="D69" s="2464"/>
      <c r="E69" s="2206"/>
      <c r="F69" s="2385" t="str">
        <f>INDEX(PT_DIFFERENTIATION_VTAR,MATCH(A69,PT_DIFFERENTIATION_VTAR_ID,0))</f>
        <v xml:space="preserve">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r="70" s="1637" customFormat="1" ht="18.75" hidden="1" customHeight="1">
      <c r="A70" s="1782"/>
      <c r="B70" s="1782"/>
      <c r="C70" s="371" t="s">
        <v>1146</v>
      </c>
      <c r="D70" s="2464"/>
      <c r="E70" s="2206"/>
      <c r="F70" s="2385"/>
      <c r="G70" s="2429"/>
      <c r="H70" s="1502"/>
      <c r="I70" s="653" t="s">
        <v>1147</v>
      </c>
      <c r="J70" s="573"/>
      <c r="K70" s="1502"/>
      <c r="L70" s="216"/>
      <c r="M70" s="2172"/>
      <c r="N70" s="336"/>
      <c r="O70" s="1626"/>
      <c r="P70" s="1626"/>
      <c r="AH70" s="1633">
        <v>0</v>
      </c>
    </row>
    <row r="71" s="1637" customFormat="1" ht="0.75" hidden="1" customHeight="1">
      <c r="A71" s="1782"/>
      <c r="B71" s="1782"/>
      <c r="C71" s="371" t="s">
        <v>1152</v>
      </c>
      <c r="D71" s="2464"/>
      <c r="E71" s="2206"/>
      <c r="F71" s="2385"/>
      <c r="G71" s="402"/>
      <c r="H71" s="1502"/>
      <c r="I71" s="653"/>
      <c r="J71" s="573"/>
      <c r="K71" s="1502"/>
      <c r="L71" s="216"/>
      <c r="M71" s="2172"/>
      <c r="N71" s="336"/>
      <c r="O71" s="1626"/>
      <c r="P71" s="1626"/>
      <c r="AH71" s="1633">
        <v>0</v>
      </c>
    </row>
    <row r="72" s="1637" customFormat="1" ht="18.75" hidden="1" customHeight="1">
      <c r="A72" s="1782" t="s">
        <v>260</v>
      </c>
      <c r="B72" s="1782" t="s">
        <v>261</v>
      </c>
      <c r="C72" s="371"/>
      <c r="D72" s="2464"/>
      <c r="E72" s="2206"/>
      <c r="F72" s="2385"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r="73" s="1637" customFormat="1" ht="18.75" hidden="1" customHeight="1">
      <c r="A73" s="1782"/>
      <c r="B73" s="1782"/>
      <c r="C73" s="371" t="s">
        <v>1146</v>
      </c>
      <c r="D73" s="2464"/>
      <c r="E73" s="2206"/>
      <c r="F73" s="2385"/>
      <c r="G73" s="2429"/>
      <c r="H73" s="1502"/>
      <c r="I73" s="653" t="s">
        <v>1147</v>
      </c>
      <c r="J73" s="573"/>
      <c r="K73" s="1502"/>
      <c r="L73" s="216"/>
      <c r="M73" s="2172"/>
      <c r="N73" s="336"/>
      <c r="O73" s="1626"/>
      <c r="P73" s="1626"/>
      <c r="AH73" s="1633">
        <v>0</v>
      </c>
    </row>
    <row r="74" s="1637" customFormat="1" ht="0.75" hidden="1" customHeight="1">
      <c r="A74" s="1782"/>
      <c r="B74" s="1782"/>
      <c r="C74" s="371" t="s">
        <v>1152</v>
      </c>
      <c r="D74" s="2464"/>
      <c r="E74" s="2206"/>
      <c r="F74" s="2385"/>
      <c r="G74" s="402"/>
      <c r="H74" s="1502"/>
      <c r="I74" s="653"/>
      <c r="J74" s="573"/>
      <c r="K74" s="1502"/>
      <c r="L74" s="216"/>
      <c r="M74" s="2172"/>
      <c r="N74" s="336"/>
      <c r="O74" s="1626"/>
      <c r="P74" s="1626"/>
      <c r="AH74" s="1633">
        <v>0</v>
      </c>
    </row>
    <row r="75" s="1637" customFormat="1" ht="18.75" hidden="1" customHeight="1">
      <c r="A75" s="1782" t="s">
        <v>265</v>
      </c>
      <c r="B75" s="1782" t="s">
        <v>266</v>
      </c>
      <c r="C75" s="371"/>
      <c r="D75" s="2464"/>
      <c r="E75" s="2206"/>
      <c r="F75" s="2385" t="str">
        <f>INDEX(PT_DIFFERENTIATION_VTAR,MATCH(A75,PT_DIFFERENTIATION_VTAR_ID,0))</f>
        <v xml:space="preserve">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r="76" s="1637" customFormat="1" ht="18.75" hidden="1" customHeight="1">
      <c r="A76" s="1782"/>
      <c r="B76" s="1782"/>
      <c r="C76" s="371" t="s">
        <v>1146</v>
      </c>
      <c r="D76" s="2464"/>
      <c r="E76" s="2206"/>
      <c r="F76" s="2385"/>
      <c r="G76" s="2429"/>
      <c r="H76" s="1502"/>
      <c r="I76" s="653" t="s">
        <v>1147</v>
      </c>
      <c r="J76" s="573"/>
      <c r="K76" s="1502"/>
      <c r="L76" s="216"/>
      <c r="M76" s="2172"/>
      <c r="N76" s="336"/>
      <c r="O76" s="1626"/>
      <c r="P76" s="1626"/>
      <c r="AH76" s="1633">
        <v>0</v>
      </c>
    </row>
    <row r="77" s="1637" customFormat="1" ht="0.75" hidden="1" customHeight="1">
      <c r="A77" s="1782"/>
      <c r="B77" s="1782"/>
      <c r="C77" s="371" t="s">
        <v>1152</v>
      </c>
      <c r="D77" s="2464"/>
      <c r="E77" s="2206"/>
      <c r="F77" s="2385"/>
      <c r="G77" s="402"/>
      <c r="H77" s="1502"/>
      <c r="I77" s="653"/>
      <c r="J77" s="573"/>
      <c r="K77" s="1502"/>
      <c r="L77" s="216"/>
      <c r="M77" s="2172"/>
      <c r="N77" s="336"/>
      <c r="O77" s="1626"/>
      <c r="P77" s="1626"/>
      <c r="AH77" s="1633">
        <v>0</v>
      </c>
    </row>
    <row r="78" s="1637" customFormat="1" ht="18.75" hidden="1" customHeight="1">
      <c r="A78" s="1782" t="s">
        <v>270</v>
      </c>
      <c r="B78" s="1782" t="s">
        <v>271</v>
      </c>
      <c r="C78" s="371"/>
      <c r="D78" s="2464"/>
      <c r="E78" s="2206"/>
      <c r="F78" s="2385" t="str">
        <f>INDEX(PT_DIFFERENTIATION_VTAR,MATCH(A78,PT_DIFFERENTIATION_VTAR_ID,0))</f>
        <v xml:space="preserve">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r="79" s="1637" customFormat="1" ht="18.75" hidden="1" customHeight="1">
      <c r="A79" s="1782"/>
      <c r="B79" s="1782"/>
      <c r="C79" s="371" t="s">
        <v>1146</v>
      </c>
      <c r="D79" s="2464"/>
      <c r="E79" s="2206"/>
      <c r="F79" s="2385"/>
      <c r="G79" s="2429"/>
      <c r="H79" s="1502"/>
      <c r="I79" s="653" t="s">
        <v>1147</v>
      </c>
      <c r="J79" s="573"/>
      <c r="K79" s="1502"/>
      <c r="L79" s="216"/>
      <c r="M79" s="2172"/>
      <c r="N79" s="336"/>
      <c r="O79" s="1626"/>
      <c r="P79" s="1626"/>
      <c r="AH79" s="1633">
        <v>0</v>
      </c>
    </row>
    <row r="80" s="1637" customFormat="1" ht="0.75" hidden="1" customHeight="1">
      <c r="A80" s="1782"/>
      <c r="B80" s="1782"/>
      <c r="C80" s="371" t="s">
        <v>1152</v>
      </c>
      <c r="D80" s="2464"/>
      <c r="E80" s="2206"/>
      <c r="F80" s="2385"/>
      <c r="G80" s="402"/>
      <c r="H80" s="1502"/>
      <c r="I80" s="653"/>
      <c r="J80" s="573"/>
      <c r="K80" s="1502"/>
      <c r="L80" s="216"/>
      <c r="M80" s="2172"/>
      <c r="N80" s="336"/>
      <c r="O80" s="1626"/>
      <c r="P80" s="1626"/>
      <c r="AH80" s="1633">
        <v>0</v>
      </c>
    </row>
    <row r="81" s="1637" customFormat="1" ht="18.75" hidden="1" customHeight="1">
      <c r="A81" s="1782" t="s">
        <v>275</v>
      </c>
      <c r="B81" s="1782" t="s">
        <v>276</v>
      </c>
      <c r="C81" s="371"/>
      <c r="D81" s="2464"/>
      <c r="E81" s="2206"/>
      <c r="F81" s="2385" t="str">
        <f>INDEX(PT_DIFFERENTIATION_VTAR,MATCH(A81,PT_DIFFERENTIATION_VTAR_ID,0))</f>
        <v xml:space="preserve">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r="82" s="1637" customFormat="1" ht="18.75" hidden="1" customHeight="1">
      <c r="A82" s="1782"/>
      <c r="B82" s="1782"/>
      <c r="C82" s="371" t="s">
        <v>1146</v>
      </c>
      <c r="D82" s="2464"/>
      <c r="E82" s="2206"/>
      <c r="F82" s="2385"/>
      <c r="G82" s="2429"/>
      <c r="H82" s="1502"/>
      <c r="I82" s="653" t="s">
        <v>1147</v>
      </c>
      <c r="J82" s="573"/>
      <c r="K82" s="1502"/>
      <c r="L82" s="216"/>
      <c r="M82" s="2172"/>
      <c r="N82" s="336"/>
      <c r="O82" s="1626"/>
      <c r="P82" s="1626"/>
      <c r="AH82" s="1633">
        <v>0</v>
      </c>
    </row>
    <row r="83" s="1637" customFormat="1" ht="1.05" customHeight="1">
      <c r="A83" s="1782"/>
      <c r="B83" s="1782"/>
      <c r="C83" s="371" t="s">
        <v>1152</v>
      </c>
      <c r="D83" s="2464"/>
      <c r="E83" s="2206"/>
      <c r="F83" s="2385"/>
      <c r="G83" s="402"/>
      <c r="H83" s="1502"/>
      <c r="I83" s="653"/>
      <c r="J83" s="573"/>
      <c r="K83" s="1502"/>
      <c r="L83" s="216"/>
      <c r="M83" s="2172"/>
      <c r="N83" s="336"/>
      <c r="O83" s="1626"/>
      <c r="P83" s="1626"/>
      <c r="AH83" s="1633">
        <v>1</v>
      </c>
    </row>
    <row r="84" ht="19.949999999999999" customHeight="1">
      <c r="A84" s="1782"/>
      <c r="B84" s="1782"/>
      <c r="D84" s="378"/>
      <c r="E84" s="149" t="s">
        <v>111</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r="85" ht="35.649999999999999" customHeight="1">
      <c r="A85" s="1782"/>
      <c r="B85" s="1782"/>
      <c r="D85" s="378"/>
      <c r="E85" s="401"/>
      <c r="F85" s="200" t="s">
        <v>306</v>
      </c>
      <c r="G85" s="200" t="s">
        <v>306</v>
      </c>
      <c r="H85" s="2220" t="s">
        <v>306</v>
      </c>
      <c r="I85" s="2222"/>
      <c r="J85" s="200" t="s">
        <v>306</v>
      </c>
      <c r="K85" s="200" t="s">
        <v>306</v>
      </c>
      <c r="L85" s="403"/>
      <c r="M85" s="347" t="s">
        <v>1153</v>
      </c>
      <c r="N85" s="336"/>
      <c r="AH85" s="376">
        <v>34</v>
      </c>
    </row>
    <row r="86" ht="19.949999999999999" customHeight="1">
      <c r="A86" s="1782"/>
      <c r="B86" s="1782"/>
      <c r="D86" s="378"/>
      <c r="E86" s="149" t="s">
        <v>90</v>
      </c>
      <c r="F86" s="2462" t="s">
        <v>1154</v>
      </c>
      <c r="G86" s="2462"/>
      <c r="H86" s="2462"/>
      <c r="I86" s="2462"/>
      <c r="J86" s="2462"/>
      <c r="K86" s="2462"/>
      <c r="L86" s="2462"/>
      <c r="M86" s="299"/>
      <c r="N86" s="336"/>
      <c r="AH86" s="376">
        <v>19</v>
      </c>
    </row>
    <row r="87" s="1637" customFormat="1" ht="60.75" hidden="1" customHeight="1">
      <c r="A87" s="1782" t="s">
        <v>157</v>
      </c>
      <c r="B87" s="1782" t="s">
        <v>158</v>
      </c>
      <c r="C87" s="371"/>
      <c r="D87" s="2464"/>
      <c r="E87" s="2206"/>
      <c r="F87" s="2385"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r="88" s="1637" customFormat="1" ht="18.75" hidden="1" customHeight="1">
      <c r="A88" s="1782"/>
      <c r="B88" s="1782"/>
      <c r="C88" s="371" t="s">
        <v>1148</v>
      </c>
      <c r="D88" s="2464"/>
      <c r="E88" s="2206"/>
      <c r="F88" s="2385"/>
      <c r="G88" s="2429"/>
      <c r="H88" s="1502"/>
      <c r="I88" s="653" t="s">
        <v>1147</v>
      </c>
      <c r="J88" s="573"/>
      <c r="K88" s="1502"/>
      <c r="L88" s="216"/>
      <c r="M88" s="2172"/>
      <c r="N88" s="336"/>
      <c r="O88" s="1626"/>
      <c r="P88" s="1626"/>
      <c r="AH88" s="1633">
        <v>0</v>
      </c>
    </row>
    <row r="89" s="1637" customFormat="1" ht="0.75" hidden="1" customHeight="1">
      <c r="A89" s="1782"/>
      <c r="B89" s="1782"/>
      <c r="C89" s="371" t="s">
        <v>1155</v>
      </c>
      <c r="D89" s="2464"/>
      <c r="E89" s="2206"/>
      <c r="F89" s="2385"/>
      <c r="G89" s="402"/>
      <c r="H89" s="1502"/>
      <c r="I89" s="653"/>
      <c r="J89" s="573"/>
      <c r="K89" s="1502"/>
      <c r="L89" s="216"/>
      <c r="M89" s="2172"/>
      <c r="N89" s="336"/>
      <c r="O89" s="1626"/>
      <c r="P89" s="1626"/>
      <c r="AH89" s="1633">
        <v>0</v>
      </c>
    </row>
    <row r="90" s="1637" customFormat="1" ht="45" hidden="1" customHeight="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r="91" s="1637" customFormat="1" ht="18.75" hidden="1" customHeight="1">
      <c r="A91" s="1782"/>
      <c r="B91" s="1782"/>
      <c r="C91" s="371" t="s">
        <v>1148</v>
      </c>
      <c r="D91" s="2464"/>
      <c r="E91" s="2206"/>
      <c r="F91" s="2385"/>
      <c r="G91" s="2429"/>
      <c r="H91" s="1502"/>
      <c r="I91" s="653" t="s">
        <v>1147</v>
      </c>
      <c r="J91" s="573"/>
      <c r="K91" s="1502"/>
      <c r="L91" s="216"/>
      <c r="M91" s="1863"/>
      <c r="N91" s="336"/>
      <c r="O91" s="1626"/>
      <c r="P91" s="1626"/>
      <c r="AH91" s="1633">
        <v>0</v>
      </c>
    </row>
    <row r="92" s="1637" customFormat="1" ht="0.75" hidden="1" customHeight="1">
      <c r="A92" s="1782"/>
      <c r="B92" s="1782"/>
      <c r="C92" s="371" t="s">
        <v>1155</v>
      </c>
      <c r="D92" s="2464"/>
      <c r="E92" s="2206"/>
      <c r="F92" s="2385"/>
      <c r="G92" s="402"/>
      <c r="H92" s="1502"/>
      <c r="I92" s="653"/>
      <c r="J92" s="573"/>
      <c r="K92" s="1502"/>
      <c r="L92" s="216"/>
      <c r="M92" s="343"/>
      <c r="N92" s="336"/>
      <c r="O92" s="1626"/>
      <c r="P92" s="1626"/>
      <c r="AH92" s="1633">
        <v>0</v>
      </c>
    </row>
    <row r="93" s="1637" customFormat="1" ht="45" hidden="1" customHeight="1">
      <c r="A93" s="1782" t="s">
        <v>169</v>
      </c>
      <c r="B93" s="1782" t="s">
        <v>170</v>
      </c>
      <c r="C93" s="371"/>
      <c r="D93" s="2464"/>
      <c r="E93" s="2206"/>
      <c r="F93" s="2385"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r="94" s="1637" customFormat="1" ht="18.75" hidden="1" customHeight="1">
      <c r="A94" s="1782"/>
      <c r="B94" s="1782"/>
      <c r="C94" s="371" t="s">
        <v>1148</v>
      </c>
      <c r="D94" s="2464"/>
      <c r="E94" s="2206"/>
      <c r="F94" s="2385"/>
      <c r="G94" s="2429"/>
      <c r="H94" s="1502"/>
      <c r="I94" s="653" t="s">
        <v>1147</v>
      </c>
      <c r="J94" s="573"/>
      <c r="K94" s="1502"/>
      <c r="L94" s="216"/>
      <c r="M94" s="343"/>
      <c r="N94" s="336"/>
      <c r="O94" s="1626"/>
      <c r="P94" s="1626"/>
      <c r="AH94" s="1633">
        <v>0</v>
      </c>
    </row>
    <row r="95" s="1637" customFormat="1" ht="0.75" hidden="1" customHeight="1">
      <c r="A95" s="1782"/>
      <c r="B95" s="1782"/>
      <c r="C95" s="371" t="s">
        <v>1155</v>
      </c>
      <c r="D95" s="2464"/>
      <c r="E95" s="2206"/>
      <c r="F95" s="2385"/>
      <c r="G95" s="402"/>
      <c r="H95" s="1502"/>
      <c r="I95" s="653"/>
      <c r="J95" s="573"/>
      <c r="K95" s="1502"/>
      <c r="L95" s="216"/>
      <c r="M95" s="343"/>
      <c r="N95" s="336"/>
      <c r="O95" s="1626"/>
      <c r="P95" s="1626"/>
      <c r="AH95" s="1633">
        <v>0</v>
      </c>
    </row>
    <row r="96" s="1637" customFormat="1" ht="45" hidden="1" customHeight="1">
      <c r="A96" s="1782" t="s">
        <v>175</v>
      </c>
      <c r="B96" s="1782" t="s">
        <v>176</v>
      </c>
      <c r="C96" s="371"/>
      <c r="D96" s="2464"/>
      <c r="E96" s="2206"/>
      <c r="F96" s="2385"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r="97" s="1637" customFormat="1" ht="18.75" hidden="1" customHeight="1">
      <c r="A97" s="1782"/>
      <c r="B97" s="1782"/>
      <c r="C97" s="371" t="s">
        <v>1148</v>
      </c>
      <c r="D97" s="2464"/>
      <c r="E97" s="2206"/>
      <c r="F97" s="2385"/>
      <c r="G97" s="2429"/>
      <c r="H97" s="1502"/>
      <c r="I97" s="653" t="s">
        <v>1147</v>
      </c>
      <c r="J97" s="573"/>
      <c r="K97" s="1502"/>
      <c r="L97" s="216"/>
      <c r="M97" s="343"/>
      <c r="N97" s="336"/>
      <c r="O97" s="1626"/>
      <c r="P97" s="1626"/>
      <c r="AH97" s="1633">
        <v>0</v>
      </c>
    </row>
    <row r="98" s="1637" customFormat="1" ht="0.75" hidden="1" customHeight="1">
      <c r="A98" s="1782"/>
      <c r="B98" s="1782"/>
      <c r="C98" s="371" t="s">
        <v>1155</v>
      </c>
      <c r="D98" s="2464"/>
      <c r="E98" s="2206"/>
      <c r="F98" s="2385"/>
      <c r="G98" s="402"/>
      <c r="H98" s="1502"/>
      <c r="I98" s="653"/>
      <c r="J98" s="573"/>
      <c r="K98" s="1502"/>
      <c r="L98" s="216"/>
      <c r="M98" s="343"/>
      <c r="N98" s="336"/>
      <c r="O98" s="1626"/>
      <c r="P98" s="1626"/>
      <c r="AH98" s="1633">
        <v>0</v>
      </c>
    </row>
    <row r="99" s="1637" customFormat="1" ht="18.75" hidden="1" customHeight="1">
      <c r="A99" s="1782" t="s">
        <v>181</v>
      </c>
      <c r="B99" s="1782" t="s">
        <v>182</v>
      </c>
      <c r="C99" s="371"/>
      <c r="D99" s="2464"/>
      <c r="E99" s="2206"/>
      <c r="F99" s="2385" t="str">
        <f>INDEX(PT_DIFFERENTIATION_VTAR,MATCH(A99,PT_DIFFERENTIATION_VTAR_ID,0))</f>
        <v xml:space="preserve">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r="100" s="1637" customFormat="1" ht="18.75" hidden="1" customHeight="1">
      <c r="A100" s="1782"/>
      <c r="B100" s="1782"/>
      <c r="C100" s="371" t="s">
        <v>1148</v>
      </c>
      <c r="D100" s="2464"/>
      <c r="E100" s="2206"/>
      <c r="F100" s="2385"/>
      <c r="G100" s="2429"/>
      <c r="H100" s="1502"/>
      <c r="I100" s="653" t="s">
        <v>1147</v>
      </c>
      <c r="J100" s="573"/>
      <c r="K100" s="1502"/>
      <c r="L100" s="216"/>
      <c r="M100" s="343"/>
      <c r="N100" s="336"/>
      <c r="O100" s="1626"/>
      <c r="P100" s="1626"/>
      <c r="AH100" s="1633">
        <v>0</v>
      </c>
    </row>
    <row r="101" s="1637" customFormat="1" ht="0.75" hidden="1" customHeight="1">
      <c r="A101" s="1782"/>
      <c r="B101" s="1782"/>
      <c r="C101" s="371" t="s">
        <v>1155</v>
      </c>
      <c r="D101" s="2464"/>
      <c r="E101" s="2206"/>
      <c r="F101" s="2385"/>
      <c r="G101" s="402"/>
      <c r="H101" s="1502"/>
      <c r="I101" s="653"/>
      <c r="J101" s="573"/>
      <c r="K101" s="1502"/>
      <c r="L101" s="216"/>
      <c r="M101" s="343"/>
      <c r="N101" s="336"/>
      <c r="O101" s="1626"/>
      <c r="P101" s="1626"/>
      <c r="AH101" s="1633">
        <v>0</v>
      </c>
    </row>
    <row r="102" s="1637" customFormat="1" ht="18.75" hidden="1" customHeight="1">
      <c r="A102" s="1782" t="s">
        <v>187</v>
      </c>
      <c r="B102" s="1782" t="s">
        <v>188</v>
      </c>
      <c r="C102" s="371"/>
      <c r="D102" s="2464"/>
      <c r="E102" s="2206"/>
      <c r="F102" s="2385" t="str">
        <f>INDEX(PT_DIFFERENTIATION_VTAR,MATCH(A102,PT_DIFFERENTIATION_VTAR_ID,0))</f>
        <v xml:space="preserve">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r="103" s="1637" customFormat="1" ht="18.75" hidden="1" customHeight="1">
      <c r="A103" s="1782"/>
      <c r="B103" s="1782"/>
      <c r="C103" s="371" t="s">
        <v>1148</v>
      </c>
      <c r="D103" s="2464"/>
      <c r="E103" s="2206"/>
      <c r="F103" s="2385"/>
      <c r="G103" s="2429"/>
      <c r="H103" s="1502"/>
      <c r="I103" s="653" t="s">
        <v>1147</v>
      </c>
      <c r="J103" s="573"/>
      <c r="K103" s="1502"/>
      <c r="L103" s="216"/>
      <c r="M103" s="343"/>
      <c r="N103" s="336"/>
      <c r="O103" s="1626"/>
      <c r="P103" s="1626"/>
      <c r="AH103" s="1633">
        <v>0</v>
      </c>
    </row>
    <row r="104" s="1637" customFormat="1" ht="0.75" hidden="1" customHeight="1">
      <c r="A104" s="1782"/>
      <c r="B104" s="1782"/>
      <c r="C104" s="371" t="s">
        <v>1155</v>
      </c>
      <c r="D104" s="2464"/>
      <c r="E104" s="2206"/>
      <c r="F104" s="2385"/>
      <c r="G104" s="402"/>
      <c r="H104" s="1502"/>
      <c r="I104" s="653"/>
      <c r="J104" s="573"/>
      <c r="K104" s="1502"/>
      <c r="L104" s="216"/>
      <c r="M104" s="343"/>
      <c r="N104" s="336"/>
      <c r="O104" s="1626"/>
      <c r="P104" s="1626"/>
      <c r="AH104" s="1633">
        <v>0</v>
      </c>
    </row>
    <row r="105" s="1637" customFormat="1" ht="18.75" hidden="1" customHeight="1">
      <c r="A105" s="1782" t="s">
        <v>193</v>
      </c>
      <c r="B105" s="1782" t="s">
        <v>194</v>
      </c>
      <c r="C105" s="371"/>
      <c r="D105" s="2464"/>
      <c r="E105" s="2206"/>
      <c r="F105" s="2385"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r="106" s="1637" customFormat="1" ht="18.75" hidden="1" customHeight="1">
      <c r="A106" s="1782"/>
      <c r="B106" s="1782"/>
      <c r="C106" s="371" t="s">
        <v>1148</v>
      </c>
      <c r="D106" s="2464"/>
      <c r="E106" s="2206"/>
      <c r="F106" s="2385"/>
      <c r="G106" s="2429"/>
      <c r="H106" s="1502"/>
      <c r="I106" s="653" t="s">
        <v>1147</v>
      </c>
      <c r="J106" s="573"/>
      <c r="K106" s="1502"/>
      <c r="L106" s="216"/>
      <c r="M106" s="343"/>
      <c r="N106" s="336"/>
      <c r="O106" s="1626"/>
      <c r="P106" s="1626"/>
      <c r="AH106" s="1633">
        <v>0</v>
      </c>
    </row>
    <row r="107" s="1637" customFormat="1" ht="0.75" hidden="1" customHeight="1">
      <c r="A107" s="1782"/>
      <c r="B107" s="1782"/>
      <c r="C107" s="371" t="s">
        <v>1155</v>
      </c>
      <c r="D107" s="2464"/>
      <c r="E107" s="2206"/>
      <c r="F107" s="2385"/>
      <c r="G107" s="402"/>
      <c r="H107" s="1502"/>
      <c r="I107" s="653"/>
      <c r="J107" s="573"/>
      <c r="K107" s="1502"/>
      <c r="L107" s="216"/>
      <c r="M107" s="343"/>
      <c r="N107" s="336"/>
      <c r="O107" s="1626"/>
      <c r="P107" s="1626"/>
      <c r="AH107" s="1633">
        <v>0</v>
      </c>
    </row>
    <row r="108" s="1637" customFormat="1" ht="18.75" hidden="1" customHeight="1">
      <c r="A108" s="1782" t="s">
        <v>199</v>
      </c>
      <c r="B108" s="1782" t="s">
        <v>200</v>
      </c>
      <c r="C108" s="371"/>
      <c r="D108" s="2464"/>
      <c r="E108" s="2206"/>
      <c r="F108" s="2385" t="str">
        <f>INDEX(PT_DIFFERENTIATION_VTAR,MATCH(A108,PT_DIFFERENTIATION_VTAR_ID,0))</f>
        <v xml:space="preserve">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r="109" s="1637" customFormat="1" ht="18.75" hidden="1" customHeight="1">
      <c r="A109" s="1782"/>
      <c r="B109" s="1782"/>
      <c r="C109" s="371" t="s">
        <v>1148</v>
      </c>
      <c r="D109" s="2464"/>
      <c r="E109" s="2206"/>
      <c r="F109" s="2385"/>
      <c r="G109" s="2429"/>
      <c r="H109" s="1502"/>
      <c r="I109" s="653" t="s">
        <v>1147</v>
      </c>
      <c r="J109" s="573"/>
      <c r="K109" s="1502"/>
      <c r="L109" s="216"/>
      <c r="M109" s="343"/>
      <c r="N109" s="336"/>
      <c r="O109" s="1626"/>
      <c r="P109" s="1626"/>
      <c r="AH109" s="1633">
        <v>0</v>
      </c>
    </row>
    <row r="110" s="1637" customFormat="1" ht="0.75" hidden="1" customHeight="1">
      <c r="A110" s="1782"/>
      <c r="B110" s="1782"/>
      <c r="C110" s="371" t="s">
        <v>1155</v>
      </c>
      <c r="D110" s="2464"/>
      <c r="E110" s="2206"/>
      <c r="F110" s="2385"/>
      <c r="G110" s="402"/>
      <c r="H110" s="1502"/>
      <c r="I110" s="653"/>
      <c r="J110" s="573"/>
      <c r="K110" s="1502"/>
      <c r="L110" s="216"/>
      <c r="M110" s="343"/>
      <c r="N110" s="336"/>
      <c r="O110" s="1626"/>
      <c r="P110" s="1626"/>
      <c r="AH110" s="1633">
        <v>0</v>
      </c>
    </row>
    <row r="111" s="1637" customFormat="1" ht="18.75" hidden="1" customHeight="1">
      <c r="A111" s="1782" t="s">
        <v>205</v>
      </c>
      <c r="B111" s="1782" t="s">
        <v>206</v>
      </c>
      <c r="C111" s="371"/>
      <c r="D111" s="2464"/>
      <c r="E111" s="2206"/>
      <c r="F111" s="2385" t="str">
        <f>INDEX(PT_DIFFERENTIATION_VTAR,MATCH(A111,PT_DIFFERENTIATION_VTAR_ID,0))</f>
        <v xml:space="preserve">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r="112" s="1637" customFormat="1" ht="18.75" hidden="1" customHeight="1">
      <c r="A112" s="1782"/>
      <c r="B112" s="1782"/>
      <c r="C112" s="371" t="s">
        <v>1148</v>
      </c>
      <c r="D112" s="2464"/>
      <c r="E112" s="2206"/>
      <c r="F112" s="2385"/>
      <c r="G112" s="2429"/>
      <c r="H112" s="1502"/>
      <c r="I112" s="653" t="s">
        <v>1147</v>
      </c>
      <c r="J112" s="573"/>
      <c r="K112" s="1502"/>
      <c r="L112" s="216"/>
      <c r="M112" s="343"/>
      <c r="N112" s="336"/>
      <c r="O112" s="1626"/>
      <c r="P112" s="1626"/>
      <c r="AH112" s="1633">
        <v>0</v>
      </c>
    </row>
    <row r="113" s="1637" customFormat="1" ht="0.75" hidden="1" customHeight="1">
      <c r="A113" s="1782"/>
      <c r="B113" s="1782"/>
      <c r="C113" s="371" t="s">
        <v>1155</v>
      </c>
      <c r="D113" s="2464"/>
      <c r="E113" s="2206"/>
      <c r="F113" s="2385"/>
      <c r="G113" s="402"/>
      <c r="H113" s="1502"/>
      <c r="I113" s="653"/>
      <c r="J113" s="573"/>
      <c r="K113" s="1502"/>
      <c r="L113" s="216"/>
      <c r="M113" s="343"/>
      <c r="N113" s="336"/>
      <c r="O113" s="1626"/>
      <c r="P113" s="1626"/>
      <c r="AH113" s="1633">
        <v>0</v>
      </c>
    </row>
    <row r="114" s="1637" customFormat="1" ht="18.75" hidden="1" customHeight="1">
      <c r="A114" s="1782" t="s">
        <v>225</v>
      </c>
      <c r="B114" s="1782" t="s">
        <v>226</v>
      </c>
      <c r="C114" s="371"/>
      <c r="D114" s="2464"/>
      <c r="E114" s="2206"/>
      <c r="F114" s="2385" t="str">
        <f>INDEX(PT_DIFFERENTIATION_VTAR,MATCH(A114,PT_DIFFERENTIATION_VTAR_ID,0))</f>
        <v xml:space="preserve">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r="115" s="1637" customFormat="1" ht="18.75" hidden="1" customHeight="1">
      <c r="A115" s="1782"/>
      <c r="B115" s="1782"/>
      <c r="C115" s="371" t="s">
        <v>1148</v>
      </c>
      <c r="D115" s="2464"/>
      <c r="E115" s="2206"/>
      <c r="F115" s="2385"/>
      <c r="G115" s="2429"/>
      <c r="H115" s="1502"/>
      <c r="I115" s="653" t="s">
        <v>1147</v>
      </c>
      <c r="J115" s="573"/>
      <c r="K115" s="1502"/>
      <c r="L115" s="216"/>
      <c r="M115" s="343"/>
      <c r="N115" s="336"/>
      <c r="O115" s="1626"/>
      <c r="P115" s="1626"/>
      <c r="AH115" s="1633">
        <v>0</v>
      </c>
    </row>
    <row r="116" s="1637" customFormat="1" ht="0.75" hidden="1" customHeight="1">
      <c r="A116" s="1782"/>
      <c r="B116" s="1782"/>
      <c r="C116" s="371" t="s">
        <v>1155</v>
      </c>
      <c r="D116" s="2464"/>
      <c r="E116" s="2206"/>
      <c r="F116" s="2385"/>
      <c r="G116" s="402"/>
      <c r="H116" s="1502"/>
      <c r="I116" s="653"/>
      <c r="J116" s="573"/>
      <c r="K116" s="1502"/>
      <c r="L116" s="216"/>
      <c r="M116" s="343"/>
      <c r="N116" s="336"/>
      <c r="O116" s="1626"/>
      <c r="P116" s="1626"/>
      <c r="AH116" s="1633">
        <v>0</v>
      </c>
    </row>
    <row r="117" s="1637" customFormat="1" ht="18.75" hidden="1" customHeight="1">
      <c r="A117" s="1782" t="s">
        <v>230</v>
      </c>
      <c r="B117" s="1782" t="s">
        <v>231</v>
      </c>
      <c r="C117" s="371"/>
      <c r="D117" s="2464"/>
      <c r="E117" s="2206"/>
      <c r="F117" s="2385" t="str">
        <f>INDEX(PT_DIFFERENTIATION_VTAR,MATCH(A117,PT_DIFFERENTIATION_VTAR_ID,0))</f>
        <v xml:space="preserve">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r="118" s="1637" customFormat="1" ht="18.75" hidden="1" customHeight="1">
      <c r="A118" s="1782"/>
      <c r="B118" s="1782"/>
      <c r="C118" s="371" t="s">
        <v>1148</v>
      </c>
      <c r="D118" s="2464"/>
      <c r="E118" s="2206"/>
      <c r="F118" s="2385"/>
      <c r="G118" s="2429"/>
      <c r="H118" s="1502"/>
      <c r="I118" s="653" t="s">
        <v>1147</v>
      </c>
      <c r="J118" s="573"/>
      <c r="K118" s="1502"/>
      <c r="L118" s="216"/>
      <c r="M118" s="343"/>
      <c r="N118" s="336"/>
      <c r="O118" s="1626"/>
      <c r="P118" s="1626"/>
      <c r="AH118" s="1633">
        <v>0</v>
      </c>
    </row>
    <row r="119" s="1637" customFormat="1" ht="0.75" hidden="1" customHeight="1">
      <c r="A119" s="1782"/>
      <c r="B119" s="1782"/>
      <c r="C119" s="371" t="s">
        <v>1155</v>
      </c>
      <c r="D119" s="2464"/>
      <c r="E119" s="2206"/>
      <c r="F119" s="2385"/>
      <c r="G119" s="402"/>
      <c r="H119" s="1502"/>
      <c r="I119" s="653"/>
      <c r="J119" s="573"/>
      <c r="K119" s="1502"/>
      <c r="L119" s="216"/>
      <c r="M119" s="343"/>
      <c r="N119" s="336"/>
      <c r="O119" s="1626"/>
      <c r="P119" s="1626"/>
      <c r="AH119" s="1633">
        <v>0</v>
      </c>
    </row>
    <row r="120" s="1637" customFormat="1" ht="18.75" hidden="1" customHeight="1">
      <c r="A120" s="1782" t="s">
        <v>235</v>
      </c>
      <c r="B120" s="1782" t="s">
        <v>236</v>
      </c>
      <c r="C120" s="371"/>
      <c r="D120" s="2464"/>
      <c r="E120" s="2206"/>
      <c r="F120" s="2385" t="str">
        <f>INDEX(PT_DIFFERENTIATION_VTAR,MATCH(A120,PT_DIFFERENTIATION_VTAR_ID,0))</f>
        <v xml:space="preserve">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r="121" s="1637" customFormat="1" ht="18.75" hidden="1" customHeight="1">
      <c r="A121" s="1782"/>
      <c r="B121" s="1782"/>
      <c r="C121" s="371" t="s">
        <v>1148</v>
      </c>
      <c r="D121" s="2464"/>
      <c r="E121" s="2206"/>
      <c r="F121" s="2385"/>
      <c r="G121" s="2429"/>
      <c r="H121" s="1502"/>
      <c r="I121" s="653" t="s">
        <v>1147</v>
      </c>
      <c r="J121" s="573"/>
      <c r="K121" s="1502"/>
      <c r="L121" s="216"/>
      <c r="M121" s="343"/>
      <c r="N121" s="336"/>
      <c r="O121" s="1626"/>
      <c r="P121" s="1626"/>
      <c r="AH121" s="1633">
        <v>0</v>
      </c>
    </row>
    <row r="122" s="1637" customFormat="1" ht="0.75" hidden="1" customHeight="1">
      <c r="A122" s="1782"/>
      <c r="B122" s="1782"/>
      <c r="C122" s="371" t="s">
        <v>1155</v>
      </c>
      <c r="D122" s="2464"/>
      <c r="E122" s="2206"/>
      <c r="F122" s="2385"/>
      <c r="G122" s="402"/>
      <c r="H122" s="1502"/>
      <c r="I122" s="653"/>
      <c r="J122" s="573"/>
      <c r="K122" s="1502"/>
      <c r="L122" s="216"/>
      <c r="M122" s="343"/>
      <c r="N122" s="336"/>
      <c r="O122" s="1626"/>
      <c r="P122" s="1626"/>
      <c r="AH122" s="1633">
        <v>0</v>
      </c>
    </row>
    <row r="123" s="1637" customFormat="1" ht="18.75" hidden="1" customHeight="1">
      <c r="A123" s="1782" t="s">
        <v>240</v>
      </c>
      <c r="B123" s="1782" t="s">
        <v>241</v>
      </c>
      <c r="C123" s="371"/>
      <c r="D123" s="2464"/>
      <c r="E123" s="2206"/>
      <c r="F123" s="2385" t="str">
        <f>INDEX(PT_DIFFERENTIATION_VTAR,MATCH(A123,PT_DIFFERENTIATION_VTAR_ID,0))</f>
        <v xml:space="preserve">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r="124" s="1637" customFormat="1" ht="18.75" hidden="1" customHeight="1">
      <c r="A124" s="1782"/>
      <c r="B124" s="1782"/>
      <c r="C124" s="371" t="s">
        <v>1148</v>
      </c>
      <c r="D124" s="2464"/>
      <c r="E124" s="2206"/>
      <c r="F124" s="2385"/>
      <c r="G124" s="2429"/>
      <c r="H124" s="1502"/>
      <c r="I124" s="653" t="s">
        <v>1147</v>
      </c>
      <c r="J124" s="573"/>
      <c r="K124" s="1502"/>
      <c r="L124" s="216"/>
      <c r="M124" s="343"/>
      <c r="N124" s="336"/>
      <c r="O124" s="1626"/>
      <c r="P124" s="1626"/>
      <c r="AH124" s="1633">
        <v>0</v>
      </c>
    </row>
    <row r="125" s="1637" customFormat="1" ht="0.75" hidden="1" customHeight="1">
      <c r="A125" s="1782"/>
      <c r="B125" s="1782"/>
      <c r="C125" s="371" t="s">
        <v>1155</v>
      </c>
      <c r="D125" s="2464"/>
      <c r="E125" s="2206"/>
      <c r="F125" s="2385"/>
      <c r="G125" s="402"/>
      <c r="H125" s="1502"/>
      <c r="I125" s="653"/>
      <c r="J125" s="573"/>
      <c r="K125" s="1502"/>
      <c r="L125" s="216"/>
      <c r="M125" s="343"/>
      <c r="N125" s="336"/>
      <c r="O125" s="1626"/>
      <c r="P125" s="1626"/>
      <c r="AH125" s="1633">
        <v>0</v>
      </c>
    </row>
    <row r="126" s="1637" customFormat="1" ht="18.75" hidden="1" customHeight="1">
      <c r="A126" s="1782" t="s">
        <v>245</v>
      </c>
      <c r="B126" s="1782" t="s">
        <v>246</v>
      </c>
      <c r="C126" s="371"/>
      <c r="D126" s="2464"/>
      <c r="E126" s="2206"/>
      <c r="F126" s="2385"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r="127" s="1637" customFormat="1" ht="18.75" hidden="1" customHeight="1">
      <c r="A127" s="1782"/>
      <c r="B127" s="1782"/>
      <c r="C127" s="371" t="s">
        <v>1148</v>
      </c>
      <c r="D127" s="2464"/>
      <c r="E127" s="2206"/>
      <c r="F127" s="2385"/>
      <c r="G127" s="2429"/>
      <c r="H127" s="1502"/>
      <c r="I127" s="653" t="s">
        <v>1147</v>
      </c>
      <c r="J127" s="573"/>
      <c r="K127" s="1502"/>
      <c r="L127" s="216"/>
      <c r="M127" s="343"/>
      <c r="N127" s="336"/>
      <c r="O127" s="1626"/>
      <c r="P127" s="1626"/>
      <c r="AH127" s="1633">
        <v>0</v>
      </c>
    </row>
    <row r="128" s="1637" customFormat="1" ht="0.75" hidden="1" customHeight="1">
      <c r="A128" s="1782"/>
      <c r="B128" s="1782"/>
      <c r="C128" s="371" t="s">
        <v>1155</v>
      </c>
      <c r="D128" s="2464"/>
      <c r="E128" s="2206"/>
      <c r="F128" s="2385"/>
      <c r="G128" s="402"/>
      <c r="H128" s="1502"/>
      <c r="I128" s="653"/>
      <c r="J128" s="573"/>
      <c r="K128" s="1502"/>
      <c r="L128" s="216"/>
      <c r="M128" s="343"/>
      <c r="N128" s="336"/>
      <c r="O128" s="1626"/>
      <c r="P128" s="1626"/>
      <c r="AH128" s="1633">
        <v>0</v>
      </c>
    </row>
    <row r="129" s="1637" customFormat="1" ht="18.75" hidden="1" customHeight="1">
      <c r="A129" s="1782" t="s">
        <v>250</v>
      </c>
      <c r="B129" s="1782" t="s">
        <v>251</v>
      </c>
      <c r="C129" s="371"/>
      <c r="D129" s="2464"/>
      <c r="E129" s="2206"/>
      <c r="F129" s="2385" t="str">
        <f>INDEX(PT_DIFFERENTIATION_VTAR,MATCH(A129,PT_DIFFERENTIATION_VTAR_ID,0))</f>
        <v xml:space="preserve">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r="130" s="1637" customFormat="1" ht="18.75" hidden="1" customHeight="1">
      <c r="A130" s="1782"/>
      <c r="B130" s="1782"/>
      <c r="C130" s="371" t="s">
        <v>1148</v>
      </c>
      <c r="D130" s="2464"/>
      <c r="E130" s="2206"/>
      <c r="F130" s="2385"/>
      <c r="G130" s="2429"/>
      <c r="H130" s="1502"/>
      <c r="I130" s="653" t="s">
        <v>1147</v>
      </c>
      <c r="J130" s="573"/>
      <c r="K130" s="1502"/>
      <c r="L130" s="216"/>
      <c r="M130" s="343"/>
      <c r="N130" s="336"/>
      <c r="O130" s="1626"/>
      <c r="P130" s="1626"/>
      <c r="AH130" s="1633">
        <v>0</v>
      </c>
    </row>
    <row r="131" s="1637" customFormat="1" ht="0.75" hidden="1" customHeight="1">
      <c r="A131" s="1782"/>
      <c r="B131" s="1782"/>
      <c r="C131" s="371" t="s">
        <v>1155</v>
      </c>
      <c r="D131" s="2464"/>
      <c r="E131" s="2206"/>
      <c r="F131" s="2385"/>
      <c r="G131" s="402"/>
      <c r="H131" s="1502"/>
      <c r="I131" s="653"/>
      <c r="J131" s="573"/>
      <c r="K131" s="1502"/>
      <c r="L131" s="216"/>
      <c r="M131" s="343"/>
      <c r="N131" s="336"/>
      <c r="O131" s="1626"/>
      <c r="P131" s="1626"/>
      <c r="AH131" s="1633">
        <v>0</v>
      </c>
    </row>
    <row r="132" s="1637" customFormat="1" ht="18.75" hidden="1" customHeight="1">
      <c r="A132" s="1782" t="s">
        <v>255</v>
      </c>
      <c r="B132" s="1782" t="s">
        <v>256</v>
      </c>
      <c r="C132" s="371"/>
      <c r="D132" s="2464"/>
      <c r="E132" s="2206"/>
      <c r="F132" s="2385" t="str">
        <f>INDEX(PT_DIFFERENTIATION_VTAR,MATCH(A132,PT_DIFFERENTIATION_VTAR_ID,0))</f>
        <v xml:space="preserve">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r="133" s="1637" customFormat="1" ht="18.75" hidden="1" customHeight="1">
      <c r="A133" s="1782"/>
      <c r="B133" s="1782"/>
      <c r="C133" s="371" t="s">
        <v>1148</v>
      </c>
      <c r="D133" s="2464"/>
      <c r="E133" s="2206"/>
      <c r="F133" s="2385"/>
      <c r="G133" s="2429"/>
      <c r="H133" s="1502"/>
      <c r="I133" s="653" t="s">
        <v>1147</v>
      </c>
      <c r="J133" s="573"/>
      <c r="K133" s="1502"/>
      <c r="L133" s="216"/>
      <c r="M133" s="343"/>
      <c r="N133" s="336"/>
      <c r="O133" s="1626"/>
      <c r="P133" s="1626"/>
      <c r="AH133" s="1633">
        <v>0</v>
      </c>
    </row>
    <row r="134" s="1637" customFormat="1" ht="0.75" hidden="1" customHeight="1">
      <c r="A134" s="1782"/>
      <c r="B134" s="1782"/>
      <c r="C134" s="371" t="s">
        <v>1155</v>
      </c>
      <c r="D134" s="2464"/>
      <c r="E134" s="2206"/>
      <c r="F134" s="2385"/>
      <c r="G134" s="402"/>
      <c r="H134" s="1502"/>
      <c r="I134" s="653"/>
      <c r="J134" s="573"/>
      <c r="K134" s="1502"/>
      <c r="L134" s="216"/>
      <c r="M134" s="343"/>
      <c r="N134" s="336"/>
      <c r="O134" s="1626"/>
      <c r="P134" s="1626"/>
      <c r="AH134" s="1633">
        <v>0</v>
      </c>
    </row>
    <row r="135" s="1637" customFormat="1" ht="18.75" hidden="1" customHeight="1">
      <c r="A135" s="1782" t="s">
        <v>260</v>
      </c>
      <c r="B135" s="1782" t="s">
        <v>261</v>
      </c>
      <c r="C135" s="371"/>
      <c r="D135" s="2464"/>
      <c r="E135" s="2206"/>
      <c r="F135" s="2385"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r="136" s="1637" customFormat="1" ht="18.75" hidden="1" customHeight="1">
      <c r="A136" s="1782"/>
      <c r="B136" s="1782"/>
      <c r="C136" s="371" t="s">
        <v>1148</v>
      </c>
      <c r="D136" s="2464"/>
      <c r="E136" s="2206"/>
      <c r="F136" s="2385"/>
      <c r="G136" s="2429"/>
      <c r="H136" s="1502"/>
      <c r="I136" s="653" t="s">
        <v>1147</v>
      </c>
      <c r="J136" s="573"/>
      <c r="K136" s="1502"/>
      <c r="L136" s="216"/>
      <c r="M136" s="343"/>
      <c r="N136" s="336"/>
      <c r="O136" s="1626"/>
      <c r="P136" s="1626"/>
      <c r="AH136" s="1633">
        <v>0</v>
      </c>
    </row>
    <row r="137" s="1637" customFormat="1" ht="0.75" hidden="1" customHeight="1">
      <c r="A137" s="1782"/>
      <c r="B137" s="1782"/>
      <c r="C137" s="371" t="s">
        <v>1155</v>
      </c>
      <c r="D137" s="2464"/>
      <c r="E137" s="2206"/>
      <c r="F137" s="2385"/>
      <c r="G137" s="402"/>
      <c r="H137" s="1502"/>
      <c r="I137" s="653"/>
      <c r="J137" s="573"/>
      <c r="K137" s="1502"/>
      <c r="L137" s="216"/>
      <c r="M137" s="343"/>
      <c r="N137" s="336"/>
      <c r="O137" s="1626"/>
      <c r="P137" s="1626"/>
      <c r="AH137" s="1633">
        <v>0</v>
      </c>
    </row>
    <row r="138" s="1637" customFormat="1" ht="18.75" hidden="1" customHeight="1">
      <c r="A138" s="1782" t="s">
        <v>265</v>
      </c>
      <c r="B138" s="1782" t="s">
        <v>266</v>
      </c>
      <c r="C138" s="371"/>
      <c r="D138" s="2464"/>
      <c r="E138" s="2206"/>
      <c r="F138" s="2385" t="str">
        <f>INDEX(PT_DIFFERENTIATION_VTAR,MATCH(A138,PT_DIFFERENTIATION_VTAR_ID,0))</f>
        <v xml:space="preserve">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r="139" s="1637" customFormat="1" ht="18.75" hidden="1" customHeight="1">
      <c r="A139" s="1782"/>
      <c r="B139" s="1782"/>
      <c r="C139" s="371" t="s">
        <v>1148</v>
      </c>
      <c r="D139" s="2464"/>
      <c r="E139" s="2206"/>
      <c r="F139" s="2385"/>
      <c r="G139" s="2429"/>
      <c r="H139" s="1502"/>
      <c r="I139" s="653" t="s">
        <v>1147</v>
      </c>
      <c r="J139" s="573"/>
      <c r="K139" s="1502"/>
      <c r="L139" s="216"/>
      <c r="M139" s="343"/>
      <c r="N139" s="336"/>
      <c r="O139" s="1626"/>
      <c r="P139" s="1626"/>
      <c r="AH139" s="1633">
        <v>0</v>
      </c>
    </row>
    <row r="140" s="1637" customFormat="1" ht="0.75" hidden="1" customHeight="1">
      <c r="A140" s="1782"/>
      <c r="B140" s="1782"/>
      <c r="C140" s="371" t="s">
        <v>1155</v>
      </c>
      <c r="D140" s="2464"/>
      <c r="E140" s="2206"/>
      <c r="F140" s="2385"/>
      <c r="G140" s="402"/>
      <c r="H140" s="1502"/>
      <c r="I140" s="653"/>
      <c r="J140" s="573"/>
      <c r="K140" s="1502"/>
      <c r="L140" s="216"/>
      <c r="M140" s="343"/>
      <c r="N140" s="336"/>
      <c r="O140" s="1626"/>
      <c r="P140" s="1626"/>
      <c r="AH140" s="1633">
        <v>0</v>
      </c>
    </row>
    <row r="141" s="1637" customFormat="1" ht="18.75" hidden="1" customHeight="1">
      <c r="A141" s="1782" t="s">
        <v>270</v>
      </c>
      <c r="B141" s="1782" t="s">
        <v>271</v>
      </c>
      <c r="C141" s="371"/>
      <c r="D141" s="2464"/>
      <c r="E141" s="2206"/>
      <c r="F141" s="2385" t="str">
        <f>INDEX(PT_DIFFERENTIATION_VTAR,MATCH(A141,PT_DIFFERENTIATION_VTAR_ID,0))</f>
        <v xml:space="preserve">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r="142" s="1637" customFormat="1" ht="18.75" hidden="1" customHeight="1">
      <c r="A142" s="1782"/>
      <c r="B142" s="1782"/>
      <c r="C142" s="371" t="s">
        <v>1148</v>
      </c>
      <c r="D142" s="2464"/>
      <c r="E142" s="2206"/>
      <c r="F142" s="2385"/>
      <c r="G142" s="2429"/>
      <c r="H142" s="1502"/>
      <c r="I142" s="653" t="s">
        <v>1147</v>
      </c>
      <c r="J142" s="573"/>
      <c r="K142" s="1502"/>
      <c r="L142" s="216"/>
      <c r="M142" s="343"/>
      <c r="N142" s="336"/>
      <c r="O142" s="1626"/>
      <c r="P142" s="1626"/>
      <c r="AH142" s="1633">
        <v>0</v>
      </c>
    </row>
    <row r="143" s="1637" customFormat="1" ht="0.75" hidden="1" customHeight="1">
      <c r="A143" s="1782"/>
      <c r="B143" s="1782"/>
      <c r="C143" s="371" t="s">
        <v>1155</v>
      </c>
      <c r="D143" s="2464"/>
      <c r="E143" s="2206"/>
      <c r="F143" s="2385"/>
      <c r="G143" s="402"/>
      <c r="H143" s="1502"/>
      <c r="I143" s="653"/>
      <c r="J143" s="573"/>
      <c r="K143" s="1502"/>
      <c r="L143" s="216"/>
      <c r="M143" s="343"/>
      <c r="N143" s="336"/>
      <c r="O143" s="1626"/>
      <c r="P143" s="1626"/>
      <c r="AH143" s="1633">
        <v>0</v>
      </c>
    </row>
    <row r="144" s="1637" customFormat="1" ht="18.75" hidden="1" customHeight="1">
      <c r="A144" s="1782" t="s">
        <v>275</v>
      </c>
      <c r="B144" s="1782" t="s">
        <v>276</v>
      </c>
      <c r="C144" s="371"/>
      <c r="D144" s="2464"/>
      <c r="E144" s="2206"/>
      <c r="F144" s="2385" t="str">
        <f>INDEX(PT_DIFFERENTIATION_VTAR,MATCH(A144,PT_DIFFERENTIATION_VTAR_ID,0))</f>
        <v xml:space="preserve">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r="145" s="1637" customFormat="1" ht="18.75" hidden="1" customHeight="1">
      <c r="A145" s="1782"/>
      <c r="B145" s="1782"/>
      <c r="C145" s="371" t="s">
        <v>1148</v>
      </c>
      <c r="D145" s="2464"/>
      <c r="E145" s="2206"/>
      <c r="F145" s="2385"/>
      <c r="G145" s="2429"/>
      <c r="H145" s="1502"/>
      <c r="I145" s="653" t="s">
        <v>1147</v>
      </c>
      <c r="J145" s="573"/>
      <c r="K145" s="1502"/>
      <c r="L145" s="216"/>
      <c r="M145" s="343"/>
      <c r="N145" s="336"/>
      <c r="O145" s="1626"/>
      <c r="P145" s="1626"/>
      <c r="AH145" s="1633">
        <v>0</v>
      </c>
    </row>
    <row r="146" s="1637" customFormat="1" ht="1.05" customHeight="1">
      <c r="A146" s="1782"/>
      <c r="B146" s="1782"/>
      <c r="C146" s="371" t="s">
        <v>1155</v>
      </c>
      <c r="D146" s="2464"/>
      <c r="E146" s="2206"/>
      <c r="F146" s="2385"/>
      <c r="G146" s="402"/>
      <c r="H146" s="1502"/>
      <c r="I146" s="653"/>
      <c r="J146" s="573"/>
      <c r="K146" s="1502"/>
      <c r="L146" s="216"/>
      <c r="M146" s="343"/>
      <c r="N146" s="336"/>
      <c r="O146" s="1626"/>
      <c r="P146" s="1626"/>
      <c r="AH146" s="1633">
        <v>1</v>
      </c>
    </row>
    <row r="147" ht="19.949999999999999" customHeight="1">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полезного отпуска тепловой энергии (теплоносителя)</v>
      </c>
      <c r="G147" s="2462"/>
      <c r="H147" s="2462"/>
      <c r="I147" s="2462"/>
      <c r="J147" s="2462"/>
      <c r="K147" s="2462"/>
      <c r="L147" s="2462"/>
      <c r="M147" s="299"/>
      <c r="N147" s="336"/>
      <c r="AH147" s="376">
        <v>19</v>
      </c>
    </row>
    <row r="148" s="1637" customFormat="1" ht="60.75" hidden="1" customHeight="1">
      <c r="A148" s="1782" t="s">
        <v>157</v>
      </c>
      <c r="B148" s="1782" t="s">
        <v>158</v>
      </c>
      <c r="C148" s="371"/>
      <c r="D148" s="2464"/>
      <c r="E148" s="2206"/>
      <c r="F148" s="2385"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r="149" s="1637" customFormat="1" ht="18.75" hidden="1" customHeight="1">
      <c r="A149" s="1782"/>
      <c r="B149" s="1782"/>
      <c r="C149" s="371" t="s">
        <v>1148</v>
      </c>
      <c r="D149" s="2464"/>
      <c r="E149" s="2206"/>
      <c r="F149" s="2385"/>
      <c r="G149" s="2429"/>
      <c r="H149" s="1502"/>
      <c r="I149" s="653" t="s">
        <v>1147</v>
      </c>
      <c r="J149" s="573"/>
      <c r="K149" s="1502"/>
      <c r="L149" s="216"/>
      <c r="M149" s="2172"/>
      <c r="N149" s="336"/>
      <c r="O149" s="1626"/>
      <c r="P149" s="1626"/>
      <c r="AH149" s="1633">
        <v>0</v>
      </c>
    </row>
    <row r="150" s="1637" customFormat="1" ht="0.75" hidden="1" customHeight="1">
      <c r="A150" s="1782"/>
      <c r="B150" s="1782"/>
      <c r="C150" s="371" t="s">
        <v>1155</v>
      </c>
      <c r="D150" s="2464"/>
      <c r="E150" s="2206"/>
      <c r="F150" s="2385"/>
      <c r="G150" s="402"/>
      <c r="H150" s="1502"/>
      <c r="I150" s="653"/>
      <c r="J150" s="573"/>
      <c r="K150" s="1502"/>
      <c r="L150" s="216"/>
      <c r="M150" s="2172"/>
      <c r="N150" s="336"/>
      <c r="O150" s="1626"/>
      <c r="P150" s="1626"/>
      <c r="AH150" s="1633">
        <v>0</v>
      </c>
    </row>
    <row r="151" s="1637" customFormat="1" ht="45" hidden="1" customHeight="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r="152" s="1637" customFormat="1" ht="18.75" hidden="1" customHeight="1">
      <c r="A152" s="1782"/>
      <c r="B152" s="1782"/>
      <c r="C152" s="371" t="s">
        <v>1148</v>
      </c>
      <c r="D152" s="2464"/>
      <c r="E152" s="2206"/>
      <c r="F152" s="2385"/>
      <c r="G152" s="2429"/>
      <c r="H152" s="1502"/>
      <c r="I152" s="653" t="s">
        <v>1147</v>
      </c>
      <c r="J152" s="573"/>
      <c r="K152" s="1502"/>
      <c r="L152" s="216"/>
      <c r="M152" s="1863"/>
      <c r="N152" s="336"/>
      <c r="O152" s="1626"/>
      <c r="P152" s="1626"/>
      <c r="AH152" s="1633">
        <v>0</v>
      </c>
    </row>
    <row r="153" s="1637" customFormat="1" ht="0.75" hidden="1" customHeight="1">
      <c r="A153" s="1782"/>
      <c r="B153" s="1782"/>
      <c r="C153" s="371" t="s">
        <v>1155</v>
      </c>
      <c r="D153" s="2464"/>
      <c r="E153" s="2206"/>
      <c r="F153" s="2385"/>
      <c r="G153" s="402"/>
      <c r="H153" s="1502"/>
      <c r="I153" s="653"/>
      <c r="J153" s="573"/>
      <c r="K153" s="1502"/>
      <c r="L153" s="216"/>
      <c r="M153" s="343"/>
      <c r="N153" s="336"/>
      <c r="O153" s="1626"/>
      <c r="P153" s="1626"/>
      <c r="AH153" s="1633">
        <v>0</v>
      </c>
    </row>
    <row r="154" s="1637" customFormat="1" ht="45" hidden="1" customHeight="1">
      <c r="A154" s="1782" t="s">
        <v>169</v>
      </c>
      <c r="B154" s="1782" t="s">
        <v>170</v>
      </c>
      <c r="C154" s="371"/>
      <c r="D154" s="2464"/>
      <c r="E154" s="2206"/>
      <c r="F154" s="2385"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r="155" s="1637" customFormat="1" ht="18.75" hidden="1" customHeight="1">
      <c r="A155" s="1782"/>
      <c r="B155" s="1782"/>
      <c r="C155" s="371" t="s">
        <v>1148</v>
      </c>
      <c r="D155" s="2464"/>
      <c r="E155" s="2206"/>
      <c r="F155" s="2385"/>
      <c r="G155" s="2429"/>
      <c r="H155" s="1502"/>
      <c r="I155" s="653" t="s">
        <v>1147</v>
      </c>
      <c r="J155" s="573"/>
      <c r="K155" s="1502"/>
      <c r="L155" s="216"/>
      <c r="M155" s="343"/>
      <c r="N155" s="336"/>
      <c r="O155" s="1626"/>
      <c r="P155" s="1626"/>
      <c r="AH155" s="1633">
        <v>0</v>
      </c>
    </row>
    <row r="156" s="1637" customFormat="1" ht="0.75" hidden="1" customHeight="1">
      <c r="A156" s="1782"/>
      <c r="B156" s="1782"/>
      <c r="C156" s="371" t="s">
        <v>1155</v>
      </c>
      <c r="D156" s="2464"/>
      <c r="E156" s="2206"/>
      <c r="F156" s="2385"/>
      <c r="G156" s="402"/>
      <c r="H156" s="1502"/>
      <c r="I156" s="653"/>
      <c r="J156" s="573"/>
      <c r="K156" s="1502"/>
      <c r="L156" s="216"/>
      <c r="M156" s="343"/>
      <c r="N156" s="336"/>
      <c r="O156" s="1626"/>
      <c r="P156" s="1626"/>
      <c r="AH156" s="1633">
        <v>0</v>
      </c>
    </row>
    <row r="157" s="1637" customFormat="1" ht="45" hidden="1" customHeight="1">
      <c r="A157" s="1782" t="s">
        <v>175</v>
      </c>
      <c r="B157" s="1782" t="s">
        <v>176</v>
      </c>
      <c r="C157" s="371"/>
      <c r="D157" s="2464"/>
      <c r="E157" s="2206"/>
      <c r="F157" s="2385"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r="158" s="1637" customFormat="1" ht="18.75" hidden="1" customHeight="1">
      <c r="A158" s="1782"/>
      <c r="B158" s="1782"/>
      <c r="C158" s="371" t="s">
        <v>1148</v>
      </c>
      <c r="D158" s="2464"/>
      <c r="E158" s="2206"/>
      <c r="F158" s="2385"/>
      <c r="G158" s="2429"/>
      <c r="H158" s="1502"/>
      <c r="I158" s="653" t="s">
        <v>1147</v>
      </c>
      <c r="J158" s="573"/>
      <c r="K158" s="1502"/>
      <c r="L158" s="216"/>
      <c r="M158" s="343"/>
      <c r="N158" s="336"/>
      <c r="O158" s="1626"/>
      <c r="P158" s="1626"/>
      <c r="AH158" s="1633">
        <v>0</v>
      </c>
    </row>
    <row r="159" s="1637" customFormat="1" ht="0.75" hidden="1" customHeight="1">
      <c r="A159" s="1782"/>
      <c r="B159" s="1782"/>
      <c r="C159" s="371" t="s">
        <v>1155</v>
      </c>
      <c r="D159" s="2464"/>
      <c r="E159" s="2206"/>
      <c r="F159" s="2385"/>
      <c r="G159" s="402"/>
      <c r="H159" s="1502"/>
      <c r="I159" s="653"/>
      <c r="J159" s="573"/>
      <c r="K159" s="1502"/>
      <c r="L159" s="216"/>
      <c r="M159" s="343"/>
      <c r="N159" s="336"/>
      <c r="O159" s="1626"/>
      <c r="P159" s="1626"/>
      <c r="AH159" s="1633">
        <v>0</v>
      </c>
    </row>
    <row r="160" s="1637" customFormat="1" ht="18.75" hidden="1" customHeight="1">
      <c r="A160" s="1782" t="s">
        <v>181</v>
      </c>
      <c r="B160" s="1782" t="s">
        <v>182</v>
      </c>
      <c r="C160" s="371"/>
      <c r="D160" s="2464"/>
      <c r="E160" s="2206"/>
      <c r="F160" s="2385" t="str">
        <f>INDEX(PT_DIFFERENTIATION_VTAR,MATCH(A160,PT_DIFFERENTIATION_VTAR_ID,0))</f>
        <v xml:space="preserve">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r="161" s="1637" customFormat="1" ht="18.75" hidden="1" customHeight="1">
      <c r="A161" s="1782"/>
      <c r="B161" s="1782"/>
      <c r="C161" s="371" t="s">
        <v>1148</v>
      </c>
      <c r="D161" s="2464"/>
      <c r="E161" s="2206"/>
      <c r="F161" s="2385"/>
      <c r="G161" s="2429"/>
      <c r="H161" s="1502"/>
      <c r="I161" s="653" t="s">
        <v>1147</v>
      </c>
      <c r="J161" s="573"/>
      <c r="K161" s="1502"/>
      <c r="L161" s="216"/>
      <c r="M161" s="343"/>
      <c r="N161" s="336"/>
      <c r="O161" s="1626"/>
      <c r="P161" s="1626"/>
      <c r="AH161" s="1633">
        <v>0</v>
      </c>
    </row>
    <row r="162" s="1637" customFormat="1" ht="0.75" hidden="1" customHeight="1">
      <c r="A162" s="1782"/>
      <c r="B162" s="1782"/>
      <c r="C162" s="371" t="s">
        <v>1155</v>
      </c>
      <c r="D162" s="2464"/>
      <c r="E162" s="2206"/>
      <c r="F162" s="2385"/>
      <c r="G162" s="402"/>
      <c r="H162" s="1502"/>
      <c r="I162" s="653"/>
      <c r="J162" s="573"/>
      <c r="K162" s="1502"/>
      <c r="L162" s="216"/>
      <c r="M162" s="343"/>
      <c r="N162" s="336"/>
      <c r="O162" s="1626"/>
      <c r="P162" s="1626"/>
      <c r="AH162" s="1633">
        <v>0</v>
      </c>
    </row>
    <row r="163" s="1637" customFormat="1" ht="18.75" hidden="1" customHeight="1">
      <c r="A163" s="1782" t="s">
        <v>187</v>
      </c>
      <c r="B163" s="1782" t="s">
        <v>188</v>
      </c>
      <c r="C163" s="371"/>
      <c r="D163" s="2464"/>
      <c r="E163" s="2206"/>
      <c r="F163" s="2385" t="str">
        <f>INDEX(PT_DIFFERENTIATION_VTAR,MATCH(A163,PT_DIFFERENTIATION_VTAR_ID,0))</f>
        <v xml:space="preserve">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r="164" s="1637" customFormat="1" ht="18.75" hidden="1" customHeight="1">
      <c r="A164" s="1782"/>
      <c r="B164" s="1782"/>
      <c r="C164" s="371" t="s">
        <v>1148</v>
      </c>
      <c r="D164" s="2464"/>
      <c r="E164" s="2206"/>
      <c r="F164" s="2385"/>
      <c r="G164" s="2429"/>
      <c r="H164" s="1502"/>
      <c r="I164" s="653" t="s">
        <v>1147</v>
      </c>
      <c r="J164" s="573"/>
      <c r="K164" s="1502"/>
      <c r="L164" s="216"/>
      <c r="M164" s="343"/>
      <c r="N164" s="336"/>
      <c r="O164" s="1626"/>
      <c r="P164" s="1626"/>
      <c r="AH164" s="1633">
        <v>0</v>
      </c>
    </row>
    <row r="165" s="1637" customFormat="1" ht="0.75" hidden="1" customHeight="1">
      <c r="A165" s="1782"/>
      <c r="B165" s="1782"/>
      <c r="C165" s="371" t="s">
        <v>1155</v>
      </c>
      <c r="D165" s="2464"/>
      <c r="E165" s="2206"/>
      <c r="F165" s="2385"/>
      <c r="G165" s="402"/>
      <c r="H165" s="1502"/>
      <c r="I165" s="653"/>
      <c r="J165" s="573"/>
      <c r="K165" s="1502"/>
      <c r="L165" s="216"/>
      <c r="M165" s="343"/>
      <c r="N165" s="336"/>
      <c r="O165" s="1626"/>
      <c r="P165" s="1626"/>
      <c r="AH165" s="1633">
        <v>0</v>
      </c>
    </row>
    <row r="166" s="1637" customFormat="1" ht="18.75" hidden="1" customHeight="1">
      <c r="A166" s="1782" t="s">
        <v>193</v>
      </c>
      <c r="B166" s="1782" t="s">
        <v>194</v>
      </c>
      <c r="C166" s="371"/>
      <c r="D166" s="2464"/>
      <c r="E166" s="2206"/>
      <c r="F166" s="2385"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r="167" s="1637" customFormat="1" ht="18.75" hidden="1" customHeight="1">
      <c r="A167" s="1782"/>
      <c r="B167" s="1782"/>
      <c r="C167" s="371" t="s">
        <v>1148</v>
      </c>
      <c r="D167" s="2464"/>
      <c r="E167" s="2206"/>
      <c r="F167" s="2385"/>
      <c r="G167" s="2429"/>
      <c r="H167" s="1502"/>
      <c r="I167" s="653" t="s">
        <v>1147</v>
      </c>
      <c r="J167" s="573"/>
      <c r="K167" s="1502"/>
      <c r="L167" s="216"/>
      <c r="M167" s="343"/>
      <c r="N167" s="336"/>
      <c r="O167" s="1626"/>
      <c r="P167" s="1626"/>
      <c r="AH167" s="1633">
        <v>0</v>
      </c>
    </row>
    <row r="168" s="1637" customFormat="1" ht="0.75" hidden="1" customHeight="1">
      <c r="A168" s="1782"/>
      <c r="B168" s="1782"/>
      <c r="C168" s="371" t="s">
        <v>1155</v>
      </c>
      <c r="D168" s="2464"/>
      <c r="E168" s="2206"/>
      <c r="F168" s="2385"/>
      <c r="G168" s="402"/>
      <c r="H168" s="1502"/>
      <c r="I168" s="653"/>
      <c r="J168" s="573"/>
      <c r="K168" s="1502"/>
      <c r="L168" s="216"/>
      <c r="M168" s="343"/>
      <c r="N168" s="336"/>
      <c r="O168" s="1626"/>
      <c r="P168" s="1626"/>
      <c r="AH168" s="1633">
        <v>0</v>
      </c>
    </row>
    <row r="169" s="1637" customFormat="1" ht="18.75" hidden="1" customHeight="1">
      <c r="A169" s="1782" t="s">
        <v>199</v>
      </c>
      <c r="B169" s="1782" t="s">
        <v>200</v>
      </c>
      <c r="C169" s="371"/>
      <c r="D169" s="2464"/>
      <c r="E169" s="2206"/>
      <c r="F169" s="2385" t="str">
        <f>INDEX(PT_DIFFERENTIATION_VTAR,MATCH(A169,PT_DIFFERENTIATION_VTAR_ID,0))</f>
        <v xml:space="preserve">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r="170" s="1637" customFormat="1" ht="18.75" hidden="1" customHeight="1">
      <c r="A170" s="1782"/>
      <c r="B170" s="1782"/>
      <c r="C170" s="371" t="s">
        <v>1148</v>
      </c>
      <c r="D170" s="2464"/>
      <c r="E170" s="2206"/>
      <c r="F170" s="2385"/>
      <c r="G170" s="2429"/>
      <c r="H170" s="1502"/>
      <c r="I170" s="653" t="s">
        <v>1147</v>
      </c>
      <c r="J170" s="573"/>
      <c r="K170" s="1502"/>
      <c r="L170" s="216"/>
      <c r="M170" s="343"/>
      <c r="N170" s="336"/>
      <c r="O170" s="1626"/>
      <c r="P170" s="1626"/>
      <c r="AH170" s="1633">
        <v>0</v>
      </c>
    </row>
    <row r="171" s="1637" customFormat="1" ht="0.75" hidden="1" customHeight="1">
      <c r="A171" s="1782"/>
      <c r="B171" s="1782"/>
      <c r="C171" s="371" t="s">
        <v>1155</v>
      </c>
      <c r="D171" s="2464"/>
      <c r="E171" s="2206"/>
      <c r="F171" s="2385"/>
      <c r="G171" s="402"/>
      <c r="H171" s="1502"/>
      <c r="I171" s="653"/>
      <c r="J171" s="573"/>
      <c r="K171" s="1502"/>
      <c r="L171" s="216"/>
      <c r="M171" s="343"/>
      <c r="N171" s="336"/>
      <c r="O171" s="1626"/>
      <c r="P171" s="1626"/>
      <c r="AH171" s="1633">
        <v>0</v>
      </c>
    </row>
    <row r="172" s="1637" customFormat="1" ht="18.75" hidden="1" customHeight="1">
      <c r="A172" s="1782" t="s">
        <v>205</v>
      </c>
      <c r="B172" s="1782" t="s">
        <v>206</v>
      </c>
      <c r="C172" s="371"/>
      <c r="D172" s="2464"/>
      <c r="E172" s="2206"/>
      <c r="F172" s="2385" t="str">
        <f>INDEX(PT_DIFFERENTIATION_VTAR,MATCH(A172,PT_DIFFERENTIATION_VTAR_ID,0))</f>
        <v xml:space="preserve">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r="173" s="1637" customFormat="1" ht="18.75" hidden="1" customHeight="1">
      <c r="A173" s="1782"/>
      <c r="B173" s="1782"/>
      <c r="C173" s="371" t="s">
        <v>1148</v>
      </c>
      <c r="D173" s="2464"/>
      <c r="E173" s="2206"/>
      <c r="F173" s="2385"/>
      <c r="G173" s="2429"/>
      <c r="H173" s="1502"/>
      <c r="I173" s="653" t="s">
        <v>1147</v>
      </c>
      <c r="J173" s="573"/>
      <c r="K173" s="1502"/>
      <c r="L173" s="216"/>
      <c r="M173" s="343"/>
      <c r="N173" s="336"/>
      <c r="O173" s="1626"/>
      <c r="P173" s="1626"/>
      <c r="AH173" s="1633">
        <v>0</v>
      </c>
    </row>
    <row r="174" s="1637" customFormat="1" ht="0.75" hidden="1" customHeight="1">
      <c r="A174" s="1782"/>
      <c r="B174" s="1782"/>
      <c r="C174" s="371" t="s">
        <v>1155</v>
      </c>
      <c r="D174" s="2464"/>
      <c r="E174" s="2206"/>
      <c r="F174" s="2385"/>
      <c r="G174" s="402"/>
      <c r="H174" s="1502"/>
      <c r="I174" s="653"/>
      <c r="J174" s="573"/>
      <c r="K174" s="1502"/>
      <c r="L174" s="216"/>
      <c r="M174" s="343"/>
      <c r="N174" s="336"/>
      <c r="O174" s="1626"/>
      <c r="P174" s="1626"/>
      <c r="AH174" s="1633">
        <v>0</v>
      </c>
    </row>
    <row r="175" s="1637" customFormat="1" ht="18.75" hidden="1" customHeight="1">
      <c r="A175" s="1782" t="s">
        <v>225</v>
      </c>
      <c r="B175" s="1782" t="s">
        <v>226</v>
      </c>
      <c r="C175" s="371"/>
      <c r="D175" s="2464"/>
      <c r="E175" s="2206"/>
      <c r="F175" s="2385" t="str">
        <f>INDEX(PT_DIFFERENTIATION_VTAR,MATCH(A175,PT_DIFFERENTIATION_VTAR_ID,0))</f>
        <v xml:space="preserve">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r="176" s="1637" customFormat="1" ht="18.75" hidden="1" customHeight="1">
      <c r="A176" s="1782"/>
      <c r="B176" s="1782"/>
      <c r="C176" s="371" t="s">
        <v>1148</v>
      </c>
      <c r="D176" s="2464"/>
      <c r="E176" s="2206"/>
      <c r="F176" s="2385"/>
      <c r="G176" s="2429"/>
      <c r="H176" s="1502"/>
      <c r="I176" s="653" t="s">
        <v>1147</v>
      </c>
      <c r="J176" s="573"/>
      <c r="K176" s="1502"/>
      <c r="L176" s="216"/>
      <c r="M176" s="343"/>
      <c r="N176" s="336"/>
      <c r="O176" s="1626"/>
      <c r="P176" s="1626"/>
      <c r="AH176" s="1633">
        <v>0</v>
      </c>
    </row>
    <row r="177" s="1637" customFormat="1" ht="0.75" hidden="1" customHeight="1">
      <c r="A177" s="1782"/>
      <c r="B177" s="1782"/>
      <c r="C177" s="371" t="s">
        <v>1155</v>
      </c>
      <c r="D177" s="2464"/>
      <c r="E177" s="2206"/>
      <c r="F177" s="2385"/>
      <c r="G177" s="402"/>
      <c r="H177" s="1502"/>
      <c r="I177" s="653"/>
      <c r="J177" s="573"/>
      <c r="K177" s="1502"/>
      <c r="L177" s="216"/>
      <c r="M177" s="343"/>
      <c r="N177" s="336"/>
      <c r="O177" s="1626"/>
      <c r="P177" s="1626"/>
      <c r="AH177" s="1633">
        <v>0</v>
      </c>
    </row>
    <row r="178" s="1637" customFormat="1" ht="18.75" hidden="1" customHeight="1">
      <c r="A178" s="1782" t="s">
        <v>230</v>
      </c>
      <c r="B178" s="1782" t="s">
        <v>231</v>
      </c>
      <c r="C178" s="371"/>
      <c r="D178" s="2464"/>
      <c r="E178" s="2206"/>
      <c r="F178" s="2385" t="str">
        <f>INDEX(PT_DIFFERENTIATION_VTAR,MATCH(A178,PT_DIFFERENTIATION_VTAR_ID,0))</f>
        <v xml:space="preserve">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r="179" s="1637" customFormat="1" ht="18.75" hidden="1" customHeight="1">
      <c r="A179" s="1782"/>
      <c r="B179" s="1782"/>
      <c r="C179" s="371" t="s">
        <v>1148</v>
      </c>
      <c r="D179" s="2464"/>
      <c r="E179" s="2206"/>
      <c r="F179" s="2385"/>
      <c r="G179" s="2429"/>
      <c r="H179" s="1502"/>
      <c r="I179" s="653" t="s">
        <v>1147</v>
      </c>
      <c r="J179" s="573"/>
      <c r="K179" s="1502"/>
      <c r="L179" s="216"/>
      <c r="M179" s="343"/>
      <c r="N179" s="336"/>
      <c r="O179" s="1626"/>
      <c r="P179" s="1626"/>
      <c r="AH179" s="1633">
        <v>0</v>
      </c>
    </row>
    <row r="180" s="1637" customFormat="1" ht="0.75" hidden="1" customHeight="1">
      <c r="A180" s="1782"/>
      <c r="B180" s="1782"/>
      <c r="C180" s="371" t="s">
        <v>1155</v>
      </c>
      <c r="D180" s="2464"/>
      <c r="E180" s="2206"/>
      <c r="F180" s="2385"/>
      <c r="G180" s="402"/>
      <c r="H180" s="1502"/>
      <c r="I180" s="653"/>
      <c r="J180" s="573"/>
      <c r="K180" s="1502"/>
      <c r="L180" s="216"/>
      <c r="M180" s="343"/>
      <c r="N180" s="336"/>
      <c r="O180" s="1626"/>
      <c r="P180" s="1626"/>
      <c r="AH180" s="1633">
        <v>0</v>
      </c>
    </row>
    <row r="181" s="1637" customFormat="1" ht="18.75" hidden="1" customHeight="1">
      <c r="A181" s="1782" t="s">
        <v>235</v>
      </c>
      <c r="B181" s="1782" t="s">
        <v>236</v>
      </c>
      <c r="C181" s="371"/>
      <c r="D181" s="2464"/>
      <c r="E181" s="2206"/>
      <c r="F181" s="2385" t="str">
        <f>INDEX(PT_DIFFERENTIATION_VTAR,MATCH(A181,PT_DIFFERENTIATION_VTAR_ID,0))</f>
        <v xml:space="preserve">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r="182" s="1637" customFormat="1" ht="18.75" hidden="1" customHeight="1">
      <c r="A182" s="1782"/>
      <c r="B182" s="1782"/>
      <c r="C182" s="371" t="s">
        <v>1148</v>
      </c>
      <c r="D182" s="2464"/>
      <c r="E182" s="2206"/>
      <c r="F182" s="2385"/>
      <c r="G182" s="2429"/>
      <c r="H182" s="1502"/>
      <c r="I182" s="653" t="s">
        <v>1147</v>
      </c>
      <c r="J182" s="573"/>
      <c r="K182" s="1502"/>
      <c r="L182" s="216"/>
      <c r="M182" s="343"/>
      <c r="N182" s="336"/>
      <c r="O182" s="1626"/>
      <c r="P182" s="1626"/>
      <c r="AH182" s="1633">
        <v>0</v>
      </c>
    </row>
    <row r="183" s="1637" customFormat="1" ht="0.75" hidden="1" customHeight="1">
      <c r="A183" s="1782"/>
      <c r="B183" s="1782"/>
      <c r="C183" s="371" t="s">
        <v>1155</v>
      </c>
      <c r="D183" s="2464"/>
      <c r="E183" s="2206"/>
      <c r="F183" s="2385"/>
      <c r="G183" s="402"/>
      <c r="H183" s="1502"/>
      <c r="I183" s="653"/>
      <c r="J183" s="573"/>
      <c r="K183" s="1502"/>
      <c r="L183" s="216"/>
      <c r="M183" s="343"/>
      <c r="N183" s="336"/>
      <c r="O183" s="1626"/>
      <c r="P183" s="1626"/>
      <c r="AH183" s="1633">
        <v>0</v>
      </c>
    </row>
    <row r="184" s="1637" customFormat="1" ht="18.75" hidden="1" customHeight="1">
      <c r="A184" s="1782" t="s">
        <v>240</v>
      </c>
      <c r="B184" s="1782" t="s">
        <v>241</v>
      </c>
      <c r="C184" s="371"/>
      <c r="D184" s="2464"/>
      <c r="E184" s="2206"/>
      <c r="F184" s="2385" t="str">
        <f>INDEX(PT_DIFFERENTIATION_VTAR,MATCH(A184,PT_DIFFERENTIATION_VTAR_ID,0))</f>
        <v xml:space="preserve">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r="185" s="1637" customFormat="1" ht="18.75" hidden="1" customHeight="1">
      <c r="A185" s="1782"/>
      <c r="B185" s="1782"/>
      <c r="C185" s="371" t="s">
        <v>1148</v>
      </c>
      <c r="D185" s="2464"/>
      <c r="E185" s="2206"/>
      <c r="F185" s="2385"/>
      <c r="G185" s="2429"/>
      <c r="H185" s="1502"/>
      <c r="I185" s="653" t="s">
        <v>1147</v>
      </c>
      <c r="J185" s="573"/>
      <c r="K185" s="1502"/>
      <c r="L185" s="216"/>
      <c r="M185" s="343"/>
      <c r="N185" s="336"/>
      <c r="O185" s="1626"/>
      <c r="P185" s="1626"/>
      <c r="AH185" s="1633">
        <v>0</v>
      </c>
    </row>
    <row r="186" s="1637" customFormat="1" ht="0.75" hidden="1" customHeight="1">
      <c r="A186" s="1782"/>
      <c r="B186" s="1782"/>
      <c r="C186" s="371" t="s">
        <v>1155</v>
      </c>
      <c r="D186" s="2464"/>
      <c r="E186" s="2206"/>
      <c r="F186" s="2385"/>
      <c r="G186" s="402"/>
      <c r="H186" s="1502"/>
      <c r="I186" s="653"/>
      <c r="J186" s="573"/>
      <c r="K186" s="1502"/>
      <c r="L186" s="216"/>
      <c r="M186" s="343"/>
      <c r="N186" s="336"/>
      <c r="O186" s="1626"/>
      <c r="P186" s="1626"/>
      <c r="AH186" s="1633">
        <v>0</v>
      </c>
    </row>
    <row r="187" s="1637" customFormat="1" ht="18.75" hidden="1" customHeight="1">
      <c r="A187" s="1782" t="s">
        <v>245</v>
      </c>
      <c r="B187" s="1782" t="s">
        <v>246</v>
      </c>
      <c r="C187" s="371"/>
      <c r="D187" s="2464"/>
      <c r="E187" s="2206"/>
      <c r="F187" s="2385"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r="188" s="1637" customFormat="1" ht="18.75" hidden="1" customHeight="1">
      <c r="A188" s="1782"/>
      <c r="B188" s="1782"/>
      <c r="C188" s="371" t="s">
        <v>1148</v>
      </c>
      <c r="D188" s="2464"/>
      <c r="E188" s="2206"/>
      <c r="F188" s="2385"/>
      <c r="G188" s="2429"/>
      <c r="H188" s="1502"/>
      <c r="I188" s="653" t="s">
        <v>1147</v>
      </c>
      <c r="J188" s="573"/>
      <c r="K188" s="1502"/>
      <c r="L188" s="216"/>
      <c r="M188" s="343"/>
      <c r="N188" s="336"/>
      <c r="O188" s="1626"/>
      <c r="P188" s="1626"/>
      <c r="AH188" s="1633">
        <v>0</v>
      </c>
    </row>
    <row r="189" s="1637" customFormat="1" ht="0.75" hidden="1" customHeight="1">
      <c r="A189" s="1782"/>
      <c r="B189" s="1782"/>
      <c r="C189" s="371" t="s">
        <v>1155</v>
      </c>
      <c r="D189" s="2464"/>
      <c r="E189" s="2206"/>
      <c r="F189" s="2385"/>
      <c r="G189" s="402"/>
      <c r="H189" s="1502"/>
      <c r="I189" s="653"/>
      <c r="J189" s="573"/>
      <c r="K189" s="1502"/>
      <c r="L189" s="216"/>
      <c r="M189" s="343"/>
      <c r="N189" s="336"/>
      <c r="O189" s="1626"/>
      <c r="P189" s="1626"/>
      <c r="AH189" s="1633">
        <v>0</v>
      </c>
    </row>
    <row r="190" s="1637" customFormat="1" ht="18.75" hidden="1" customHeight="1">
      <c r="A190" s="1782" t="s">
        <v>250</v>
      </c>
      <c r="B190" s="1782" t="s">
        <v>251</v>
      </c>
      <c r="C190" s="371"/>
      <c r="D190" s="2464"/>
      <c r="E190" s="2206"/>
      <c r="F190" s="2385" t="str">
        <f>INDEX(PT_DIFFERENTIATION_VTAR,MATCH(A190,PT_DIFFERENTIATION_VTAR_ID,0))</f>
        <v xml:space="preserve">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r="191" s="1637" customFormat="1" ht="18.75" hidden="1" customHeight="1">
      <c r="A191" s="1782"/>
      <c r="B191" s="1782"/>
      <c r="C191" s="371" t="s">
        <v>1148</v>
      </c>
      <c r="D191" s="2464"/>
      <c r="E191" s="2206"/>
      <c r="F191" s="2385"/>
      <c r="G191" s="2429"/>
      <c r="H191" s="1502"/>
      <c r="I191" s="653" t="s">
        <v>1147</v>
      </c>
      <c r="J191" s="573"/>
      <c r="K191" s="1502"/>
      <c r="L191" s="216"/>
      <c r="M191" s="343"/>
      <c r="N191" s="336"/>
      <c r="O191" s="1626"/>
      <c r="P191" s="1626"/>
      <c r="AH191" s="1633">
        <v>0</v>
      </c>
    </row>
    <row r="192" s="1637" customFormat="1" ht="0.75" hidden="1" customHeight="1">
      <c r="A192" s="1782"/>
      <c r="B192" s="1782"/>
      <c r="C192" s="371" t="s">
        <v>1155</v>
      </c>
      <c r="D192" s="2464"/>
      <c r="E192" s="2206"/>
      <c r="F192" s="2385"/>
      <c r="G192" s="402"/>
      <c r="H192" s="1502"/>
      <c r="I192" s="653"/>
      <c r="J192" s="573"/>
      <c r="K192" s="1502"/>
      <c r="L192" s="216"/>
      <c r="M192" s="343"/>
      <c r="N192" s="336"/>
      <c r="O192" s="1626"/>
      <c r="P192" s="1626"/>
      <c r="AH192" s="1633">
        <v>0</v>
      </c>
    </row>
    <row r="193" s="1637" customFormat="1" ht="18.75" hidden="1" customHeight="1">
      <c r="A193" s="1782" t="s">
        <v>255</v>
      </c>
      <c r="B193" s="1782" t="s">
        <v>256</v>
      </c>
      <c r="C193" s="371"/>
      <c r="D193" s="2464"/>
      <c r="E193" s="2206"/>
      <c r="F193" s="2385" t="str">
        <f>INDEX(PT_DIFFERENTIATION_VTAR,MATCH(A193,PT_DIFFERENTIATION_VTAR_ID,0))</f>
        <v xml:space="preserve">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r="194" s="1637" customFormat="1" ht="18.75" hidden="1" customHeight="1">
      <c r="A194" s="1782"/>
      <c r="B194" s="1782"/>
      <c r="C194" s="371" t="s">
        <v>1148</v>
      </c>
      <c r="D194" s="2464"/>
      <c r="E194" s="2206"/>
      <c r="F194" s="2385"/>
      <c r="G194" s="2429"/>
      <c r="H194" s="1502"/>
      <c r="I194" s="653" t="s">
        <v>1147</v>
      </c>
      <c r="J194" s="573"/>
      <c r="K194" s="1502"/>
      <c r="L194" s="216"/>
      <c r="M194" s="343"/>
      <c r="N194" s="336"/>
      <c r="O194" s="1626"/>
      <c r="P194" s="1626"/>
      <c r="AH194" s="1633">
        <v>0</v>
      </c>
    </row>
    <row r="195" s="1637" customFormat="1" ht="0.75" hidden="1" customHeight="1">
      <c r="A195" s="1782"/>
      <c r="B195" s="1782"/>
      <c r="C195" s="371" t="s">
        <v>1155</v>
      </c>
      <c r="D195" s="2464"/>
      <c r="E195" s="2206"/>
      <c r="F195" s="2385"/>
      <c r="G195" s="402"/>
      <c r="H195" s="1502"/>
      <c r="I195" s="653"/>
      <c r="J195" s="573"/>
      <c r="K195" s="1502"/>
      <c r="L195" s="216"/>
      <c r="M195" s="343"/>
      <c r="N195" s="336"/>
      <c r="O195" s="1626"/>
      <c r="P195" s="1626"/>
      <c r="AH195" s="1633">
        <v>0</v>
      </c>
    </row>
    <row r="196" s="1637" customFormat="1" ht="18.75" hidden="1" customHeight="1">
      <c r="A196" s="1782" t="s">
        <v>260</v>
      </c>
      <c r="B196" s="1782" t="s">
        <v>261</v>
      </c>
      <c r="C196" s="371"/>
      <c r="D196" s="2464"/>
      <c r="E196" s="2206"/>
      <c r="F196" s="2385"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r="197" s="1637" customFormat="1" ht="18.75" hidden="1" customHeight="1">
      <c r="A197" s="1782"/>
      <c r="B197" s="1782"/>
      <c r="C197" s="371" t="s">
        <v>1148</v>
      </c>
      <c r="D197" s="2464"/>
      <c r="E197" s="2206"/>
      <c r="F197" s="2385"/>
      <c r="G197" s="2429"/>
      <c r="H197" s="1502"/>
      <c r="I197" s="653" t="s">
        <v>1147</v>
      </c>
      <c r="J197" s="573"/>
      <c r="K197" s="1502"/>
      <c r="L197" s="216"/>
      <c r="M197" s="343"/>
      <c r="N197" s="336"/>
      <c r="O197" s="1626"/>
      <c r="P197" s="1626"/>
      <c r="AH197" s="1633">
        <v>0</v>
      </c>
    </row>
    <row r="198" s="1637" customFormat="1" ht="0.75" hidden="1" customHeight="1">
      <c r="A198" s="1782"/>
      <c r="B198" s="1782"/>
      <c r="C198" s="371" t="s">
        <v>1155</v>
      </c>
      <c r="D198" s="2464"/>
      <c r="E198" s="2206"/>
      <c r="F198" s="2385"/>
      <c r="G198" s="402"/>
      <c r="H198" s="1502"/>
      <c r="I198" s="653"/>
      <c r="J198" s="573"/>
      <c r="K198" s="1502"/>
      <c r="L198" s="216"/>
      <c r="M198" s="343"/>
      <c r="N198" s="336"/>
      <c r="O198" s="1626"/>
      <c r="P198" s="1626"/>
      <c r="AH198" s="1633">
        <v>0</v>
      </c>
    </row>
    <row r="199" s="1637" customFormat="1" ht="18.75" hidden="1" customHeight="1">
      <c r="A199" s="1782" t="s">
        <v>265</v>
      </c>
      <c r="B199" s="1782" t="s">
        <v>266</v>
      </c>
      <c r="C199" s="371"/>
      <c r="D199" s="2464"/>
      <c r="E199" s="2206"/>
      <c r="F199" s="2385" t="str">
        <f>INDEX(PT_DIFFERENTIATION_VTAR,MATCH(A199,PT_DIFFERENTIATION_VTAR_ID,0))</f>
        <v xml:space="preserve">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r="200" s="1637" customFormat="1" ht="18.75" hidden="1" customHeight="1">
      <c r="A200" s="1782"/>
      <c r="B200" s="1782"/>
      <c r="C200" s="371" t="s">
        <v>1148</v>
      </c>
      <c r="D200" s="2464"/>
      <c r="E200" s="2206"/>
      <c r="F200" s="2385"/>
      <c r="G200" s="2429"/>
      <c r="H200" s="1502"/>
      <c r="I200" s="653" t="s">
        <v>1147</v>
      </c>
      <c r="J200" s="573"/>
      <c r="K200" s="1502"/>
      <c r="L200" s="216"/>
      <c r="M200" s="343"/>
      <c r="N200" s="336"/>
      <c r="O200" s="1626"/>
      <c r="P200" s="1626"/>
      <c r="AH200" s="1633">
        <v>0</v>
      </c>
    </row>
    <row r="201" s="1637" customFormat="1" ht="0.75" hidden="1" customHeight="1">
      <c r="A201" s="1782"/>
      <c r="B201" s="1782"/>
      <c r="C201" s="371" t="s">
        <v>1155</v>
      </c>
      <c r="D201" s="2464"/>
      <c r="E201" s="2206"/>
      <c r="F201" s="2385"/>
      <c r="G201" s="402"/>
      <c r="H201" s="1502"/>
      <c r="I201" s="653"/>
      <c r="J201" s="573"/>
      <c r="K201" s="1502"/>
      <c r="L201" s="216"/>
      <c r="M201" s="343"/>
      <c r="N201" s="336"/>
      <c r="O201" s="1626"/>
      <c r="P201" s="1626"/>
      <c r="AH201" s="1633">
        <v>0</v>
      </c>
    </row>
    <row r="202" s="1637" customFormat="1" ht="18.75" hidden="1" customHeight="1">
      <c r="A202" s="1782" t="s">
        <v>270</v>
      </c>
      <c r="B202" s="1782" t="s">
        <v>271</v>
      </c>
      <c r="C202" s="371"/>
      <c r="D202" s="2464"/>
      <c r="E202" s="2206"/>
      <c r="F202" s="2385" t="str">
        <f>INDEX(PT_DIFFERENTIATION_VTAR,MATCH(A202,PT_DIFFERENTIATION_VTAR_ID,0))</f>
        <v xml:space="preserve">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r="203" s="1637" customFormat="1" ht="18.75" hidden="1" customHeight="1">
      <c r="A203" s="1782"/>
      <c r="B203" s="1782"/>
      <c r="C203" s="371" t="s">
        <v>1148</v>
      </c>
      <c r="D203" s="2464"/>
      <c r="E203" s="2206"/>
      <c r="F203" s="2385"/>
      <c r="G203" s="2429"/>
      <c r="H203" s="1502"/>
      <c r="I203" s="653" t="s">
        <v>1147</v>
      </c>
      <c r="J203" s="573"/>
      <c r="K203" s="1502"/>
      <c r="L203" s="216"/>
      <c r="M203" s="343"/>
      <c r="N203" s="336"/>
      <c r="O203" s="1626"/>
      <c r="P203" s="1626"/>
      <c r="AH203" s="1633">
        <v>0</v>
      </c>
    </row>
    <row r="204" s="1637" customFormat="1" ht="0.75" hidden="1" customHeight="1">
      <c r="A204" s="1782"/>
      <c r="B204" s="1782"/>
      <c r="C204" s="371" t="s">
        <v>1155</v>
      </c>
      <c r="D204" s="2464"/>
      <c r="E204" s="2206"/>
      <c r="F204" s="2385"/>
      <c r="G204" s="402"/>
      <c r="H204" s="1502"/>
      <c r="I204" s="653"/>
      <c r="J204" s="573"/>
      <c r="K204" s="1502"/>
      <c r="L204" s="216"/>
      <c r="M204" s="343"/>
      <c r="N204" s="336"/>
      <c r="O204" s="1626"/>
      <c r="P204" s="1626"/>
      <c r="AH204" s="1633">
        <v>0</v>
      </c>
    </row>
    <row r="205" s="1637" customFormat="1" ht="18.75" hidden="1" customHeight="1">
      <c r="A205" s="1782" t="s">
        <v>275</v>
      </c>
      <c r="B205" s="1782" t="s">
        <v>276</v>
      </c>
      <c r="C205" s="371"/>
      <c r="D205" s="2464"/>
      <c r="E205" s="2206"/>
      <c r="F205" s="2385" t="str">
        <f>INDEX(PT_DIFFERENTIATION_VTAR,MATCH(A205,PT_DIFFERENTIATION_VTAR_ID,0))</f>
        <v xml:space="preserve">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r="206" s="1637" customFormat="1" ht="18.75" hidden="1" customHeight="1">
      <c r="A206" s="1782"/>
      <c r="B206" s="1782"/>
      <c r="C206" s="371" t="s">
        <v>1148</v>
      </c>
      <c r="D206" s="2464"/>
      <c r="E206" s="2206"/>
      <c r="F206" s="2385"/>
      <c r="G206" s="2429"/>
      <c r="H206" s="1502"/>
      <c r="I206" s="653" t="s">
        <v>1147</v>
      </c>
      <c r="J206" s="573"/>
      <c r="K206" s="1502"/>
      <c r="L206" s="216"/>
      <c r="M206" s="343"/>
      <c r="N206" s="336"/>
      <c r="O206" s="1626"/>
      <c r="P206" s="1626"/>
      <c r="AH206" s="1633">
        <v>0</v>
      </c>
    </row>
    <row r="207" s="1637" customFormat="1" ht="1.05" customHeight="1">
      <c r="A207" s="1782"/>
      <c r="B207" s="1782"/>
      <c r="C207" s="371" t="s">
        <v>1155</v>
      </c>
      <c r="D207" s="2464"/>
      <c r="E207" s="2206"/>
      <c r="F207" s="2385"/>
      <c r="G207" s="402"/>
      <c r="H207" s="1502"/>
      <c r="I207" s="653"/>
      <c r="J207" s="573"/>
      <c r="K207" s="1502"/>
      <c r="L207" s="216"/>
      <c r="M207" s="343"/>
      <c r="N207" s="336"/>
      <c r="O207" s="1626"/>
      <c r="P207" s="1626"/>
      <c r="AH207" s="1633">
        <v>1</v>
      </c>
    </row>
    <row r="208" ht="27.300000000000001" customHeight="1">
      <c r="A208" s="1782"/>
      <c r="B208" s="1782"/>
      <c r="D208" s="378"/>
      <c r="E208" s="149" t="s">
        <v>112</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r="209" s="1637" customFormat="1" ht="60.75" hidden="1" customHeight="1">
      <c r="A209" s="1782" t="s">
        <v>157</v>
      </c>
      <c r="B209" s="1782" t="s">
        <v>158</v>
      </c>
      <c r="C209" s="371"/>
      <c r="D209" s="2464"/>
      <c r="E209" s="2206"/>
      <c r="F209" s="2385"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r="210" s="1637" customFormat="1" ht="18.75" hidden="1" customHeight="1">
      <c r="A210" s="1782"/>
      <c r="B210" s="1782"/>
      <c r="C210" s="371" t="s">
        <v>1148</v>
      </c>
      <c r="D210" s="2464"/>
      <c r="E210" s="2206"/>
      <c r="F210" s="2385"/>
      <c r="G210" s="2429"/>
      <c r="H210" s="1502"/>
      <c r="I210" s="653" t="s">
        <v>1147</v>
      </c>
      <c r="J210" s="573"/>
      <c r="K210" s="1502"/>
      <c r="L210" s="216"/>
      <c r="M210" s="2172"/>
      <c r="N210" s="336"/>
      <c r="O210" s="1626"/>
      <c r="P210" s="1626"/>
      <c r="AH210" s="1633">
        <v>0</v>
      </c>
    </row>
    <row r="211" s="1637" customFormat="1" ht="0.75" hidden="1" customHeight="1">
      <c r="A211" s="1782"/>
      <c r="B211" s="1782"/>
      <c r="C211" s="371" t="s">
        <v>1155</v>
      </c>
      <c r="D211" s="2464"/>
      <c r="E211" s="2206"/>
      <c r="F211" s="2385"/>
      <c r="G211" s="402"/>
      <c r="H211" s="1502"/>
      <c r="I211" s="653"/>
      <c r="J211" s="573"/>
      <c r="K211" s="1502"/>
      <c r="L211" s="216"/>
      <c r="M211" s="2172"/>
      <c r="N211" s="336"/>
      <c r="O211" s="1626"/>
      <c r="P211" s="1626"/>
      <c r="AH211" s="1633">
        <v>0</v>
      </c>
    </row>
    <row r="212" s="1637" customFormat="1" ht="45" hidden="1" customHeight="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r="213" s="1637" customFormat="1" ht="18.75" hidden="1" customHeight="1">
      <c r="A213" s="1782"/>
      <c r="B213" s="1782"/>
      <c r="C213" s="371" t="s">
        <v>1148</v>
      </c>
      <c r="D213" s="2464"/>
      <c r="E213" s="2206"/>
      <c r="F213" s="2385"/>
      <c r="G213" s="2429"/>
      <c r="H213" s="1502"/>
      <c r="I213" s="653" t="s">
        <v>1147</v>
      </c>
      <c r="J213" s="573"/>
      <c r="K213" s="1502"/>
      <c r="L213" s="216"/>
      <c r="M213" s="1863"/>
      <c r="N213" s="336"/>
      <c r="O213" s="1626"/>
      <c r="P213" s="1626"/>
      <c r="AH213" s="1633">
        <v>0</v>
      </c>
    </row>
    <row r="214" s="1637" customFormat="1" ht="0.75" hidden="1" customHeight="1">
      <c r="A214" s="1782"/>
      <c r="B214" s="1782"/>
      <c r="C214" s="371" t="s">
        <v>1155</v>
      </c>
      <c r="D214" s="2464"/>
      <c r="E214" s="2206"/>
      <c r="F214" s="2385"/>
      <c r="G214" s="402"/>
      <c r="H214" s="1502"/>
      <c r="I214" s="653"/>
      <c r="J214" s="573"/>
      <c r="K214" s="1502"/>
      <c r="L214" s="216"/>
      <c r="M214" s="343"/>
      <c r="N214" s="336"/>
      <c r="O214" s="1626"/>
      <c r="P214" s="1626"/>
      <c r="AH214" s="1633">
        <v>0</v>
      </c>
    </row>
    <row r="215" s="1637" customFormat="1" ht="45" hidden="1" customHeight="1">
      <c r="A215" s="1782" t="s">
        <v>169</v>
      </c>
      <c r="B215" s="1782" t="s">
        <v>170</v>
      </c>
      <c r="C215" s="371"/>
      <c r="D215" s="2464"/>
      <c r="E215" s="2206"/>
      <c r="F215" s="2385"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r="216" s="1637" customFormat="1" ht="18.75" hidden="1" customHeight="1">
      <c r="A216" s="1782"/>
      <c r="B216" s="1782"/>
      <c r="C216" s="371" t="s">
        <v>1148</v>
      </c>
      <c r="D216" s="2464"/>
      <c r="E216" s="2206"/>
      <c r="F216" s="2385"/>
      <c r="G216" s="2429"/>
      <c r="H216" s="1502"/>
      <c r="I216" s="653" t="s">
        <v>1147</v>
      </c>
      <c r="J216" s="573"/>
      <c r="K216" s="1502"/>
      <c r="L216" s="216"/>
      <c r="M216" s="343"/>
      <c r="N216" s="336"/>
      <c r="O216" s="1626"/>
      <c r="P216" s="1626"/>
      <c r="AH216" s="1633">
        <v>0</v>
      </c>
    </row>
    <row r="217" s="1637" customFormat="1" ht="0.75" hidden="1" customHeight="1">
      <c r="A217" s="1782"/>
      <c r="B217" s="1782"/>
      <c r="C217" s="371" t="s">
        <v>1155</v>
      </c>
      <c r="D217" s="2464"/>
      <c r="E217" s="2206"/>
      <c r="F217" s="2385"/>
      <c r="G217" s="402"/>
      <c r="H217" s="1502"/>
      <c r="I217" s="653"/>
      <c r="J217" s="573"/>
      <c r="K217" s="1502"/>
      <c r="L217" s="216"/>
      <c r="M217" s="343"/>
      <c r="N217" s="336"/>
      <c r="O217" s="1626"/>
      <c r="P217" s="1626"/>
      <c r="AH217" s="1633">
        <v>0</v>
      </c>
    </row>
    <row r="218" s="1637" customFormat="1" ht="45" hidden="1" customHeight="1">
      <c r="A218" s="1782" t="s">
        <v>175</v>
      </c>
      <c r="B218" s="1782" t="s">
        <v>176</v>
      </c>
      <c r="C218" s="371"/>
      <c r="D218" s="2464"/>
      <c r="E218" s="2206"/>
      <c r="F218" s="2385"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r="219" s="1637" customFormat="1" ht="18.75" hidden="1" customHeight="1">
      <c r="A219" s="1782"/>
      <c r="B219" s="1782"/>
      <c r="C219" s="371" t="s">
        <v>1148</v>
      </c>
      <c r="D219" s="2464"/>
      <c r="E219" s="2206"/>
      <c r="F219" s="2385"/>
      <c r="G219" s="2429"/>
      <c r="H219" s="1502"/>
      <c r="I219" s="653" t="s">
        <v>1147</v>
      </c>
      <c r="J219" s="573"/>
      <c r="K219" s="1502"/>
      <c r="L219" s="216"/>
      <c r="M219" s="343"/>
      <c r="N219" s="336"/>
      <c r="O219" s="1626"/>
      <c r="P219" s="1626"/>
      <c r="AH219" s="1633">
        <v>0</v>
      </c>
    </row>
    <row r="220" s="1637" customFormat="1" ht="0.75" hidden="1" customHeight="1">
      <c r="A220" s="1782"/>
      <c r="B220" s="1782"/>
      <c r="C220" s="371" t="s">
        <v>1155</v>
      </c>
      <c r="D220" s="2464"/>
      <c r="E220" s="2206"/>
      <c r="F220" s="2385"/>
      <c r="G220" s="402"/>
      <c r="H220" s="1502"/>
      <c r="I220" s="653"/>
      <c r="J220" s="573"/>
      <c r="K220" s="1502"/>
      <c r="L220" s="216"/>
      <c r="M220" s="343"/>
      <c r="N220" s="336"/>
      <c r="O220" s="1626"/>
      <c r="P220" s="1626"/>
      <c r="AH220" s="1633">
        <v>0</v>
      </c>
    </row>
    <row r="221" s="1637" customFormat="1" ht="18.75" hidden="1" customHeight="1">
      <c r="A221" s="1782" t="s">
        <v>181</v>
      </c>
      <c r="B221" s="1782" t="s">
        <v>182</v>
      </c>
      <c r="C221" s="371"/>
      <c r="D221" s="2464"/>
      <c r="E221" s="2206"/>
      <c r="F221" s="2385" t="str">
        <f>INDEX(PT_DIFFERENTIATION_VTAR,MATCH(A221,PT_DIFFERENTIATION_VTAR_ID,0))</f>
        <v xml:space="preserve">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r="222" s="1637" customFormat="1" ht="18.75" hidden="1" customHeight="1">
      <c r="A222" s="1782"/>
      <c r="B222" s="1782"/>
      <c r="C222" s="371" t="s">
        <v>1148</v>
      </c>
      <c r="D222" s="2464"/>
      <c r="E222" s="2206"/>
      <c r="F222" s="2385"/>
      <c r="G222" s="2429"/>
      <c r="H222" s="1502"/>
      <c r="I222" s="653" t="s">
        <v>1147</v>
      </c>
      <c r="J222" s="573"/>
      <c r="K222" s="1502"/>
      <c r="L222" s="216"/>
      <c r="M222" s="343"/>
      <c r="N222" s="336"/>
      <c r="O222" s="1626"/>
      <c r="P222" s="1626"/>
      <c r="AH222" s="1633">
        <v>0</v>
      </c>
    </row>
    <row r="223" s="1637" customFormat="1" ht="0.75" hidden="1" customHeight="1">
      <c r="A223" s="1782"/>
      <c r="B223" s="1782"/>
      <c r="C223" s="371" t="s">
        <v>1155</v>
      </c>
      <c r="D223" s="2464"/>
      <c r="E223" s="2206"/>
      <c r="F223" s="2385"/>
      <c r="G223" s="402"/>
      <c r="H223" s="1502"/>
      <c r="I223" s="653"/>
      <c r="J223" s="573"/>
      <c r="K223" s="1502"/>
      <c r="L223" s="216"/>
      <c r="M223" s="343"/>
      <c r="N223" s="336"/>
      <c r="O223" s="1626"/>
      <c r="P223" s="1626"/>
      <c r="AH223" s="1633">
        <v>0</v>
      </c>
    </row>
    <row r="224" s="1637" customFormat="1" ht="18.75" hidden="1" customHeight="1">
      <c r="A224" s="1782" t="s">
        <v>187</v>
      </c>
      <c r="B224" s="1782" t="s">
        <v>188</v>
      </c>
      <c r="C224" s="371"/>
      <c r="D224" s="2464"/>
      <c r="E224" s="2206"/>
      <c r="F224" s="2385" t="str">
        <f>INDEX(PT_DIFFERENTIATION_VTAR,MATCH(A224,PT_DIFFERENTIATION_VTAR_ID,0))</f>
        <v xml:space="preserve">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r="225" s="1637" customFormat="1" ht="18.75" hidden="1" customHeight="1">
      <c r="A225" s="1782"/>
      <c r="B225" s="1782"/>
      <c r="C225" s="371" t="s">
        <v>1148</v>
      </c>
      <c r="D225" s="2464"/>
      <c r="E225" s="2206"/>
      <c r="F225" s="2385"/>
      <c r="G225" s="2429"/>
      <c r="H225" s="1502"/>
      <c r="I225" s="653" t="s">
        <v>1147</v>
      </c>
      <c r="J225" s="573"/>
      <c r="K225" s="1502"/>
      <c r="L225" s="216"/>
      <c r="M225" s="343"/>
      <c r="N225" s="336"/>
      <c r="O225" s="1626"/>
      <c r="P225" s="1626"/>
      <c r="AH225" s="1633">
        <v>0</v>
      </c>
    </row>
    <row r="226" s="1637" customFormat="1" ht="0.75" hidden="1" customHeight="1">
      <c r="A226" s="1782"/>
      <c r="B226" s="1782"/>
      <c r="C226" s="371" t="s">
        <v>1155</v>
      </c>
      <c r="D226" s="2464"/>
      <c r="E226" s="2206"/>
      <c r="F226" s="2385"/>
      <c r="G226" s="402"/>
      <c r="H226" s="1502"/>
      <c r="I226" s="653"/>
      <c r="J226" s="573"/>
      <c r="K226" s="1502"/>
      <c r="L226" s="216"/>
      <c r="M226" s="343"/>
      <c r="N226" s="336"/>
      <c r="O226" s="1626"/>
      <c r="P226" s="1626"/>
      <c r="AH226" s="1633">
        <v>0</v>
      </c>
    </row>
    <row r="227" s="1637" customFormat="1" ht="18.75" hidden="1" customHeight="1">
      <c r="A227" s="1782" t="s">
        <v>193</v>
      </c>
      <c r="B227" s="1782" t="s">
        <v>194</v>
      </c>
      <c r="C227" s="371"/>
      <c r="D227" s="2464"/>
      <c r="E227" s="2206"/>
      <c r="F227" s="2385"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r="228" s="1637" customFormat="1" ht="18.75" hidden="1" customHeight="1">
      <c r="A228" s="1782"/>
      <c r="B228" s="1782"/>
      <c r="C228" s="371" t="s">
        <v>1148</v>
      </c>
      <c r="D228" s="2464"/>
      <c r="E228" s="2206"/>
      <c r="F228" s="2385"/>
      <c r="G228" s="2429"/>
      <c r="H228" s="1502"/>
      <c r="I228" s="653" t="s">
        <v>1147</v>
      </c>
      <c r="J228" s="573"/>
      <c r="K228" s="1502"/>
      <c r="L228" s="216"/>
      <c r="M228" s="343"/>
      <c r="N228" s="336"/>
      <c r="O228" s="1626"/>
      <c r="P228" s="1626"/>
      <c r="AH228" s="1633">
        <v>0</v>
      </c>
    </row>
    <row r="229" s="1637" customFormat="1" ht="0.75" hidden="1" customHeight="1">
      <c r="A229" s="1782"/>
      <c r="B229" s="1782"/>
      <c r="C229" s="371" t="s">
        <v>1155</v>
      </c>
      <c r="D229" s="2464"/>
      <c r="E229" s="2206"/>
      <c r="F229" s="2385"/>
      <c r="G229" s="402"/>
      <c r="H229" s="1502"/>
      <c r="I229" s="653"/>
      <c r="J229" s="573"/>
      <c r="K229" s="1502"/>
      <c r="L229" s="216"/>
      <c r="M229" s="343"/>
      <c r="N229" s="336"/>
      <c r="O229" s="1626"/>
      <c r="P229" s="1626"/>
      <c r="AH229" s="1633">
        <v>0</v>
      </c>
    </row>
    <row r="230" s="1637" customFormat="1" ht="18.75" hidden="1" customHeight="1">
      <c r="A230" s="1782" t="s">
        <v>199</v>
      </c>
      <c r="B230" s="1782" t="s">
        <v>200</v>
      </c>
      <c r="C230" s="371"/>
      <c r="D230" s="2464"/>
      <c r="E230" s="2206"/>
      <c r="F230" s="2385" t="str">
        <f>INDEX(PT_DIFFERENTIATION_VTAR,MATCH(A230,PT_DIFFERENTIATION_VTAR_ID,0))</f>
        <v xml:space="preserve">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r="231" s="1637" customFormat="1" ht="18.75" hidden="1" customHeight="1">
      <c r="A231" s="1782"/>
      <c r="B231" s="1782"/>
      <c r="C231" s="371" t="s">
        <v>1148</v>
      </c>
      <c r="D231" s="2464"/>
      <c r="E231" s="2206"/>
      <c r="F231" s="2385"/>
      <c r="G231" s="2429"/>
      <c r="H231" s="1502"/>
      <c r="I231" s="653" t="s">
        <v>1147</v>
      </c>
      <c r="J231" s="573"/>
      <c r="K231" s="1502"/>
      <c r="L231" s="216"/>
      <c r="M231" s="343"/>
      <c r="N231" s="336"/>
      <c r="O231" s="1626"/>
      <c r="P231" s="1626"/>
      <c r="AH231" s="1633">
        <v>0</v>
      </c>
    </row>
    <row r="232" s="1637" customFormat="1" ht="0.75" hidden="1" customHeight="1">
      <c r="A232" s="1782"/>
      <c r="B232" s="1782"/>
      <c r="C232" s="371" t="s">
        <v>1155</v>
      </c>
      <c r="D232" s="2464"/>
      <c r="E232" s="2206"/>
      <c r="F232" s="2385"/>
      <c r="G232" s="402"/>
      <c r="H232" s="1502"/>
      <c r="I232" s="653"/>
      <c r="J232" s="573"/>
      <c r="K232" s="1502"/>
      <c r="L232" s="216"/>
      <c r="M232" s="343"/>
      <c r="N232" s="336"/>
      <c r="O232" s="1626"/>
      <c r="P232" s="1626"/>
      <c r="AH232" s="1633">
        <v>0</v>
      </c>
    </row>
    <row r="233" s="1637" customFormat="1" ht="18.75" hidden="1" customHeight="1">
      <c r="A233" s="1782" t="s">
        <v>205</v>
      </c>
      <c r="B233" s="1782" t="s">
        <v>206</v>
      </c>
      <c r="C233" s="371"/>
      <c r="D233" s="2464"/>
      <c r="E233" s="2206"/>
      <c r="F233" s="2385" t="str">
        <f>INDEX(PT_DIFFERENTIATION_VTAR,MATCH(A233,PT_DIFFERENTIATION_VTAR_ID,0))</f>
        <v xml:space="preserve">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r="234" s="1637" customFormat="1" ht="18.75" hidden="1" customHeight="1">
      <c r="A234" s="1782"/>
      <c r="B234" s="1782"/>
      <c r="C234" s="371" t="s">
        <v>1148</v>
      </c>
      <c r="D234" s="2464"/>
      <c r="E234" s="2206"/>
      <c r="F234" s="2385"/>
      <c r="G234" s="2429"/>
      <c r="H234" s="1502"/>
      <c r="I234" s="653" t="s">
        <v>1147</v>
      </c>
      <c r="J234" s="573"/>
      <c r="K234" s="1502"/>
      <c r="L234" s="216"/>
      <c r="M234" s="343"/>
      <c r="N234" s="336"/>
      <c r="O234" s="1626"/>
      <c r="P234" s="1626"/>
      <c r="AH234" s="1633">
        <v>0</v>
      </c>
    </row>
    <row r="235" s="1637" customFormat="1" ht="0.75" hidden="1" customHeight="1">
      <c r="A235" s="1782"/>
      <c r="B235" s="1782"/>
      <c r="C235" s="371" t="s">
        <v>1155</v>
      </c>
      <c r="D235" s="2464"/>
      <c r="E235" s="2206"/>
      <c r="F235" s="2385"/>
      <c r="G235" s="402"/>
      <c r="H235" s="1502"/>
      <c r="I235" s="653"/>
      <c r="J235" s="573"/>
      <c r="K235" s="1502"/>
      <c r="L235" s="216"/>
      <c r="M235" s="343"/>
      <c r="N235" s="336"/>
      <c r="O235" s="1626"/>
      <c r="P235" s="1626"/>
      <c r="AH235" s="1633">
        <v>0</v>
      </c>
    </row>
    <row r="236" s="1637" customFormat="1" ht="18.75" hidden="1" customHeight="1">
      <c r="A236" s="1782" t="s">
        <v>225</v>
      </c>
      <c r="B236" s="1782" t="s">
        <v>226</v>
      </c>
      <c r="C236" s="371"/>
      <c r="D236" s="2464"/>
      <c r="E236" s="2206"/>
      <c r="F236" s="2385" t="str">
        <f>INDEX(PT_DIFFERENTIATION_VTAR,MATCH(A236,PT_DIFFERENTIATION_VTAR_ID,0))</f>
        <v xml:space="preserve">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r="237" s="1637" customFormat="1" ht="18.75" hidden="1" customHeight="1">
      <c r="A237" s="1782"/>
      <c r="B237" s="1782"/>
      <c r="C237" s="371" t="s">
        <v>1148</v>
      </c>
      <c r="D237" s="2464"/>
      <c r="E237" s="2206"/>
      <c r="F237" s="2385"/>
      <c r="G237" s="2429"/>
      <c r="H237" s="1502"/>
      <c r="I237" s="653" t="s">
        <v>1147</v>
      </c>
      <c r="J237" s="573"/>
      <c r="K237" s="1502"/>
      <c r="L237" s="216"/>
      <c r="M237" s="343"/>
      <c r="N237" s="336"/>
      <c r="O237" s="1626"/>
      <c r="P237" s="1626"/>
      <c r="AH237" s="1633">
        <v>0</v>
      </c>
    </row>
    <row r="238" s="1637" customFormat="1" ht="0.75" hidden="1" customHeight="1">
      <c r="A238" s="1782"/>
      <c r="B238" s="1782"/>
      <c r="C238" s="371" t="s">
        <v>1155</v>
      </c>
      <c r="D238" s="2464"/>
      <c r="E238" s="2206"/>
      <c r="F238" s="2385"/>
      <c r="G238" s="402"/>
      <c r="H238" s="1502"/>
      <c r="I238" s="653"/>
      <c r="J238" s="573"/>
      <c r="K238" s="1502"/>
      <c r="L238" s="216"/>
      <c r="M238" s="343"/>
      <c r="N238" s="336"/>
      <c r="O238" s="1626"/>
      <c r="P238" s="1626"/>
      <c r="AH238" s="1633">
        <v>0</v>
      </c>
    </row>
    <row r="239" s="1637" customFormat="1" ht="18.75" hidden="1" customHeight="1">
      <c r="A239" s="1782" t="s">
        <v>230</v>
      </c>
      <c r="B239" s="1782" t="s">
        <v>231</v>
      </c>
      <c r="C239" s="371"/>
      <c r="D239" s="2464"/>
      <c r="E239" s="2206"/>
      <c r="F239" s="2385" t="str">
        <f>INDEX(PT_DIFFERENTIATION_VTAR,MATCH(A239,PT_DIFFERENTIATION_VTAR_ID,0))</f>
        <v xml:space="preserve">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r="240" s="1637" customFormat="1" ht="18.75" hidden="1" customHeight="1">
      <c r="A240" s="1782"/>
      <c r="B240" s="1782"/>
      <c r="C240" s="371" t="s">
        <v>1148</v>
      </c>
      <c r="D240" s="2464"/>
      <c r="E240" s="2206"/>
      <c r="F240" s="2385"/>
      <c r="G240" s="2429"/>
      <c r="H240" s="1502"/>
      <c r="I240" s="653" t="s">
        <v>1147</v>
      </c>
      <c r="J240" s="573"/>
      <c r="K240" s="1502"/>
      <c r="L240" s="216"/>
      <c r="M240" s="343"/>
      <c r="N240" s="336"/>
      <c r="O240" s="1626"/>
      <c r="P240" s="1626"/>
      <c r="AH240" s="1633">
        <v>0</v>
      </c>
    </row>
    <row r="241" s="1637" customFormat="1" ht="0.75" hidden="1" customHeight="1">
      <c r="A241" s="1782"/>
      <c r="B241" s="1782"/>
      <c r="C241" s="371" t="s">
        <v>1155</v>
      </c>
      <c r="D241" s="2464"/>
      <c r="E241" s="2206"/>
      <c r="F241" s="2385"/>
      <c r="G241" s="402"/>
      <c r="H241" s="1502"/>
      <c r="I241" s="653"/>
      <c r="J241" s="573"/>
      <c r="K241" s="1502"/>
      <c r="L241" s="216"/>
      <c r="M241" s="343"/>
      <c r="N241" s="336"/>
      <c r="O241" s="1626"/>
      <c r="P241" s="1626"/>
      <c r="AH241" s="1633">
        <v>0</v>
      </c>
    </row>
    <row r="242" s="1637" customFormat="1" ht="18.75" hidden="1" customHeight="1">
      <c r="A242" s="1782" t="s">
        <v>235</v>
      </c>
      <c r="B242" s="1782" t="s">
        <v>236</v>
      </c>
      <c r="C242" s="371"/>
      <c r="D242" s="2464"/>
      <c r="E242" s="2206"/>
      <c r="F242" s="2385" t="str">
        <f>INDEX(PT_DIFFERENTIATION_VTAR,MATCH(A242,PT_DIFFERENTIATION_VTAR_ID,0))</f>
        <v xml:space="preserve">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r="243" s="1637" customFormat="1" ht="18.75" hidden="1" customHeight="1">
      <c r="A243" s="1782"/>
      <c r="B243" s="1782"/>
      <c r="C243" s="371" t="s">
        <v>1148</v>
      </c>
      <c r="D243" s="2464"/>
      <c r="E243" s="2206"/>
      <c r="F243" s="2385"/>
      <c r="G243" s="2429"/>
      <c r="H243" s="1502"/>
      <c r="I243" s="653" t="s">
        <v>1147</v>
      </c>
      <c r="J243" s="573"/>
      <c r="K243" s="1502"/>
      <c r="L243" s="216"/>
      <c r="M243" s="343"/>
      <c r="N243" s="336"/>
      <c r="O243" s="1626"/>
      <c r="P243" s="1626"/>
      <c r="AH243" s="1633">
        <v>0</v>
      </c>
    </row>
    <row r="244" s="1637" customFormat="1" ht="0.75" hidden="1" customHeight="1">
      <c r="A244" s="1782"/>
      <c r="B244" s="1782"/>
      <c r="C244" s="371" t="s">
        <v>1155</v>
      </c>
      <c r="D244" s="2464"/>
      <c r="E244" s="2206"/>
      <c r="F244" s="2385"/>
      <c r="G244" s="402"/>
      <c r="H244" s="1502"/>
      <c r="I244" s="653"/>
      <c r="J244" s="573"/>
      <c r="K244" s="1502"/>
      <c r="L244" s="216"/>
      <c r="M244" s="343"/>
      <c r="N244" s="336"/>
      <c r="O244" s="1626"/>
      <c r="P244" s="1626"/>
      <c r="AH244" s="1633">
        <v>0</v>
      </c>
    </row>
    <row r="245" s="1637" customFormat="1" ht="18.75" hidden="1" customHeight="1">
      <c r="A245" s="1782" t="s">
        <v>240</v>
      </c>
      <c r="B245" s="1782" t="s">
        <v>241</v>
      </c>
      <c r="C245" s="371"/>
      <c r="D245" s="2464"/>
      <c r="E245" s="2206"/>
      <c r="F245" s="2385" t="str">
        <f>INDEX(PT_DIFFERENTIATION_VTAR,MATCH(A245,PT_DIFFERENTIATION_VTAR_ID,0))</f>
        <v xml:space="preserve">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r="246" s="1637" customFormat="1" ht="18.75" hidden="1" customHeight="1">
      <c r="A246" s="1782"/>
      <c r="B246" s="1782"/>
      <c r="C246" s="371" t="s">
        <v>1148</v>
      </c>
      <c r="D246" s="2464"/>
      <c r="E246" s="2206"/>
      <c r="F246" s="2385"/>
      <c r="G246" s="2429"/>
      <c r="H246" s="1502"/>
      <c r="I246" s="653" t="s">
        <v>1147</v>
      </c>
      <c r="J246" s="573"/>
      <c r="K246" s="1502"/>
      <c r="L246" s="216"/>
      <c r="M246" s="343"/>
      <c r="N246" s="336"/>
      <c r="O246" s="1626"/>
      <c r="P246" s="1626"/>
      <c r="AH246" s="1633">
        <v>0</v>
      </c>
    </row>
    <row r="247" s="1637" customFormat="1" ht="0.75" hidden="1" customHeight="1">
      <c r="A247" s="1782"/>
      <c r="B247" s="1782"/>
      <c r="C247" s="371" t="s">
        <v>1155</v>
      </c>
      <c r="D247" s="2464"/>
      <c r="E247" s="2206"/>
      <c r="F247" s="2385"/>
      <c r="G247" s="402"/>
      <c r="H247" s="1502"/>
      <c r="I247" s="653"/>
      <c r="J247" s="573"/>
      <c r="K247" s="1502"/>
      <c r="L247" s="216"/>
      <c r="M247" s="343"/>
      <c r="N247" s="336"/>
      <c r="O247" s="1626"/>
      <c r="P247" s="1626"/>
      <c r="AH247" s="1633">
        <v>0</v>
      </c>
    </row>
    <row r="248" s="1637" customFormat="1" ht="18.75" hidden="1" customHeight="1">
      <c r="A248" s="1782" t="s">
        <v>245</v>
      </c>
      <c r="B248" s="1782" t="s">
        <v>246</v>
      </c>
      <c r="C248" s="371"/>
      <c r="D248" s="2464"/>
      <c r="E248" s="2206"/>
      <c r="F248" s="2385"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r="249" s="1637" customFormat="1" ht="18.75" hidden="1" customHeight="1">
      <c r="A249" s="1782"/>
      <c r="B249" s="1782"/>
      <c r="C249" s="371" t="s">
        <v>1148</v>
      </c>
      <c r="D249" s="2464"/>
      <c r="E249" s="2206"/>
      <c r="F249" s="2385"/>
      <c r="G249" s="2429"/>
      <c r="H249" s="1502"/>
      <c r="I249" s="653" t="s">
        <v>1147</v>
      </c>
      <c r="J249" s="573"/>
      <c r="K249" s="1502"/>
      <c r="L249" s="216"/>
      <c r="M249" s="343"/>
      <c r="N249" s="336"/>
      <c r="O249" s="1626"/>
      <c r="P249" s="1626"/>
      <c r="AH249" s="1633">
        <v>0</v>
      </c>
    </row>
    <row r="250" s="1637" customFormat="1" ht="0.75" hidden="1" customHeight="1">
      <c r="A250" s="1782"/>
      <c r="B250" s="1782"/>
      <c r="C250" s="371" t="s">
        <v>1155</v>
      </c>
      <c r="D250" s="2464"/>
      <c r="E250" s="2206"/>
      <c r="F250" s="2385"/>
      <c r="G250" s="402"/>
      <c r="H250" s="1502"/>
      <c r="I250" s="653"/>
      <c r="J250" s="573"/>
      <c r="K250" s="1502"/>
      <c r="L250" s="216"/>
      <c r="M250" s="343"/>
      <c r="N250" s="336"/>
      <c r="O250" s="1626"/>
      <c r="P250" s="1626"/>
      <c r="AH250" s="1633">
        <v>0</v>
      </c>
    </row>
    <row r="251" s="1637" customFormat="1" ht="18.75" hidden="1" customHeight="1">
      <c r="A251" s="1782" t="s">
        <v>250</v>
      </c>
      <c r="B251" s="1782" t="s">
        <v>251</v>
      </c>
      <c r="C251" s="371"/>
      <c r="D251" s="2464"/>
      <c r="E251" s="2206"/>
      <c r="F251" s="2385" t="str">
        <f>INDEX(PT_DIFFERENTIATION_VTAR,MATCH(A251,PT_DIFFERENTIATION_VTAR_ID,0))</f>
        <v xml:space="preserve">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r="252" s="1637" customFormat="1" ht="18.75" hidden="1" customHeight="1">
      <c r="A252" s="1782"/>
      <c r="B252" s="1782"/>
      <c r="C252" s="371" t="s">
        <v>1148</v>
      </c>
      <c r="D252" s="2464"/>
      <c r="E252" s="2206"/>
      <c r="F252" s="2385"/>
      <c r="G252" s="2429"/>
      <c r="H252" s="1502"/>
      <c r="I252" s="653" t="s">
        <v>1147</v>
      </c>
      <c r="J252" s="573"/>
      <c r="K252" s="1502"/>
      <c r="L252" s="216"/>
      <c r="M252" s="343"/>
      <c r="N252" s="336"/>
      <c r="O252" s="1626"/>
      <c r="P252" s="1626"/>
      <c r="AH252" s="1633">
        <v>0</v>
      </c>
    </row>
    <row r="253" s="1637" customFormat="1" ht="0.75" hidden="1" customHeight="1">
      <c r="A253" s="1782"/>
      <c r="B253" s="1782"/>
      <c r="C253" s="371" t="s">
        <v>1155</v>
      </c>
      <c r="D253" s="2464"/>
      <c r="E253" s="2206"/>
      <c r="F253" s="2385"/>
      <c r="G253" s="402"/>
      <c r="H253" s="1502"/>
      <c r="I253" s="653"/>
      <c r="J253" s="573"/>
      <c r="K253" s="1502"/>
      <c r="L253" s="216"/>
      <c r="M253" s="343"/>
      <c r="N253" s="336"/>
      <c r="O253" s="1626"/>
      <c r="P253" s="1626"/>
      <c r="AH253" s="1633">
        <v>0</v>
      </c>
    </row>
    <row r="254" s="1637" customFormat="1" ht="18.75" hidden="1" customHeight="1">
      <c r="A254" s="1782" t="s">
        <v>255</v>
      </c>
      <c r="B254" s="1782" t="s">
        <v>256</v>
      </c>
      <c r="C254" s="371"/>
      <c r="D254" s="2464"/>
      <c r="E254" s="2206"/>
      <c r="F254" s="2385" t="str">
        <f>INDEX(PT_DIFFERENTIATION_VTAR,MATCH(A254,PT_DIFFERENTIATION_VTAR_ID,0))</f>
        <v xml:space="preserve">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r="255" s="1637" customFormat="1" ht="18.75" hidden="1" customHeight="1">
      <c r="A255" s="1782"/>
      <c r="B255" s="1782"/>
      <c r="C255" s="371" t="s">
        <v>1148</v>
      </c>
      <c r="D255" s="2464"/>
      <c r="E255" s="2206"/>
      <c r="F255" s="2385"/>
      <c r="G255" s="2429"/>
      <c r="H255" s="1502"/>
      <c r="I255" s="653" t="s">
        <v>1147</v>
      </c>
      <c r="J255" s="573"/>
      <c r="K255" s="1502"/>
      <c r="L255" s="216"/>
      <c r="M255" s="343"/>
      <c r="N255" s="336"/>
      <c r="O255" s="1626"/>
      <c r="P255" s="1626"/>
      <c r="AH255" s="1633">
        <v>0</v>
      </c>
    </row>
    <row r="256" s="1637" customFormat="1" ht="0.75" hidden="1" customHeight="1">
      <c r="A256" s="1782"/>
      <c r="B256" s="1782"/>
      <c r="C256" s="371" t="s">
        <v>1155</v>
      </c>
      <c r="D256" s="2464"/>
      <c r="E256" s="2206"/>
      <c r="F256" s="2385"/>
      <c r="G256" s="402"/>
      <c r="H256" s="1502"/>
      <c r="I256" s="653"/>
      <c r="J256" s="573"/>
      <c r="K256" s="1502"/>
      <c r="L256" s="216"/>
      <c r="M256" s="343"/>
      <c r="N256" s="336"/>
      <c r="O256" s="1626"/>
      <c r="P256" s="1626"/>
      <c r="AH256" s="1633">
        <v>0</v>
      </c>
    </row>
    <row r="257" s="1637" customFormat="1" ht="18.75" hidden="1" customHeight="1">
      <c r="A257" s="1782" t="s">
        <v>260</v>
      </c>
      <c r="B257" s="1782" t="s">
        <v>261</v>
      </c>
      <c r="C257" s="371"/>
      <c r="D257" s="2464"/>
      <c r="E257" s="2206"/>
      <c r="F257" s="2385"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r="258" s="1637" customFormat="1" ht="18.75" hidden="1" customHeight="1">
      <c r="A258" s="1782"/>
      <c r="B258" s="1782"/>
      <c r="C258" s="371" t="s">
        <v>1148</v>
      </c>
      <c r="D258" s="2464"/>
      <c r="E258" s="2206"/>
      <c r="F258" s="2385"/>
      <c r="G258" s="2429"/>
      <c r="H258" s="1502"/>
      <c r="I258" s="653" t="s">
        <v>1147</v>
      </c>
      <c r="J258" s="573"/>
      <c r="K258" s="1502"/>
      <c r="L258" s="216"/>
      <c r="M258" s="343"/>
      <c r="N258" s="336"/>
      <c r="O258" s="1626"/>
      <c r="P258" s="1626"/>
      <c r="AH258" s="1633">
        <v>0</v>
      </c>
    </row>
    <row r="259" s="1637" customFormat="1" ht="0.75" hidden="1" customHeight="1">
      <c r="A259" s="1782"/>
      <c r="B259" s="1782"/>
      <c r="C259" s="371" t="s">
        <v>1155</v>
      </c>
      <c r="D259" s="2464"/>
      <c r="E259" s="2206"/>
      <c r="F259" s="2385"/>
      <c r="G259" s="402"/>
      <c r="H259" s="1502"/>
      <c r="I259" s="653"/>
      <c r="J259" s="573"/>
      <c r="K259" s="1502"/>
      <c r="L259" s="216"/>
      <c r="M259" s="343"/>
      <c r="N259" s="336"/>
      <c r="O259" s="1626"/>
      <c r="P259" s="1626"/>
      <c r="AH259" s="1633">
        <v>0</v>
      </c>
    </row>
    <row r="260" s="1637" customFormat="1" ht="18.75" hidden="1" customHeight="1">
      <c r="A260" s="1782" t="s">
        <v>265</v>
      </c>
      <c r="B260" s="1782" t="s">
        <v>266</v>
      </c>
      <c r="C260" s="371"/>
      <c r="D260" s="2464"/>
      <c r="E260" s="2206"/>
      <c r="F260" s="2385" t="str">
        <f>INDEX(PT_DIFFERENTIATION_VTAR,MATCH(A260,PT_DIFFERENTIATION_VTAR_ID,0))</f>
        <v xml:space="preserve">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r="261" s="1637" customFormat="1" ht="18.75" hidden="1" customHeight="1">
      <c r="A261" s="1782"/>
      <c r="B261" s="1782"/>
      <c r="C261" s="371" t="s">
        <v>1148</v>
      </c>
      <c r="D261" s="2464"/>
      <c r="E261" s="2206"/>
      <c r="F261" s="2385"/>
      <c r="G261" s="2429"/>
      <c r="H261" s="1502"/>
      <c r="I261" s="653" t="s">
        <v>1147</v>
      </c>
      <c r="J261" s="573"/>
      <c r="K261" s="1502"/>
      <c r="L261" s="216"/>
      <c r="M261" s="343"/>
      <c r="N261" s="336"/>
      <c r="O261" s="1626"/>
      <c r="P261" s="1626"/>
      <c r="AH261" s="1633">
        <v>0</v>
      </c>
    </row>
    <row r="262" s="1637" customFormat="1" ht="0.75" hidden="1" customHeight="1">
      <c r="A262" s="1782"/>
      <c r="B262" s="1782"/>
      <c r="C262" s="371" t="s">
        <v>1155</v>
      </c>
      <c r="D262" s="2464"/>
      <c r="E262" s="2206"/>
      <c r="F262" s="2385"/>
      <c r="G262" s="402"/>
      <c r="H262" s="1502"/>
      <c r="I262" s="653"/>
      <c r="J262" s="573"/>
      <c r="K262" s="1502"/>
      <c r="L262" s="216"/>
      <c r="M262" s="343"/>
      <c r="N262" s="336"/>
      <c r="O262" s="1626"/>
      <c r="P262" s="1626"/>
      <c r="AH262" s="1633">
        <v>0</v>
      </c>
    </row>
    <row r="263" s="1637" customFormat="1" ht="18.75" hidden="1" customHeight="1">
      <c r="A263" s="1782" t="s">
        <v>270</v>
      </c>
      <c r="B263" s="1782" t="s">
        <v>271</v>
      </c>
      <c r="C263" s="371"/>
      <c r="D263" s="2464"/>
      <c r="E263" s="2206"/>
      <c r="F263" s="2385" t="str">
        <f>INDEX(PT_DIFFERENTIATION_VTAR,MATCH(A263,PT_DIFFERENTIATION_VTAR_ID,0))</f>
        <v xml:space="preserve">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r="264" s="1637" customFormat="1" ht="18.75" hidden="1" customHeight="1">
      <c r="A264" s="1782"/>
      <c r="B264" s="1782"/>
      <c r="C264" s="371" t="s">
        <v>1148</v>
      </c>
      <c r="D264" s="2464"/>
      <c r="E264" s="2206"/>
      <c r="F264" s="2385"/>
      <c r="G264" s="2429"/>
      <c r="H264" s="1502"/>
      <c r="I264" s="653" t="s">
        <v>1147</v>
      </c>
      <c r="J264" s="573"/>
      <c r="K264" s="1502"/>
      <c r="L264" s="216"/>
      <c r="M264" s="343"/>
      <c r="N264" s="336"/>
      <c r="O264" s="1626"/>
      <c r="P264" s="1626"/>
      <c r="AH264" s="1633">
        <v>0</v>
      </c>
    </row>
    <row r="265" s="1637" customFormat="1" ht="0.75" hidden="1" customHeight="1">
      <c r="A265" s="1782"/>
      <c r="B265" s="1782"/>
      <c r="C265" s="371" t="s">
        <v>1155</v>
      </c>
      <c r="D265" s="2464"/>
      <c r="E265" s="2206"/>
      <c r="F265" s="2385"/>
      <c r="G265" s="402"/>
      <c r="H265" s="1502"/>
      <c r="I265" s="653"/>
      <c r="J265" s="573"/>
      <c r="K265" s="1502"/>
      <c r="L265" s="216"/>
      <c r="M265" s="343"/>
      <c r="N265" s="336"/>
      <c r="O265" s="1626"/>
      <c r="P265" s="1626"/>
      <c r="AH265" s="1633">
        <v>0</v>
      </c>
    </row>
    <row r="266" s="1637" customFormat="1" ht="18.75" hidden="1" customHeight="1">
      <c r="A266" s="1782" t="s">
        <v>275</v>
      </c>
      <c r="B266" s="1782" t="s">
        <v>276</v>
      </c>
      <c r="C266" s="371"/>
      <c r="D266" s="2464"/>
      <c r="E266" s="2206"/>
      <c r="F266" s="2385" t="str">
        <f>INDEX(PT_DIFFERENTIATION_VTAR,MATCH(A266,PT_DIFFERENTIATION_VTAR_ID,0))</f>
        <v xml:space="preserve">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r="267" s="1637" customFormat="1" ht="18.75" hidden="1" customHeight="1">
      <c r="A267" s="1782"/>
      <c r="B267" s="1782"/>
      <c r="C267" s="371" t="s">
        <v>1148</v>
      </c>
      <c r="D267" s="2464"/>
      <c r="E267" s="2206"/>
      <c r="F267" s="2385"/>
      <c r="G267" s="2429"/>
      <c r="H267" s="1502"/>
      <c r="I267" s="653" t="s">
        <v>1147</v>
      </c>
      <c r="J267" s="573"/>
      <c r="K267" s="1502"/>
      <c r="L267" s="216"/>
      <c r="M267" s="343"/>
      <c r="N267" s="336"/>
      <c r="O267" s="1626"/>
      <c r="P267" s="1626"/>
      <c r="AH267" s="1633">
        <v>0</v>
      </c>
    </row>
    <row r="268" s="1637" customFormat="1" ht="1.05" customHeight="1">
      <c r="A268" s="1782"/>
      <c r="B268" s="1782"/>
      <c r="C268" s="371" t="s">
        <v>1155</v>
      </c>
      <c r="D268" s="2464"/>
      <c r="E268" s="2206"/>
      <c r="F268" s="2385"/>
      <c r="G268" s="402"/>
      <c r="H268" s="1502"/>
      <c r="I268" s="653"/>
      <c r="J268" s="573"/>
      <c r="K268" s="1502"/>
      <c r="L268" s="216"/>
      <c r="M268" s="343"/>
      <c r="N268" s="336"/>
      <c r="O268" s="1626"/>
      <c r="P268" s="1626"/>
      <c r="AH268" s="1633">
        <v>1</v>
      </c>
    </row>
    <row r="269" ht="27.300000000000001" customHeight="1">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r="270" s="1637" customFormat="1" ht="60.75" hidden="1" customHeight="1">
      <c r="A270" s="1782" t="s">
        <v>157</v>
      </c>
      <c r="B270" s="1782" t="s">
        <v>158</v>
      </c>
      <c r="C270" s="371"/>
      <c r="D270" s="2464"/>
      <c r="E270" s="2206"/>
      <c r="F270" s="2385"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r="271" s="1637" customFormat="1" ht="18.75" hidden="1" customHeight="1">
      <c r="A271" s="1782"/>
      <c r="B271" s="1782"/>
      <c r="C271" s="371" t="s">
        <v>1148</v>
      </c>
      <c r="D271" s="2464"/>
      <c r="E271" s="2206"/>
      <c r="F271" s="2385"/>
      <c r="G271" s="2429"/>
      <c r="H271" s="1502"/>
      <c r="I271" s="653" t="s">
        <v>1147</v>
      </c>
      <c r="J271" s="573"/>
      <c r="K271" s="1502"/>
      <c r="L271" s="216"/>
      <c r="M271" s="2172"/>
      <c r="N271" s="336"/>
      <c r="O271" s="1626"/>
      <c r="P271" s="1626"/>
      <c r="AH271" s="1633">
        <v>0</v>
      </c>
    </row>
    <row r="272" s="1637" customFormat="1" ht="0.75" hidden="1" customHeight="1">
      <c r="A272" s="1782"/>
      <c r="B272" s="1782"/>
      <c r="C272" s="371" t="s">
        <v>1155</v>
      </c>
      <c r="D272" s="2464"/>
      <c r="E272" s="2206"/>
      <c r="F272" s="2385"/>
      <c r="G272" s="402"/>
      <c r="H272" s="1502"/>
      <c r="I272" s="653"/>
      <c r="J272" s="573"/>
      <c r="K272" s="1502"/>
      <c r="L272" s="216"/>
      <c r="M272" s="2172"/>
      <c r="N272" s="336"/>
      <c r="O272" s="1626"/>
      <c r="P272" s="1626"/>
      <c r="AH272" s="1633">
        <v>0</v>
      </c>
    </row>
    <row r="273" s="1637" customFormat="1" ht="45" hidden="1" customHeight="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r="274" s="1637" customFormat="1" ht="18.75" hidden="1" customHeight="1">
      <c r="A274" s="1782"/>
      <c r="B274" s="1782"/>
      <c r="C274" s="371" t="s">
        <v>1148</v>
      </c>
      <c r="D274" s="2464"/>
      <c r="E274" s="2206"/>
      <c r="F274" s="2385"/>
      <c r="G274" s="2429"/>
      <c r="H274" s="1502"/>
      <c r="I274" s="653" t="s">
        <v>1147</v>
      </c>
      <c r="J274" s="573"/>
      <c r="K274" s="1502"/>
      <c r="L274" s="216"/>
      <c r="M274" s="1863"/>
      <c r="N274" s="336"/>
      <c r="O274" s="1626"/>
      <c r="P274" s="1626"/>
      <c r="AH274" s="1633">
        <v>0</v>
      </c>
    </row>
    <row r="275" s="1637" customFormat="1" ht="0.75" hidden="1" customHeight="1">
      <c r="A275" s="1782"/>
      <c r="B275" s="1782"/>
      <c r="C275" s="371" t="s">
        <v>1155</v>
      </c>
      <c r="D275" s="2464"/>
      <c r="E275" s="2206"/>
      <c r="F275" s="2385"/>
      <c r="G275" s="402"/>
      <c r="H275" s="1502"/>
      <c r="I275" s="653"/>
      <c r="J275" s="573"/>
      <c r="K275" s="1502"/>
      <c r="L275" s="216"/>
      <c r="M275" s="343"/>
      <c r="N275" s="336"/>
      <c r="O275" s="1626"/>
      <c r="P275" s="1626"/>
      <c r="AH275" s="1633">
        <v>0</v>
      </c>
    </row>
    <row r="276" s="1637" customFormat="1" ht="45" hidden="1" customHeight="1">
      <c r="A276" s="1782" t="s">
        <v>169</v>
      </c>
      <c r="B276" s="1782" t="s">
        <v>170</v>
      </c>
      <c r="C276" s="371"/>
      <c r="D276" s="2464"/>
      <c r="E276" s="2206"/>
      <c r="F276" s="2385"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r="277" s="1637" customFormat="1" ht="18.75" hidden="1" customHeight="1">
      <c r="A277" s="1782"/>
      <c r="B277" s="1782"/>
      <c r="C277" s="371" t="s">
        <v>1148</v>
      </c>
      <c r="D277" s="2464"/>
      <c r="E277" s="2206"/>
      <c r="F277" s="2385"/>
      <c r="G277" s="2429"/>
      <c r="H277" s="1502"/>
      <c r="I277" s="653" t="s">
        <v>1147</v>
      </c>
      <c r="J277" s="573"/>
      <c r="K277" s="1502"/>
      <c r="L277" s="216"/>
      <c r="M277" s="343"/>
      <c r="N277" s="336"/>
      <c r="O277" s="1626"/>
      <c r="P277" s="1626"/>
      <c r="AH277" s="1633">
        <v>0</v>
      </c>
    </row>
    <row r="278" s="1637" customFormat="1" ht="0.75" hidden="1" customHeight="1">
      <c r="A278" s="1782"/>
      <c r="B278" s="1782"/>
      <c r="C278" s="371" t="s">
        <v>1155</v>
      </c>
      <c r="D278" s="2464"/>
      <c r="E278" s="2206"/>
      <c r="F278" s="2385"/>
      <c r="G278" s="402"/>
      <c r="H278" s="1502"/>
      <c r="I278" s="653"/>
      <c r="J278" s="573"/>
      <c r="K278" s="1502"/>
      <c r="L278" s="216"/>
      <c r="M278" s="343"/>
      <c r="N278" s="336"/>
      <c r="O278" s="1626"/>
      <c r="P278" s="1626"/>
      <c r="AH278" s="1633">
        <v>0</v>
      </c>
    </row>
    <row r="279" s="1637" customFormat="1" ht="45" hidden="1" customHeight="1">
      <c r="A279" s="1782" t="s">
        <v>175</v>
      </c>
      <c r="B279" s="1782" t="s">
        <v>176</v>
      </c>
      <c r="C279" s="371"/>
      <c r="D279" s="2464"/>
      <c r="E279" s="2206"/>
      <c r="F279" s="2385"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r="280" s="1637" customFormat="1" ht="18.75" hidden="1" customHeight="1">
      <c r="A280" s="1782"/>
      <c r="B280" s="1782"/>
      <c r="C280" s="371" t="s">
        <v>1148</v>
      </c>
      <c r="D280" s="2464"/>
      <c r="E280" s="2206"/>
      <c r="F280" s="2385"/>
      <c r="G280" s="2429"/>
      <c r="H280" s="1502"/>
      <c r="I280" s="653" t="s">
        <v>1147</v>
      </c>
      <c r="J280" s="573"/>
      <c r="K280" s="1502"/>
      <c r="L280" s="216"/>
      <c r="M280" s="343"/>
      <c r="N280" s="336"/>
      <c r="O280" s="1626"/>
      <c r="P280" s="1626"/>
      <c r="AH280" s="1633">
        <v>0</v>
      </c>
    </row>
    <row r="281" s="1637" customFormat="1" ht="0.75" hidden="1" customHeight="1">
      <c r="A281" s="1782"/>
      <c r="B281" s="1782"/>
      <c r="C281" s="371" t="s">
        <v>1155</v>
      </c>
      <c r="D281" s="2464"/>
      <c r="E281" s="2206"/>
      <c r="F281" s="2385"/>
      <c r="G281" s="402"/>
      <c r="H281" s="1502"/>
      <c r="I281" s="653"/>
      <c r="J281" s="573"/>
      <c r="K281" s="1502"/>
      <c r="L281" s="216"/>
      <c r="M281" s="343"/>
      <c r="N281" s="336"/>
      <c r="O281" s="1626"/>
      <c r="P281" s="1626"/>
      <c r="AH281" s="1633">
        <v>0</v>
      </c>
    </row>
    <row r="282" s="1637" customFormat="1" ht="18.75" hidden="1" customHeight="1">
      <c r="A282" s="1782" t="s">
        <v>181</v>
      </c>
      <c r="B282" s="1782" t="s">
        <v>182</v>
      </c>
      <c r="C282" s="371"/>
      <c r="D282" s="2464"/>
      <c r="E282" s="2206"/>
      <c r="F282" s="2385" t="str">
        <f>INDEX(PT_DIFFERENTIATION_VTAR,MATCH(A282,PT_DIFFERENTIATION_VTAR_ID,0))</f>
        <v xml:space="preserve">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r="283" s="1637" customFormat="1" ht="18.75" hidden="1" customHeight="1">
      <c r="A283" s="1782"/>
      <c r="B283" s="1782"/>
      <c r="C283" s="371" t="s">
        <v>1148</v>
      </c>
      <c r="D283" s="2464"/>
      <c r="E283" s="2206"/>
      <c r="F283" s="2385"/>
      <c r="G283" s="2429"/>
      <c r="H283" s="1502"/>
      <c r="I283" s="653" t="s">
        <v>1147</v>
      </c>
      <c r="J283" s="573"/>
      <c r="K283" s="1502"/>
      <c r="L283" s="216"/>
      <c r="M283" s="343"/>
      <c r="N283" s="336"/>
      <c r="O283" s="1626"/>
      <c r="P283" s="1626"/>
      <c r="AH283" s="1633">
        <v>0</v>
      </c>
    </row>
    <row r="284" s="1637" customFormat="1" ht="0.75" hidden="1" customHeight="1">
      <c r="A284" s="1782"/>
      <c r="B284" s="1782"/>
      <c r="C284" s="371" t="s">
        <v>1155</v>
      </c>
      <c r="D284" s="2464"/>
      <c r="E284" s="2206"/>
      <c r="F284" s="2385"/>
      <c r="G284" s="402"/>
      <c r="H284" s="1502"/>
      <c r="I284" s="653"/>
      <c r="J284" s="573"/>
      <c r="K284" s="1502"/>
      <c r="L284" s="216"/>
      <c r="M284" s="343"/>
      <c r="N284" s="336"/>
      <c r="O284" s="1626"/>
      <c r="P284" s="1626"/>
      <c r="AH284" s="1633">
        <v>0</v>
      </c>
    </row>
    <row r="285" s="1637" customFormat="1" ht="18.75" hidden="1" customHeight="1">
      <c r="A285" s="1782" t="s">
        <v>187</v>
      </c>
      <c r="B285" s="1782" t="s">
        <v>188</v>
      </c>
      <c r="C285" s="371"/>
      <c r="D285" s="2464"/>
      <c r="E285" s="2206"/>
      <c r="F285" s="2385" t="str">
        <f>INDEX(PT_DIFFERENTIATION_VTAR,MATCH(A285,PT_DIFFERENTIATION_VTAR_ID,0))</f>
        <v xml:space="preserve">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r="286" s="1637" customFormat="1" ht="18.75" hidden="1" customHeight="1">
      <c r="A286" s="1782"/>
      <c r="B286" s="1782"/>
      <c r="C286" s="371" t="s">
        <v>1148</v>
      </c>
      <c r="D286" s="2464"/>
      <c r="E286" s="2206"/>
      <c r="F286" s="2385"/>
      <c r="G286" s="2429"/>
      <c r="H286" s="1502"/>
      <c r="I286" s="653" t="s">
        <v>1147</v>
      </c>
      <c r="J286" s="573"/>
      <c r="K286" s="1502"/>
      <c r="L286" s="216"/>
      <c r="M286" s="343"/>
      <c r="N286" s="336"/>
      <c r="O286" s="1626"/>
      <c r="P286" s="1626"/>
      <c r="AH286" s="1633">
        <v>0</v>
      </c>
    </row>
    <row r="287" s="1637" customFormat="1" ht="0.75" hidden="1" customHeight="1">
      <c r="A287" s="1782"/>
      <c r="B287" s="1782"/>
      <c r="C287" s="371" t="s">
        <v>1155</v>
      </c>
      <c r="D287" s="2464"/>
      <c r="E287" s="2206"/>
      <c r="F287" s="2385"/>
      <c r="G287" s="402"/>
      <c r="H287" s="1502"/>
      <c r="I287" s="653"/>
      <c r="J287" s="573"/>
      <c r="K287" s="1502"/>
      <c r="L287" s="216"/>
      <c r="M287" s="343"/>
      <c r="N287" s="336"/>
      <c r="O287" s="1626"/>
      <c r="P287" s="1626"/>
      <c r="AH287" s="1633">
        <v>0</v>
      </c>
    </row>
    <row r="288" s="1637" customFormat="1" ht="18.75" hidden="1" customHeight="1">
      <c r="A288" s="1782" t="s">
        <v>193</v>
      </c>
      <c r="B288" s="1782" t="s">
        <v>194</v>
      </c>
      <c r="C288" s="371"/>
      <c r="D288" s="2464"/>
      <c r="E288" s="2206"/>
      <c r="F288" s="2385"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r="289" s="1637" customFormat="1" ht="18.75" hidden="1" customHeight="1">
      <c r="A289" s="1782"/>
      <c r="B289" s="1782"/>
      <c r="C289" s="371" t="s">
        <v>1148</v>
      </c>
      <c r="D289" s="2464"/>
      <c r="E289" s="2206"/>
      <c r="F289" s="2385"/>
      <c r="G289" s="2429"/>
      <c r="H289" s="1502"/>
      <c r="I289" s="653" t="s">
        <v>1147</v>
      </c>
      <c r="J289" s="573"/>
      <c r="K289" s="1502"/>
      <c r="L289" s="216"/>
      <c r="M289" s="343"/>
      <c r="N289" s="336"/>
      <c r="O289" s="1626"/>
      <c r="P289" s="1626"/>
      <c r="AH289" s="1633">
        <v>0</v>
      </c>
    </row>
    <row r="290" s="1637" customFormat="1" ht="0.75" hidden="1" customHeight="1">
      <c r="A290" s="1782"/>
      <c r="B290" s="1782"/>
      <c r="C290" s="371" t="s">
        <v>1155</v>
      </c>
      <c r="D290" s="2464"/>
      <c r="E290" s="2206"/>
      <c r="F290" s="2385"/>
      <c r="G290" s="402"/>
      <c r="H290" s="1502"/>
      <c r="I290" s="653"/>
      <c r="J290" s="573"/>
      <c r="K290" s="1502"/>
      <c r="L290" s="216"/>
      <c r="M290" s="343"/>
      <c r="N290" s="336"/>
      <c r="O290" s="1626"/>
      <c r="P290" s="1626"/>
      <c r="AH290" s="1633">
        <v>0</v>
      </c>
    </row>
    <row r="291" s="1637" customFormat="1" ht="18.75" hidden="1" customHeight="1">
      <c r="A291" s="1782" t="s">
        <v>199</v>
      </c>
      <c r="B291" s="1782" t="s">
        <v>200</v>
      </c>
      <c r="C291" s="371"/>
      <c r="D291" s="2464"/>
      <c r="E291" s="2206"/>
      <c r="F291" s="2385" t="str">
        <f>INDEX(PT_DIFFERENTIATION_VTAR,MATCH(A291,PT_DIFFERENTIATION_VTAR_ID,0))</f>
        <v xml:space="preserve">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r="292" s="1637" customFormat="1" ht="18.75" hidden="1" customHeight="1">
      <c r="A292" s="1782"/>
      <c r="B292" s="1782"/>
      <c r="C292" s="371" t="s">
        <v>1148</v>
      </c>
      <c r="D292" s="2464"/>
      <c r="E292" s="2206"/>
      <c r="F292" s="2385"/>
      <c r="G292" s="2429"/>
      <c r="H292" s="1502"/>
      <c r="I292" s="653" t="s">
        <v>1147</v>
      </c>
      <c r="J292" s="573"/>
      <c r="K292" s="1502"/>
      <c r="L292" s="216"/>
      <c r="M292" s="343"/>
      <c r="N292" s="336"/>
      <c r="O292" s="1626"/>
      <c r="P292" s="1626"/>
      <c r="AH292" s="1633">
        <v>0</v>
      </c>
    </row>
    <row r="293" s="1637" customFormat="1" ht="0.75" hidden="1" customHeight="1">
      <c r="A293" s="1782"/>
      <c r="B293" s="1782"/>
      <c r="C293" s="371" t="s">
        <v>1155</v>
      </c>
      <c r="D293" s="2464"/>
      <c r="E293" s="2206"/>
      <c r="F293" s="2385"/>
      <c r="G293" s="402"/>
      <c r="H293" s="1502"/>
      <c r="I293" s="653"/>
      <c r="J293" s="573"/>
      <c r="K293" s="1502"/>
      <c r="L293" s="216"/>
      <c r="M293" s="343"/>
      <c r="N293" s="336"/>
      <c r="O293" s="1626"/>
      <c r="P293" s="1626"/>
      <c r="AH293" s="1633">
        <v>0</v>
      </c>
    </row>
    <row r="294" s="1637" customFormat="1" ht="18.75" hidden="1" customHeight="1">
      <c r="A294" s="1782" t="s">
        <v>205</v>
      </c>
      <c r="B294" s="1782" t="s">
        <v>206</v>
      </c>
      <c r="C294" s="371"/>
      <c r="D294" s="2464"/>
      <c r="E294" s="2206"/>
      <c r="F294" s="2385" t="str">
        <f>INDEX(PT_DIFFERENTIATION_VTAR,MATCH(A294,PT_DIFFERENTIATION_VTAR_ID,0))</f>
        <v xml:space="preserve">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r="295" s="1637" customFormat="1" ht="18.75" hidden="1" customHeight="1">
      <c r="A295" s="1782"/>
      <c r="B295" s="1782"/>
      <c r="C295" s="371" t="s">
        <v>1148</v>
      </c>
      <c r="D295" s="2464"/>
      <c r="E295" s="2206"/>
      <c r="F295" s="2385"/>
      <c r="G295" s="2429"/>
      <c r="H295" s="1502"/>
      <c r="I295" s="653" t="s">
        <v>1147</v>
      </c>
      <c r="J295" s="573"/>
      <c r="K295" s="1502"/>
      <c r="L295" s="216"/>
      <c r="M295" s="343"/>
      <c r="N295" s="336"/>
      <c r="O295" s="1626"/>
      <c r="P295" s="1626"/>
      <c r="AH295" s="1633">
        <v>0</v>
      </c>
    </row>
    <row r="296" s="1637" customFormat="1" ht="0.75" hidden="1" customHeight="1">
      <c r="A296" s="1782"/>
      <c r="B296" s="1782"/>
      <c r="C296" s="371" t="s">
        <v>1155</v>
      </c>
      <c r="D296" s="2464"/>
      <c r="E296" s="2206"/>
      <c r="F296" s="2385"/>
      <c r="G296" s="402"/>
      <c r="H296" s="1502"/>
      <c r="I296" s="653"/>
      <c r="J296" s="573"/>
      <c r="K296" s="1502"/>
      <c r="L296" s="216"/>
      <c r="M296" s="343"/>
      <c r="N296" s="336"/>
      <c r="O296" s="1626"/>
      <c r="P296" s="1626"/>
      <c r="AH296" s="1633">
        <v>0</v>
      </c>
    </row>
    <row r="297" s="1637" customFormat="1" ht="18.75" hidden="1" customHeight="1">
      <c r="A297" s="1782" t="s">
        <v>225</v>
      </c>
      <c r="B297" s="1782" t="s">
        <v>226</v>
      </c>
      <c r="C297" s="371"/>
      <c r="D297" s="2464"/>
      <c r="E297" s="2206"/>
      <c r="F297" s="2385" t="str">
        <f>INDEX(PT_DIFFERENTIATION_VTAR,MATCH(A297,PT_DIFFERENTIATION_VTAR_ID,0))</f>
        <v xml:space="preserve">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r="298" s="1637" customFormat="1" ht="18.75" hidden="1" customHeight="1">
      <c r="A298" s="1782"/>
      <c r="B298" s="1782"/>
      <c r="C298" s="371" t="s">
        <v>1148</v>
      </c>
      <c r="D298" s="2464"/>
      <c r="E298" s="2206"/>
      <c r="F298" s="2385"/>
      <c r="G298" s="2429"/>
      <c r="H298" s="1502"/>
      <c r="I298" s="653" t="s">
        <v>1147</v>
      </c>
      <c r="J298" s="573"/>
      <c r="K298" s="1502"/>
      <c r="L298" s="216"/>
      <c r="M298" s="343"/>
      <c r="N298" s="336"/>
      <c r="O298" s="1626"/>
      <c r="P298" s="1626"/>
      <c r="AH298" s="1633">
        <v>0</v>
      </c>
    </row>
    <row r="299" s="1637" customFormat="1" ht="0.75" hidden="1" customHeight="1">
      <c r="A299" s="1782"/>
      <c r="B299" s="1782"/>
      <c r="C299" s="371" t="s">
        <v>1155</v>
      </c>
      <c r="D299" s="2464"/>
      <c r="E299" s="2206"/>
      <c r="F299" s="2385"/>
      <c r="G299" s="402"/>
      <c r="H299" s="1502"/>
      <c r="I299" s="653"/>
      <c r="J299" s="573"/>
      <c r="K299" s="1502"/>
      <c r="L299" s="216"/>
      <c r="M299" s="343"/>
      <c r="N299" s="336"/>
      <c r="O299" s="1626"/>
      <c r="P299" s="1626"/>
      <c r="AH299" s="1633">
        <v>0</v>
      </c>
    </row>
    <row r="300" s="1637" customFormat="1" ht="18.75" hidden="1" customHeight="1">
      <c r="A300" s="1782" t="s">
        <v>230</v>
      </c>
      <c r="B300" s="1782" t="s">
        <v>231</v>
      </c>
      <c r="C300" s="371"/>
      <c r="D300" s="2464"/>
      <c r="E300" s="2206"/>
      <c r="F300" s="2385" t="str">
        <f>INDEX(PT_DIFFERENTIATION_VTAR,MATCH(A300,PT_DIFFERENTIATION_VTAR_ID,0))</f>
        <v xml:space="preserve">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r="301" s="1637" customFormat="1" ht="18.75" hidden="1" customHeight="1">
      <c r="A301" s="1782"/>
      <c r="B301" s="1782"/>
      <c r="C301" s="371" t="s">
        <v>1148</v>
      </c>
      <c r="D301" s="2464"/>
      <c r="E301" s="2206"/>
      <c r="F301" s="2385"/>
      <c r="G301" s="2429"/>
      <c r="H301" s="1502"/>
      <c r="I301" s="653" t="s">
        <v>1147</v>
      </c>
      <c r="J301" s="573"/>
      <c r="K301" s="1502"/>
      <c r="L301" s="216"/>
      <c r="M301" s="343"/>
      <c r="N301" s="336"/>
      <c r="O301" s="1626"/>
      <c r="P301" s="1626"/>
      <c r="AH301" s="1633">
        <v>0</v>
      </c>
    </row>
    <row r="302" s="1637" customFormat="1" ht="0.75" hidden="1" customHeight="1">
      <c r="A302" s="1782"/>
      <c r="B302" s="1782"/>
      <c r="C302" s="371" t="s">
        <v>1155</v>
      </c>
      <c r="D302" s="2464"/>
      <c r="E302" s="2206"/>
      <c r="F302" s="2385"/>
      <c r="G302" s="402"/>
      <c r="H302" s="1502"/>
      <c r="I302" s="653"/>
      <c r="J302" s="573"/>
      <c r="K302" s="1502"/>
      <c r="L302" s="216"/>
      <c r="M302" s="343"/>
      <c r="N302" s="336"/>
      <c r="O302" s="1626"/>
      <c r="P302" s="1626"/>
      <c r="AH302" s="1633">
        <v>0</v>
      </c>
    </row>
    <row r="303" s="1637" customFormat="1" ht="18.75" hidden="1" customHeight="1">
      <c r="A303" s="1782" t="s">
        <v>235</v>
      </c>
      <c r="B303" s="1782" t="s">
        <v>236</v>
      </c>
      <c r="C303" s="371"/>
      <c r="D303" s="2464"/>
      <c r="E303" s="2206"/>
      <c r="F303" s="2385" t="str">
        <f>INDEX(PT_DIFFERENTIATION_VTAR,MATCH(A303,PT_DIFFERENTIATION_VTAR_ID,0))</f>
        <v xml:space="preserve">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r="304" s="1637" customFormat="1" ht="18.75" hidden="1" customHeight="1">
      <c r="A304" s="1782"/>
      <c r="B304" s="1782"/>
      <c r="C304" s="371" t="s">
        <v>1148</v>
      </c>
      <c r="D304" s="2464"/>
      <c r="E304" s="2206"/>
      <c r="F304" s="2385"/>
      <c r="G304" s="2429"/>
      <c r="H304" s="1502"/>
      <c r="I304" s="653" t="s">
        <v>1147</v>
      </c>
      <c r="J304" s="573"/>
      <c r="K304" s="1502"/>
      <c r="L304" s="216"/>
      <c r="M304" s="343"/>
      <c r="N304" s="336"/>
      <c r="O304" s="1626"/>
      <c r="P304" s="1626"/>
      <c r="AH304" s="1633">
        <v>0</v>
      </c>
    </row>
    <row r="305" s="1637" customFormat="1" ht="0.75" hidden="1" customHeight="1">
      <c r="A305" s="1782"/>
      <c r="B305" s="1782"/>
      <c r="C305" s="371" t="s">
        <v>1155</v>
      </c>
      <c r="D305" s="2464"/>
      <c r="E305" s="2206"/>
      <c r="F305" s="2385"/>
      <c r="G305" s="402"/>
      <c r="H305" s="1502"/>
      <c r="I305" s="653"/>
      <c r="J305" s="573"/>
      <c r="K305" s="1502"/>
      <c r="L305" s="216"/>
      <c r="M305" s="343"/>
      <c r="N305" s="336"/>
      <c r="O305" s="1626"/>
      <c r="P305" s="1626"/>
      <c r="AH305" s="1633">
        <v>0</v>
      </c>
    </row>
    <row r="306" s="1637" customFormat="1" ht="18.75" hidden="1" customHeight="1">
      <c r="A306" s="1782" t="s">
        <v>240</v>
      </c>
      <c r="B306" s="1782" t="s">
        <v>241</v>
      </c>
      <c r="C306" s="371"/>
      <c r="D306" s="2464"/>
      <c r="E306" s="2206"/>
      <c r="F306" s="2385" t="str">
        <f>INDEX(PT_DIFFERENTIATION_VTAR,MATCH(A306,PT_DIFFERENTIATION_VTAR_ID,0))</f>
        <v xml:space="preserve">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r="307" s="1637" customFormat="1" ht="18.75" hidden="1" customHeight="1">
      <c r="A307" s="1782"/>
      <c r="B307" s="1782"/>
      <c r="C307" s="371" t="s">
        <v>1148</v>
      </c>
      <c r="D307" s="2464"/>
      <c r="E307" s="2206"/>
      <c r="F307" s="2385"/>
      <c r="G307" s="2429"/>
      <c r="H307" s="1502"/>
      <c r="I307" s="653" t="s">
        <v>1147</v>
      </c>
      <c r="J307" s="573"/>
      <c r="K307" s="1502"/>
      <c r="L307" s="216"/>
      <c r="M307" s="343"/>
      <c r="N307" s="336"/>
      <c r="O307" s="1626"/>
      <c r="P307" s="1626"/>
      <c r="AH307" s="1633">
        <v>0</v>
      </c>
    </row>
    <row r="308" s="1637" customFormat="1" ht="0.75" hidden="1" customHeight="1">
      <c r="A308" s="1782"/>
      <c r="B308" s="1782"/>
      <c r="C308" s="371" t="s">
        <v>1155</v>
      </c>
      <c r="D308" s="2464"/>
      <c r="E308" s="2206"/>
      <c r="F308" s="2385"/>
      <c r="G308" s="402"/>
      <c r="H308" s="1502"/>
      <c r="I308" s="653"/>
      <c r="J308" s="573"/>
      <c r="K308" s="1502"/>
      <c r="L308" s="216"/>
      <c r="M308" s="343"/>
      <c r="N308" s="336"/>
      <c r="O308" s="1626"/>
      <c r="P308" s="1626"/>
      <c r="AH308" s="1633">
        <v>0</v>
      </c>
    </row>
    <row r="309" s="1637" customFormat="1" ht="18.75" hidden="1" customHeight="1">
      <c r="A309" s="1782" t="s">
        <v>245</v>
      </c>
      <c r="B309" s="1782" t="s">
        <v>246</v>
      </c>
      <c r="C309" s="371"/>
      <c r="D309" s="2464"/>
      <c r="E309" s="2206"/>
      <c r="F309" s="2385"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r="310" s="1637" customFormat="1" ht="18.75" hidden="1" customHeight="1">
      <c r="A310" s="1782"/>
      <c r="B310" s="1782"/>
      <c r="C310" s="371" t="s">
        <v>1148</v>
      </c>
      <c r="D310" s="2464"/>
      <c r="E310" s="2206"/>
      <c r="F310" s="2385"/>
      <c r="G310" s="2429"/>
      <c r="H310" s="1502"/>
      <c r="I310" s="653" t="s">
        <v>1147</v>
      </c>
      <c r="J310" s="573"/>
      <c r="K310" s="1502"/>
      <c r="L310" s="216"/>
      <c r="M310" s="343"/>
      <c r="N310" s="336"/>
      <c r="O310" s="1626"/>
      <c r="P310" s="1626"/>
      <c r="AH310" s="1633">
        <v>0</v>
      </c>
    </row>
    <row r="311" s="1637" customFormat="1" ht="0.75" hidden="1" customHeight="1">
      <c r="A311" s="1782"/>
      <c r="B311" s="1782"/>
      <c r="C311" s="371" t="s">
        <v>1155</v>
      </c>
      <c r="D311" s="2464"/>
      <c r="E311" s="2206"/>
      <c r="F311" s="2385"/>
      <c r="G311" s="402"/>
      <c r="H311" s="1502"/>
      <c r="I311" s="653"/>
      <c r="J311" s="573"/>
      <c r="K311" s="1502"/>
      <c r="L311" s="216"/>
      <c r="M311" s="343"/>
      <c r="N311" s="336"/>
      <c r="O311" s="1626"/>
      <c r="P311" s="1626"/>
      <c r="AH311" s="1633">
        <v>0</v>
      </c>
    </row>
    <row r="312" s="1637" customFormat="1" ht="18.75" hidden="1" customHeight="1">
      <c r="A312" s="1782" t="s">
        <v>250</v>
      </c>
      <c r="B312" s="1782" t="s">
        <v>251</v>
      </c>
      <c r="C312" s="371"/>
      <c r="D312" s="2464"/>
      <c r="E312" s="2206"/>
      <c r="F312" s="2385" t="str">
        <f>INDEX(PT_DIFFERENTIATION_VTAR,MATCH(A312,PT_DIFFERENTIATION_VTAR_ID,0))</f>
        <v xml:space="preserve">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r="313" s="1637" customFormat="1" ht="18.75" hidden="1" customHeight="1">
      <c r="A313" s="1782"/>
      <c r="B313" s="1782"/>
      <c r="C313" s="371" t="s">
        <v>1148</v>
      </c>
      <c r="D313" s="2464"/>
      <c r="E313" s="2206"/>
      <c r="F313" s="2385"/>
      <c r="G313" s="2429"/>
      <c r="H313" s="1502"/>
      <c r="I313" s="653" t="s">
        <v>1147</v>
      </c>
      <c r="J313" s="573"/>
      <c r="K313" s="1502"/>
      <c r="L313" s="216"/>
      <c r="M313" s="343"/>
      <c r="N313" s="336"/>
      <c r="O313" s="1626"/>
      <c r="P313" s="1626"/>
      <c r="AH313" s="1633">
        <v>0</v>
      </c>
    </row>
    <row r="314" s="1637" customFormat="1" ht="0.75" hidden="1" customHeight="1">
      <c r="A314" s="1782"/>
      <c r="B314" s="1782"/>
      <c r="C314" s="371" t="s">
        <v>1155</v>
      </c>
      <c r="D314" s="2464"/>
      <c r="E314" s="2206"/>
      <c r="F314" s="2385"/>
      <c r="G314" s="402"/>
      <c r="H314" s="1502"/>
      <c r="I314" s="653"/>
      <c r="J314" s="573"/>
      <c r="K314" s="1502"/>
      <c r="L314" s="216"/>
      <c r="M314" s="343"/>
      <c r="N314" s="336"/>
      <c r="O314" s="1626"/>
      <c r="P314" s="1626"/>
      <c r="AH314" s="1633">
        <v>0</v>
      </c>
    </row>
    <row r="315" s="1637" customFormat="1" ht="18.75" hidden="1" customHeight="1">
      <c r="A315" s="1782" t="s">
        <v>255</v>
      </c>
      <c r="B315" s="1782" t="s">
        <v>256</v>
      </c>
      <c r="C315" s="371"/>
      <c r="D315" s="2464"/>
      <c r="E315" s="2206"/>
      <c r="F315" s="2385" t="str">
        <f>INDEX(PT_DIFFERENTIATION_VTAR,MATCH(A315,PT_DIFFERENTIATION_VTAR_ID,0))</f>
        <v xml:space="preserve">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r="316" s="1637" customFormat="1" ht="18.75" hidden="1" customHeight="1">
      <c r="A316" s="1782"/>
      <c r="B316" s="1782"/>
      <c r="C316" s="371" t="s">
        <v>1148</v>
      </c>
      <c r="D316" s="2464"/>
      <c r="E316" s="2206"/>
      <c r="F316" s="2385"/>
      <c r="G316" s="2429"/>
      <c r="H316" s="1502"/>
      <c r="I316" s="653" t="s">
        <v>1147</v>
      </c>
      <c r="J316" s="573"/>
      <c r="K316" s="1502"/>
      <c r="L316" s="216"/>
      <c r="M316" s="343"/>
      <c r="N316" s="336"/>
      <c r="O316" s="1626"/>
      <c r="P316" s="1626"/>
      <c r="AH316" s="1633">
        <v>0</v>
      </c>
    </row>
    <row r="317" s="1637" customFormat="1" ht="0.75" hidden="1" customHeight="1">
      <c r="A317" s="1782"/>
      <c r="B317" s="1782"/>
      <c r="C317" s="371" t="s">
        <v>1155</v>
      </c>
      <c r="D317" s="2464"/>
      <c r="E317" s="2206"/>
      <c r="F317" s="2385"/>
      <c r="G317" s="402"/>
      <c r="H317" s="1502"/>
      <c r="I317" s="653"/>
      <c r="J317" s="573"/>
      <c r="K317" s="1502"/>
      <c r="L317" s="216"/>
      <c r="M317" s="343"/>
      <c r="N317" s="336"/>
      <c r="O317" s="1626"/>
      <c r="P317" s="1626"/>
      <c r="AH317" s="1633">
        <v>0</v>
      </c>
    </row>
    <row r="318" s="1637" customFormat="1" ht="18.75" hidden="1" customHeight="1">
      <c r="A318" s="1782" t="s">
        <v>260</v>
      </c>
      <c r="B318" s="1782" t="s">
        <v>261</v>
      </c>
      <c r="C318" s="371"/>
      <c r="D318" s="2464"/>
      <c r="E318" s="2206"/>
      <c r="F318" s="2385"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r="319" s="1637" customFormat="1" ht="18.75" hidden="1" customHeight="1">
      <c r="A319" s="1782"/>
      <c r="B319" s="1782"/>
      <c r="C319" s="371" t="s">
        <v>1148</v>
      </c>
      <c r="D319" s="2464"/>
      <c r="E319" s="2206"/>
      <c r="F319" s="2385"/>
      <c r="G319" s="2429"/>
      <c r="H319" s="1502"/>
      <c r="I319" s="653" t="s">
        <v>1147</v>
      </c>
      <c r="J319" s="573"/>
      <c r="K319" s="1502"/>
      <c r="L319" s="216"/>
      <c r="M319" s="343"/>
      <c r="N319" s="336"/>
      <c r="O319" s="1626"/>
      <c r="P319" s="1626"/>
      <c r="AH319" s="1633">
        <v>0</v>
      </c>
    </row>
    <row r="320" s="1637" customFormat="1" ht="0.75" hidden="1" customHeight="1">
      <c r="A320" s="1782"/>
      <c r="B320" s="1782"/>
      <c r="C320" s="371" t="s">
        <v>1155</v>
      </c>
      <c r="D320" s="2464"/>
      <c r="E320" s="2206"/>
      <c r="F320" s="2385"/>
      <c r="G320" s="402"/>
      <c r="H320" s="1502"/>
      <c r="I320" s="653"/>
      <c r="J320" s="573"/>
      <c r="K320" s="1502"/>
      <c r="L320" s="216"/>
      <c r="M320" s="343"/>
      <c r="N320" s="336"/>
      <c r="O320" s="1626"/>
      <c r="P320" s="1626"/>
      <c r="AH320" s="1633">
        <v>0</v>
      </c>
    </row>
    <row r="321" s="1637" customFormat="1" ht="18.75" hidden="1" customHeight="1">
      <c r="A321" s="1782" t="s">
        <v>265</v>
      </c>
      <c r="B321" s="1782" t="s">
        <v>266</v>
      </c>
      <c r="C321" s="371"/>
      <c r="D321" s="2464"/>
      <c r="E321" s="2206"/>
      <c r="F321" s="2385" t="str">
        <f>INDEX(PT_DIFFERENTIATION_VTAR,MATCH(A321,PT_DIFFERENTIATION_VTAR_ID,0))</f>
        <v xml:space="preserve">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r="322" s="1637" customFormat="1" ht="18.75" hidden="1" customHeight="1">
      <c r="A322" s="1782"/>
      <c r="B322" s="1782"/>
      <c r="C322" s="371" t="s">
        <v>1148</v>
      </c>
      <c r="D322" s="2464"/>
      <c r="E322" s="2206"/>
      <c r="F322" s="2385"/>
      <c r="G322" s="2429"/>
      <c r="H322" s="1502"/>
      <c r="I322" s="653" t="s">
        <v>1147</v>
      </c>
      <c r="J322" s="573"/>
      <c r="K322" s="1502"/>
      <c r="L322" s="216"/>
      <c r="M322" s="343"/>
      <c r="N322" s="336"/>
      <c r="O322" s="1626"/>
      <c r="P322" s="1626"/>
      <c r="AH322" s="1633">
        <v>0</v>
      </c>
    </row>
    <row r="323" s="1637" customFormat="1" ht="0.75" hidden="1" customHeight="1">
      <c r="A323" s="1782"/>
      <c r="B323" s="1782"/>
      <c r="C323" s="371" t="s">
        <v>1155</v>
      </c>
      <c r="D323" s="2464"/>
      <c r="E323" s="2206"/>
      <c r="F323" s="2385"/>
      <c r="G323" s="402"/>
      <c r="H323" s="1502"/>
      <c r="I323" s="653"/>
      <c r="J323" s="573"/>
      <c r="K323" s="1502"/>
      <c r="L323" s="216"/>
      <c r="M323" s="343"/>
      <c r="N323" s="336"/>
      <c r="O323" s="1626"/>
      <c r="P323" s="1626"/>
      <c r="AH323" s="1633">
        <v>0</v>
      </c>
    </row>
    <row r="324" s="1637" customFormat="1" ht="18.75" hidden="1" customHeight="1">
      <c r="A324" s="1782" t="s">
        <v>270</v>
      </c>
      <c r="B324" s="1782" t="s">
        <v>271</v>
      </c>
      <c r="C324" s="371"/>
      <c r="D324" s="2464"/>
      <c r="E324" s="2206"/>
      <c r="F324" s="2385" t="str">
        <f>INDEX(PT_DIFFERENTIATION_VTAR,MATCH(A324,PT_DIFFERENTIATION_VTAR_ID,0))</f>
        <v xml:space="preserve">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r="325" s="1637" customFormat="1" ht="18.75" hidden="1" customHeight="1">
      <c r="A325" s="1782"/>
      <c r="B325" s="1782"/>
      <c r="C325" s="371" t="s">
        <v>1148</v>
      </c>
      <c r="D325" s="2464"/>
      <c r="E325" s="2206"/>
      <c r="F325" s="2385"/>
      <c r="G325" s="2429"/>
      <c r="H325" s="1502"/>
      <c r="I325" s="653" t="s">
        <v>1147</v>
      </c>
      <c r="J325" s="573"/>
      <c r="K325" s="1502"/>
      <c r="L325" s="216"/>
      <c r="M325" s="343"/>
      <c r="N325" s="336"/>
      <c r="O325" s="1626"/>
      <c r="P325" s="1626"/>
      <c r="AH325" s="1633">
        <v>0</v>
      </c>
    </row>
    <row r="326" s="1637" customFormat="1" ht="0.75" hidden="1" customHeight="1">
      <c r="A326" s="1782"/>
      <c r="B326" s="1782"/>
      <c r="C326" s="371" t="s">
        <v>1155</v>
      </c>
      <c r="D326" s="2464"/>
      <c r="E326" s="2206"/>
      <c r="F326" s="2385"/>
      <c r="G326" s="402"/>
      <c r="H326" s="1502"/>
      <c r="I326" s="653"/>
      <c r="J326" s="573"/>
      <c r="K326" s="1502"/>
      <c r="L326" s="216"/>
      <c r="M326" s="343"/>
      <c r="N326" s="336"/>
      <c r="O326" s="1626"/>
      <c r="P326" s="1626"/>
      <c r="AH326" s="1633">
        <v>0</v>
      </c>
    </row>
    <row r="327" s="1637" customFormat="1" ht="18.75" hidden="1" customHeight="1">
      <c r="A327" s="1782" t="s">
        <v>275</v>
      </c>
      <c r="B327" s="1782" t="s">
        <v>276</v>
      </c>
      <c r="C327" s="371"/>
      <c r="D327" s="2464"/>
      <c r="E327" s="2206"/>
      <c r="F327" s="2385" t="str">
        <f>INDEX(PT_DIFFERENTIATION_VTAR,MATCH(A327,PT_DIFFERENTIATION_VTAR_ID,0))</f>
        <v xml:space="preserve">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r="328" s="1637" customFormat="1" ht="18.75" hidden="1" customHeight="1">
      <c r="A328" s="1782"/>
      <c r="B328" s="1782"/>
      <c r="C328" s="371" t="s">
        <v>1148</v>
      </c>
      <c r="D328" s="2464"/>
      <c r="E328" s="2206"/>
      <c r="F328" s="2385"/>
      <c r="G328" s="2429"/>
      <c r="H328" s="1502"/>
      <c r="I328" s="653" t="s">
        <v>1147</v>
      </c>
      <c r="J328" s="573"/>
      <c r="K328" s="1502"/>
      <c r="L328" s="216"/>
      <c r="M328" s="343"/>
      <c r="N328" s="336"/>
      <c r="O328" s="1626"/>
      <c r="P328" s="1626"/>
      <c r="AH328" s="1633">
        <v>0</v>
      </c>
    </row>
    <row r="329" s="1637" customFormat="1" ht="1.05" customHeight="1">
      <c r="A329" s="1782"/>
      <c r="B329" s="1782"/>
      <c r="C329" s="371" t="s">
        <v>1155</v>
      </c>
      <c r="D329" s="2464"/>
      <c r="E329" s="2206"/>
      <c r="F329" s="2385"/>
      <c r="G329" s="402"/>
      <c r="H329" s="1502"/>
      <c r="I329" s="653"/>
      <c r="J329" s="573"/>
      <c r="K329" s="1502"/>
      <c r="L329" s="216"/>
      <c r="M329" s="343"/>
      <c r="N329" s="336"/>
      <c r="O329" s="1626"/>
      <c r="P329" s="1626"/>
      <c r="AH329" s="1633">
        <v>1</v>
      </c>
    </row>
    <row r="330" s="1825" customFormat="1" ht="3" customHeight="1">
      <c r="A330" s="1782"/>
      <c r="B330" s="1782"/>
      <c r="C330" s="1783"/>
      <c r="E330" s="404"/>
      <c r="F330" s="404"/>
      <c r="G330" s="404"/>
      <c r="H330" s="404"/>
      <c r="I330" s="404"/>
      <c r="J330" s="404"/>
      <c r="K330" s="404"/>
      <c r="L330" s="404"/>
      <c r="M330" s="404"/>
      <c r="O330" s="198"/>
      <c r="P330" s="198"/>
      <c r="AH330" s="142">
        <v>3</v>
      </c>
    </row>
    <row r="331" ht="26.25" customHeight="1">
      <c r="E331" s="204"/>
      <c r="F331" s="2287"/>
      <c r="G331" s="2287"/>
      <c r="H331" s="2287"/>
      <c r="I331" s="2287"/>
      <c r="J331" s="2287"/>
      <c r="K331" s="2287"/>
      <c r="L331" s="2287"/>
      <c r="M331" s="2287"/>
      <c r="AH331" s="376">
        <v>25</v>
      </c>
    </row>
    <row r="332" ht="14.25" hidden="1" customHeight="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autoFilter="0" deleteColumns="0" deleteRows="0" formatColumns="0" formatRows="0" insertColumns="1" insertRows="0" sort="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1">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3">
        <x14:dataValidation xr:uid="{00AF003E-00D2-4B8A-9AB7-009B009B00DC}"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L85</xm:sqref>
        </x14:dataValidation>
        <x14:dataValidation xr:uid="{002900C8-0037-49CC-9D9D-000200E4004C}" type="textLength" allowBlank="1" error="Допускается ввод не более 900 символов!" errorTitle="Ошибка" operator="lessThanOrEqual" showErrorMessage="1" showInputMessage="1">
          <x14:formula1>
            <xm:f>900</xm:f>
          </x14:formula1>
          <xm:sqref>M148:M149 M209:M210 M23 M87:M88 M270:M271</xm:sqref>
        </x14:dataValidation>
        <x14:dataValidation xr:uid="{00A90091-0011-4740-B5D8-0091006D0046}" type="decimal" allowBlank="1" error="Допускается ввод только действительных чисел!" errorTitle="Ошибка" showErrorMessage="1">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2399" width="9.140625"/>
    <col customWidth="1" hidden="1" min="2" max="2" style="1368" width="9.140625"/>
    <col customWidth="1" min="3" max="3" style="346" width="3.00390625"/>
    <col customWidth="1" min="4" max="4" style="1637" width="6.00390625"/>
    <col customWidth="1" min="5" max="5" style="1637" width="53.00390625"/>
    <col customWidth="1" min="6" max="7" style="1637" width="35.00390625"/>
    <col customWidth="1" min="8" max="8" style="1637" width="89.00390625"/>
    <col customWidth="1" min="9" max="9" style="1637" width="10.00390625"/>
    <col customWidth="1" min="10" max="11" style="1626" width="10.00390625"/>
    <col customWidth="1" min="12" max="17" style="1637" width="10.00390625"/>
    <col hidden="1" min="18" max="18" style="1637" width="10.57421875"/>
  </cols>
  <sheetData>
    <row r="1" ht="22.5" hidden="1" customHeight="1">
      <c r="N1" s="257"/>
      <c r="O1" s="257"/>
      <c r="Q1" s="257"/>
      <c r="R1" s="376" t="s">
        <v>14</v>
      </c>
    </row>
    <row r="2" s="1637" customFormat="1" ht="18.75" hidden="1" customHeight="1">
      <c r="A2" s="104"/>
      <c r="B2" s="1162"/>
      <c r="C2" s="1732" t="s">
        <v>689</v>
      </c>
      <c r="D2" s="1675"/>
      <c r="E2" s="1684"/>
      <c r="F2" s="259"/>
      <c r="G2" s="1163"/>
      <c r="H2" s="376"/>
      <c r="I2" s="1626"/>
      <c r="J2" s="1626"/>
      <c r="R2" s="1633">
        <v>0</v>
      </c>
    </row>
    <row r="3" ht="14.25" hidden="1" customHeight="1">
      <c r="R3" s="376">
        <v>0</v>
      </c>
    </row>
    <row r="4" ht="6.2999999999999998" customHeight="1">
      <c r="C4" s="378"/>
      <c r="D4" s="365"/>
      <c r="E4" s="365"/>
      <c r="F4" s="365"/>
      <c r="G4" s="87"/>
      <c r="H4" s="87"/>
      <c r="R4" s="376">
        <v>6</v>
      </c>
    </row>
    <row r="5" ht="34.5" customHeight="1">
      <c r="C5" s="378"/>
      <c r="D5" s="2456" t="str">
        <f>PURCH_NAME_FORM</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r="6" s="1637" customFormat="1" ht="18" customHeight="1">
      <c r="A6" s="1671"/>
      <c r="B6" s="1162"/>
      <c r="C6" s="378"/>
      <c r="D6" s="2459" t="str">
        <f>IF(org=0,"Не определено",org)</f>
        <v xml:space="preserve">филиал ПАО "ОГК-2" - Рязанская ГРЭС</v>
      </c>
      <c r="E6" s="2460"/>
      <c r="F6" s="2460"/>
      <c r="G6" s="2461"/>
      <c r="H6" s="268"/>
      <c r="J6" s="1626"/>
      <c r="K6" s="1626"/>
      <c r="R6" s="1633">
        <v>17</v>
      </c>
    </row>
    <row r="7" ht="14.65" customHeight="1">
      <c r="C7" s="378"/>
      <c r="D7" s="365"/>
      <c r="E7" s="391"/>
      <c r="F7" s="391"/>
      <c r="G7" s="754"/>
      <c r="H7" s="195"/>
      <c r="R7" s="376">
        <v>14</v>
      </c>
    </row>
    <row r="8" ht="14.65" customHeight="1">
      <c r="C8" s="378"/>
      <c r="D8" s="2211" t="s">
        <v>300</v>
      </c>
      <c r="E8" s="2211"/>
      <c r="F8" s="2211"/>
      <c r="G8" s="2211"/>
      <c r="H8" s="2391" t="s">
        <v>301</v>
      </c>
      <c r="R8" s="376">
        <v>14</v>
      </c>
    </row>
    <row r="9" ht="24" customHeight="1">
      <c r="C9" s="378"/>
      <c r="D9" s="388" t="s">
        <v>88</v>
      </c>
      <c r="E9" s="110" t="s">
        <v>302</v>
      </c>
      <c r="F9" s="110" t="s">
        <v>303</v>
      </c>
      <c r="G9" s="110" t="s">
        <v>390</v>
      </c>
      <c r="H9" s="2391"/>
      <c r="R9" s="376">
        <v>23</v>
      </c>
    </row>
    <row r="10" ht="14.65" customHeight="1">
      <c r="A10" s="345"/>
      <c r="C10" s="378"/>
      <c r="D10" s="149" t="s">
        <v>110</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1156</v>
      </c>
      <c r="R10" s="376">
        <v>14</v>
      </c>
    </row>
    <row r="11" ht="14.65" customHeight="1">
      <c r="A11" s="345"/>
      <c r="C11" s="378"/>
      <c r="D11" s="149" t="s">
        <v>111</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r="12" ht="14.65" customHeight="1">
      <c r="A12" s="104"/>
      <c r="C12" s="389"/>
      <c r="D12" s="149" t="s">
        <v>90</v>
      </c>
      <c r="E12" s="390" t="str">
        <f>"Сведения о планировании закупочных процедур"&amp;IF(TEMPLATE_SPHERE="TKO"," &lt;1&gt;","")</f>
        <v xml:space="preserve">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r="13" ht="14.65" customHeight="1">
      <c r="A13" s="104"/>
      <c r="C13" s="389"/>
      <c r="D13" s="149" t="s">
        <v>91</v>
      </c>
      <c r="E13" s="390" t="str">
        <f>"Сведения о результатах проведения закупочных процедур"&amp;IF(TEMPLATE_SPHERE="TKO"," &lt;1&gt;","")</f>
        <v xml:space="preserve">Сведения о результатах проведения закупочных процедур</v>
      </c>
      <c r="F13" s="259"/>
      <c r="G13" s="215"/>
      <c r="H13" s="2172"/>
      <c r="I13" s="352"/>
      <c r="K13" s="376"/>
      <c r="R13" s="376">
        <v>14</v>
      </c>
    </row>
    <row r="14" ht="14.65" customHeight="1">
      <c r="A14" s="345"/>
      <c r="C14" s="378"/>
      <c r="D14" s="349"/>
      <c r="E14" s="397" t="s">
        <v>322</v>
      </c>
      <c r="F14" s="351"/>
      <c r="G14" s="203"/>
      <c r="H14" s="2173"/>
      <c r="R14" s="376">
        <v>14</v>
      </c>
    </row>
    <row r="15" s="1637" customFormat="1" ht="14.65" customHeight="1">
      <c r="A15" s="345"/>
      <c r="B15" s="1162"/>
      <c r="C15" s="378"/>
      <c r="D15" s="398"/>
      <c r="E15" s="1679"/>
      <c r="F15" s="1680"/>
      <c r="G15" s="1681"/>
      <c r="H15" s="1682"/>
      <c r="J15" s="1626"/>
      <c r="K15" s="1626"/>
      <c r="R15" s="1633">
        <v>14</v>
      </c>
    </row>
    <row r="16" ht="14.65" customHeight="1">
      <c r="D16" s="1683"/>
      <c r="E16" s="2387"/>
      <c r="F16" s="2387"/>
      <c r="G16" s="2387"/>
      <c r="H16" s="2387"/>
      <c r="R16" s="376">
        <v>14</v>
      </c>
    </row>
    <row r="17" ht="22.5" hidden="1" customHeight="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autoFilter="0" deleteColumns="0" deleteRows="0" formatColumns="0" formatRows="0" insertColumns="1" insertRows="0" sort="0"/>
  <mergeCells count="7">
    <mergeCell ref="E16:H16"/>
    <mergeCell ref="H10:H11"/>
    <mergeCell ref="H12:H14"/>
    <mergeCell ref="D5:G5"/>
    <mergeCell ref="D8:G8"/>
    <mergeCell ref="H8:H9"/>
    <mergeCell ref="D6:G6"/>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2">
        <x14:dataValidation xr:uid="{00C50012-008B-4AE8-9971-007F00E6004B}"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ErrorMessage="1" showInputMessage="1">
          <x14:formula1>
            <xm:f>900</xm:f>
          </x14:formula1>
          <xm:sqref>G2 G10:G13</xm:sqref>
        </x14:dataValidation>
        <x14:dataValidation xr:uid="{00CD0060-0039-4980-91A6-00FA00AE0026}" type="textLength" allowBlank="1" error="Допускается ввод не более 900 символов!" errorTitle="Ошибка" operator="lessThanOrEqual" showErrorMessage="1" showInputMessage="1">
          <x14:formula1>
            <xm:f>900</xm:f>
          </x14:formula1>
          <xm:sqref>H10 E13 E2:F2 F10:F13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A1" sqref="A1"/>
    </sheetView>
  </sheetViews>
  <sheetFormatPr defaultColWidth="9.140625" defaultRowHeight="11.25" customHeight="1"/>
  <cols>
    <col customWidth="1" hidden="1" min="1" max="2" style="1626" width="3.7109375"/>
    <col customWidth="1" min="3" max="3" style="1855" width="3.00390625"/>
    <col customWidth="1" min="4" max="4" style="1855" width="6.00390625"/>
    <col customWidth="1" min="5" max="5" style="1855" width="42.00390625"/>
    <col customWidth="1" min="6" max="6" style="1855" width="15.00390625"/>
    <col customWidth="1" min="7" max="7" style="1855" width="42.00390625"/>
    <col customWidth="1" min="8" max="8" style="1855" width="3.00390625"/>
    <col customWidth="1" min="9" max="9" style="1855" width="5.00390625"/>
    <col customWidth="1" min="10" max="10" style="1855" width="47.00390625"/>
    <col customWidth="1" min="11" max="12" style="1855" width="3.00390625"/>
    <col customWidth="1" min="13" max="13" style="1855" width="5.00390625"/>
    <col customWidth="1" min="14" max="14" style="1855" width="28.00390625"/>
    <col customWidth="1" min="15" max="16" style="1855" width="3.00390625"/>
    <col customWidth="1" min="17" max="17" style="1855" width="5.00390625"/>
    <col customWidth="1" min="18" max="18" style="1855" width="34.00390625"/>
    <col customWidth="1" min="19" max="20" style="1855" width="3.7109375"/>
    <col customWidth="1" min="21" max="21" style="1855" width="5.7109375"/>
    <col customWidth="1" min="22" max="22" style="1855" width="34.421875"/>
    <col customWidth="1" min="23" max="23" style="1855" width="30.00390625"/>
    <col customWidth="1" min="24" max="24" style="1855" width="3.00390625"/>
    <col customWidth="1" hidden="1" min="25" max="28" style="1268" width="9.8515625"/>
    <col customWidth="1" hidden="1" min="29" max="29" style="1268" width="27.00390625"/>
    <col customWidth="1" hidden="1" min="30" max="30" style="1268" width="10.57421875"/>
    <col customWidth="1" hidden="1" min="31" max="31" style="1268" width="10.7109375"/>
    <col customWidth="1" hidden="1" min="32" max="32" style="1268" width="10.00390625"/>
    <col customWidth="1" hidden="1" min="33" max="33" style="1268" width="12.8515625"/>
    <col customWidth="1" hidden="1" min="34" max="34" style="1268" width="24.421875"/>
    <col customWidth="1" hidden="1" min="35" max="35" style="1268" width="15.8515625"/>
    <col customWidth="1" hidden="1" min="36" max="36" style="1268" width="19.421875"/>
    <col customWidth="1" hidden="1" min="37" max="37" style="1268" width="11.00390625"/>
    <col customWidth="1" hidden="1" min="38" max="38" style="1268" width="23.57421875"/>
    <col customWidth="1" hidden="1" min="39" max="39" style="1268" width="23.8515625"/>
    <col customWidth="1" hidden="1" min="40" max="40" style="1268" width="25.28125"/>
    <col customWidth="1" hidden="1" min="41" max="41" style="1268" width="16.8515625"/>
    <col customWidth="1" hidden="1" min="42" max="42" style="1268" width="29.57421875"/>
    <col customWidth="1" hidden="1" min="43" max="43" style="1268" width="29.8515625"/>
    <col hidden="1" min="44" max="44" style="1855" width="9.140625"/>
  </cols>
  <sheetData>
    <row r="1" ht="11.25" hidden="1" customHeight="1">
      <c r="A1" s="158"/>
      <c r="AR1" s="106" t="s">
        <v>14</v>
      </c>
    </row>
    <row r="2" ht="11.25" hidden="1" customHeight="1">
      <c r="AR2" s="106">
        <v>0</v>
      </c>
    </row>
    <row r="3" ht="11.25" hidden="1" customHeight="1">
      <c r="AR3" s="106">
        <v>0</v>
      </c>
    </row>
    <row r="4" ht="3" customHeight="1">
      <c r="AR4" s="106">
        <v>3</v>
      </c>
    </row>
    <row r="5" s="591" customFormat="1" ht="30.449999999999999" customHeight="1">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r="6" s="591" customFormat="1" ht="14.65" customHeight="1">
      <c r="A6" s="587"/>
      <c r="B6" s="587"/>
      <c r="C6" s="587"/>
      <c r="D6" s="2165" t="str">
        <f>IF(org=0,"Не определено",org)</f>
        <v xml:space="preserve">филиал ПАО "ОГК-2" - Рязанская ГРЭС</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r="7" s="301" customFormat="1" ht="11.5" customHeight="1">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r="8" s="591" customFormat="1" ht="1.05" customHeight="1">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r="9" ht="28.5" customHeight="1">
      <c r="D9" s="2129" t="s">
        <v>88</v>
      </c>
      <c r="E9" s="2103" t="s">
        <v>124</v>
      </c>
      <c r="F9" s="2105"/>
      <c r="G9" s="2129" t="s">
        <v>106</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r="10" ht="31.5" customHeight="1">
      <c r="D10" s="2129"/>
      <c r="E10" s="1286" t="s">
        <v>89</v>
      </c>
      <c r="F10" s="1286" t="s">
        <v>130</v>
      </c>
      <c r="G10" s="2129"/>
      <c r="H10" s="2129"/>
      <c r="I10" s="2129"/>
      <c r="J10" s="2129"/>
      <c r="K10" s="112" t="s">
        <v>109</v>
      </c>
      <c r="L10" s="2129" t="s">
        <v>88</v>
      </c>
      <c r="M10" s="2129"/>
      <c r="N10" s="112" t="s">
        <v>131</v>
      </c>
      <c r="O10" s="112" t="s">
        <v>109</v>
      </c>
      <c r="P10" s="2129" t="s">
        <v>88</v>
      </c>
      <c r="Q10" s="2129"/>
      <c r="R10" s="112" t="s">
        <v>131</v>
      </c>
      <c r="S10" s="285" t="s">
        <v>109</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r="11" s="1626" customFormat="1" ht="12" hidden="1" customHeight="1">
      <c r="D11" s="1251" t="s">
        <v>110</v>
      </c>
      <c r="E11" s="1251" t="s">
        <v>111</v>
      </c>
      <c r="F11" s="1251"/>
      <c r="G11" s="1251" t="s">
        <v>90</v>
      </c>
      <c r="H11" s="2158" t="s">
        <v>112</v>
      </c>
      <c r="I11" s="2158"/>
      <c r="J11" s="1251" t="s">
        <v>92</v>
      </c>
      <c r="K11" s="1251" t="s">
        <v>93</v>
      </c>
      <c r="L11" s="2158" t="s">
        <v>113</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r="12" ht="14.25" hidden="1" customHeight="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r="13" s="1855" customFormat="1" ht="17.25" hidden="1" customHeight="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r="14" s="1855" customFormat="1" ht="17.25" hidden="1" customHeight="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r="15" s="1855" customFormat="1" ht="17.25" hidden="1" customHeight="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r="16" s="1855" customFormat="1" ht="17.25" hidden="1" customHeight="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r="17" s="1855" customFormat="1" ht="17.25" hidden="1" customHeight="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r="18" s="1855" customFormat="1" ht="17.25" hidden="1" customHeight="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r="19" s="1855" customFormat="1" ht="17.25" hidden="1" customHeight="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r="20" s="1855" customFormat="1" ht="17.25" hidden="1" customHeight="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r="21" s="1855" customFormat="1" ht="17.25" hidden="1" customHeight="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r="22" s="1855" customFormat="1" ht="17.25" hidden="1" customHeight="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r="23" s="1855" customFormat="1" ht="17.25" hidden="1" customHeight="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 xml:space="preserve">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r="24" s="1855" customFormat="1" ht="17.25" hidden="1" customHeight="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r="25" s="1855" customFormat="1" ht="17.25" hidden="1" customHeight="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r="26" s="1855" customFormat="1" ht="17.25" hidden="1" customHeight="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r="27" s="1855" customFormat="1" ht="17.25" hidden="1" customHeight="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r="28" s="1855" customFormat="1" ht="17.25" hidden="1" customHeight="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 xml:space="preserve">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r="29" s="1855" customFormat="1" ht="17.25" hidden="1" customHeight="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r="30" s="1855" customFormat="1" ht="17.25" hidden="1" customHeight="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r="31" s="1855" customFormat="1" ht="17.25" hidden="1" customHeight="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r="32" s="1855" customFormat="1" ht="17.25" hidden="1" customHeight="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r="33" s="1855" customFormat="1" ht="17.25" hidden="1" customHeight="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r="34" s="1855" customFormat="1" ht="17.25" hidden="1" customHeight="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r="35" s="1855" customFormat="1" ht="17.25" hidden="1" customHeight="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r="36" s="1855" customFormat="1" ht="17.25" hidden="1" customHeight="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r="37" s="1855" customFormat="1" ht="17.25" hidden="1" customHeight="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r="38" s="1855" customFormat="1" ht="17.25" hidden="1" customHeight="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 xml:space="preserve">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r="39" s="1855" customFormat="1" ht="17.25" hidden="1" customHeight="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r="40" s="1855" customFormat="1" ht="17.25" hidden="1" customHeight="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r="41" s="1855" customFormat="1" ht="17.25" hidden="1" customHeight="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r="42" s="1855" customFormat="1" ht="17.25" hidden="1" customHeight="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r="43" s="1855" customFormat="1" ht="17.25" hidden="1" customHeight="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 xml:space="preserve">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r="44" s="1855" customFormat="1" ht="17.25" hidden="1" customHeight="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r="45" s="1855" customFormat="1" ht="17.25" hidden="1" customHeight="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r="46" s="1855" customFormat="1" ht="17.25" hidden="1" customHeight="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r="47" s="1855" customFormat="1" ht="17.25" hidden="1" customHeight="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r="48" s="1855" customFormat="1" ht="17.25" hidden="1" customHeight="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 xml:space="preserve">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r="49" s="1855" customFormat="1" ht="17.25" hidden="1" customHeight="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r="50" s="1855" customFormat="1" ht="17.25" hidden="1" customHeight="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r="51" s="1855" customFormat="1" ht="17.25" hidden="1" customHeight="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r="52" s="1855" customFormat="1" ht="17.25" hidden="1" customHeight="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r="53" s="1855" customFormat="1" ht="17.25" hidden="1" customHeight="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 xml:space="preserve">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r="54" s="1855" customFormat="1" ht="17.25" hidden="1" customHeight="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r="55" s="1855" customFormat="1" ht="17.25" hidden="1" customHeight="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r="56" s="1855" customFormat="1" ht="17.25" hidden="1" customHeight="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r="57" s="1855" customFormat="1" ht="17.25" hidden="1" customHeight="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r="58" s="1855" customFormat="1" ht="17.25" hidden="1" customHeight="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 xml:space="preserve">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r="59" s="1855" customFormat="1" ht="17.25" hidden="1" customHeight="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r="60" s="1855" customFormat="1" ht="17.25" hidden="1" customHeight="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r="61" s="1855" customFormat="1" ht="17.25" hidden="1" customHeight="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r="62" s="1855" customFormat="1" ht="17.25" hidden="1" customHeight="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r="63" s="1855" customFormat="1" ht="17.25" hidden="1" customHeight="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 xml:space="preserve">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r="64" s="1855" customFormat="1" ht="17.25" hidden="1" customHeight="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r="65" s="1855" customFormat="1" ht="17.25" hidden="1" customHeight="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r="66" s="1855" customFormat="1" ht="17.25" hidden="1" customHeight="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r="67" s="1855" customFormat="1" ht="17.25" hidden="1" customHeight="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r="68" ht="11.25" hidden="1" customHeight="1">
      <c r="AR68" s="106">
        <v>0</v>
      </c>
    </row>
    <row r="69" ht="11.25" hidden="1" customHeight="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r="70" ht="36.75" hidden="1" customHeight="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r="71" ht="28.5" hidden="1" customHeight="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r="72" ht="27" hidden="1" customHeight="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r="73" ht="17.25" hidden="1" customHeight="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r="74" ht="15" hidden="1" customHeight="1">
      <c r="E74" s="342"/>
      <c r="F74" s="1287"/>
      <c r="G74" s="159"/>
      <c r="H74" s="159"/>
      <c r="I74" s="159"/>
      <c r="J74" s="159"/>
      <c r="K74" s="159"/>
      <c r="L74" s="159"/>
      <c r="M74" s="159"/>
      <c r="N74" s="159"/>
      <c r="O74" s="159"/>
      <c r="P74" s="159"/>
      <c r="Q74" s="159"/>
      <c r="R74" s="159"/>
      <c r="S74" s="159"/>
      <c r="T74" s="159"/>
      <c r="U74" s="159"/>
      <c r="V74" s="159"/>
      <c r="W74" s="159"/>
      <c r="AR74" s="106">
        <v>0</v>
      </c>
    </row>
    <row r="75" ht="15" hidden="1" customHeight="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r="76" ht="17.25" hidden="1" customHeight="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r="77" ht="17.25" hidden="1" customHeight="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r="78" s="1855" customFormat="1" ht="11.25" hidden="1" customHeight="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r="79" s="1855" customFormat="1" ht="17.25" hidden="1" customHeight="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 xml:space="preserve">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r="80" s="1855" customFormat="1" ht="17.25" hidden="1" customHeight="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r="81" s="1855" customFormat="1" ht="17.25" hidden="1" customHeight="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r="82" s="1855" customFormat="1" ht="17.25" hidden="1" customHeight="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r="83" s="1855" customFormat="1" ht="17.25" hidden="1" customHeight="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r="84" s="1855" customFormat="1" ht="17.25" hidden="1" customHeight="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 xml:space="preserve">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r="85" s="1855" customFormat="1" ht="17.25" hidden="1" customHeight="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r="86" s="1855" customFormat="1" ht="17.25" hidden="1" customHeight="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r="87" s="1855" customFormat="1" ht="17.25" hidden="1" customHeight="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r="88" s="1855" customFormat="1" ht="17.25" hidden="1" customHeight="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r="89" s="1855" customFormat="1" ht="17.25" hidden="1" customHeight="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 xml:space="preserve">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r="90" s="1855" customFormat="1" ht="17.25" hidden="1" customHeight="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r="91" s="1855" customFormat="1" ht="17.25" hidden="1" customHeight="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r="92" s="1855" customFormat="1" ht="17.25" hidden="1" customHeight="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r="93" s="1855" customFormat="1" ht="17.25" hidden="1" customHeight="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r="94" s="1855" customFormat="1" ht="17.25" hidden="1" customHeight="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 xml:space="preserve">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r="95" s="1855" customFormat="1" ht="17.25" hidden="1" customHeight="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r="96" s="1855" customFormat="1" ht="17.25" hidden="1" customHeight="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r="97" s="1855" customFormat="1" ht="17.25" hidden="1" customHeight="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r="98" s="1855" customFormat="1" ht="17.25" hidden="1" customHeight="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r="99" s="1855" customFormat="1" ht="17.25" hidden="1" customHeight="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 xml:space="preserve">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r="100" s="1855" customFormat="1" ht="17.25" hidden="1" customHeight="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r="101" s="1855" customFormat="1" ht="17.25" hidden="1" customHeight="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r="102" s="1855" customFormat="1" ht="17.25" hidden="1" customHeight="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r="103" s="1855" customFormat="1" ht="17.25" hidden="1" customHeight="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r="104" s="1855" customFormat="1" ht="11.25" hidden="1" customHeight="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r="105" s="1855" customFormat="1" ht="17.25" hidden="1" customHeight="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 xml:space="preserve">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r="106" s="1855" customFormat="1" ht="17.25" hidden="1" customHeight="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r="107" s="1855" customFormat="1" ht="17.25" hidden="1" customHeight="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r="108" s="1855" customFormat="1" ht="17.25" hidden="1" customHeight="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r="109" s="1855" customFormat="1" ht="17.25" hidden="1" customHeight="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r="110" s="1855" customFormat="1" ht="17.25" hidden="1" customHeight="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 xml:space="preserve">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r="111" s="1855" customFormat="1" ht="17.25" hidden="1" customHeight="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r="112" s="1855" customFormat="1" ht="17.25" hidden="1" customHeight="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r="113" s="1855" customFormat="1" ht="17.25" hidden="1" customHeight="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r="114" s="1855" customFormat="1" ht="17.25" hidden="1" customHeight="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r="115" s="1855" customFormat="1" ht="17.25" hidden="1" customHeight="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 xml:space="preserve">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r="116" s="1855" customFormat="1" ht="17.25" hidden="1" customHeight="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r="117" s="1855" customFormat="1" ht="17.25" hidden="1" customHeight="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r="118" s="1855" customFormat="1" ht="17.25" hidden="1" customHeight="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r="119" s="1855" customFormat="1" ht="17.25" hidden="1" customHeight="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r="120" s="1855" customFormat="1" ht="11.25" hidden="1" customHeight="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r="121" s="1855" customFormat="1" ht="17.25" hidden="1" customHeight="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 xml:space="preserve">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r="122" s="1855" customFormat="1" ht="17.25" hidden="1" customHeight="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r="123" s="1855" customFormat="1" ht="17.25" hidden="1" customHeight="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r="124" s="1855" customFormat="1" ht="17.25" hidden="1" customHeight="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r="125" s="1855" customFormat="1" ht="17.25" hidden="1" customHeight="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r="126" s="1855" customFormat="1" ht="17.25" hidden="1" customHeight="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 xml:space="preserve">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r="127" s="1855" customFormat="1" ht="17.25" hidden="1" customHeight="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r="128" s="1855" customFormat="1" ht="17.25" hidden="1" customHeight="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r="129" s="1855" customFormat="1" ht="17.25" hidden="1" customHeight="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r="130" s="1855" customFormat="1" ht="17.25" hidden="1" customHeight="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r="131" s="1855" customFormat="1" ht="17.25" hidden="1" customHeight="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 xml:space="preserve">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r="132" s="1855" customFormat="1" ht="17.25" hidden="1" customHeight="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r="133" s="1855" customFormat="1" ht="17.25" hidden="1" customHeight="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r="134" s="1855" customFormat="1" ht="17.25" hidden="1" customHeight="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r="135" s="1855" customFormat="1" ht="17.25" hidden="1" customHeight="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r="136" ht="11.5" customHeight="1">
      <c r="AR136" s="106">
        <v>11</v>
      </c>
    </row>
    <row r="137" ht="11.5" customHeight="1">
      <c r="AR137" s="106">
        <v>11</v>
      </c>
    </row>
    <row r="138" ht="11.5" customHeight="1">
      <c r="AR138" s="106">
        <v>11</v>
      </c>
    </row>
    <row r="139" ht="11.5" customHeight="1">
      <c r="E139" s="1352"/>
      <c r="AR139" s="106">
        <v>11</v>
      </c>
    </row>
    <row r="140" ht="11.5" customHeight="1">
      <c r="E140" s="1352"/>
      <c r="AR140" s="106">
        <v>11</v>
      </c>
    </row>
    <row r="141" ht="11.5" customHeight="1">
      <c r="E141" s="1352"/>
      <c r="AR141" s="106">
        <v>11</v>
      </c>
    </row>
    <row r="142" ht="11.5" customHeight="1">
      <c r="E142" s="1352"/>
      <c r="AR142" s="106">
        <v>11</v>
      </c>
    </row>
    <row r="143" ht="11.5" customHeight="1">
      <c r="E143" s="1352"/>
      <c r="AR143" s="106">
        <v>11</v>
      </c>
    </row>
    <row r="144" ht="11.5" customHeight="1">
      <c r="E144" s="1352"/>
      <c r="AR144" s="106">
        <v>11</v>
      </c>
    </row>
    <row r="145" ht="11.5" customHeight="1">
      <c r="E145" s="1352"/>
      <c r="AR145" s="106">
        <v>11</v>
      </c>
    </row>
    <row r="146" ht="11.25" hidden="1" customHeight="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autoFilter="0" deleteColumns="0" deleteRows="0" formatColumns="0" formatRows="0" insertColumns="1" insertRows="0" sort="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2">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allowBlank="1" prompt="Для выбора выполните двойной щелчок левой клавиши мыши по соответствующей ячейке." showErrorMessage="1" showInputMessage="1"/>
    <dataValidation sqref="G105:G119 G121:G135 G79:G103 G13:G67" allowBlank="1" prompt="Выберите виды деятельности, выполнив двойной щелчок левой кнопки мыши по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6500A4-0058-4B38-BC10-003F00F50027}" type="textLength" allowBlank="1" error="Допускается ввод не более 900 символов!" errorTitle="Ошибка" operator="lessThanOrEqual"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xm:sqref>
        </x14:dataValidation>
        <x14:dataValidation xr:uid="{00DF00A6-0047-477D-9198-00A800C000A1}" type="list" allowBlank="1" error="Выберите значение из списка" errorTitle="Ошиб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x14:formula1>
            <xm:f>DESCRIPTION_TERRITORY</xm:f>
          </x14:formula1>
          <xm:sqref>N48:N50 N18:N20 N43:N45 N28:N30 N38:N40 N13:N15 N33:N35 N79:N81 N94:N96 N84:N86 N89:N91 N53:N55 N105:N107 N110:N112 N126:N128 N121:N123 N58:N60 N63:N65 N99:N101 N115:N117 N131:N133 N23:N25</xm:sqref>
        </x14:dataValidation>
        <x14:dataValidation xr:uid="{00FC0054-00AE-4928-BEC1-000300040041}" type="list" allowBlank="1" error="Выберите значение из списка" errorTitle="Ошибка" prompt="Выберите значение из списка" showErrorMessage="1" showInputMessage="1">
          <x14:formula1>
            <xm:f>kind_of_tariff_RHEAT</xm:f>
          </x14:formula1>
          <xm:sqref>E18:E22</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sheetPr>
  <sheetViews>
    <sheetView showGridLines="0" topLeftCell="A1" zoomScale="90" workbookViewId="0">
      <selection activeCell="A1" sqref="A1"/>
    </sheetView>
  </sheetViews>
  <sheetFormatPr defaultColWidth="10.57421875" defaultRowHeight="15" customHeight="1"/>
  <cols>
    <col customWidth="1" hidden="1" min="1" max="1" style="1634" width="9.140625"/>
    <col customWidth="1" hidden="1" min="2" max="2" style="1637" width="9.140625"/>
    <col customWidth="1" min="3" max="3" style="685" width="4.00390625"/>
    <col customWidth="1" min="4" max="4" style="1637" width="6.00390625"/>
    <col customWidth="1" min="5" max="5" style="1637" width="47.00390625"/>
    <col customWidth="1" min="6" max="6" style="1637" width="9.00390625"/>
    <col customWidth="1" hidden="1" min="7" max="7" style="1637" width="25.7109375"/>
    <col customWidth="1" hidden="1" min="8" max="8" style="1637" width="34.00390625"/>
    <col customWidth="1" min="9" max="9" style="1637" width="25.7109375"/>
    <col customWidth="1" min="10" max="10" style="1637" width="33.00390625"/>
    <col customWidth="1" min="11" max="11" style="1368" width="50.00390625"/>
    <col customWidth="1" min="12" max="20" style="1637" width="10.00390625"/>
    <col customWidth="1" min="21" max="21" style="677" width="10.00390625"/>
    <col hidden="1" min="22" max="22" style="1637" width="10.57421875"/>
  </cols>
  <sheetData>
    <row r="1" s="1368" customFormat="1" ht="22.5" hidden="1" customHeight="1">
      <c r="C1" s="674"/>
      <c r="G1" s="419">
        <v>4</v>
      </c>
      <c r="I1" s="419">
        <v>4</v>
      </c>
      <c r="U1" s="422"/>
      <c r="V1" s="419" t="s">
        <v>14</v>
      </c>
    </row>
    <row r="2" s="1637" customFormat="1" ht="15" hidden="1" customHeight="1">
      <c r="A2" s="364"/>
      <c r="C2" s="178"/>
      <c r="D2" s="348"/>
      <c r="E2" s="675"/>
      <c r="F2" s="524"/>
      <c r="G2" s="618"/>
      <c r="H2" s="618"/>
      <c r="I2" s="618"/>
      <c r="J2" s="618"/>
      <c r="U2" s="676"/>
      <c r="V2" s="511">
        <v>0</v>
      </c>
    </row>
    <row r="3" s="1368" customFormat="1" ht="15" hidden="1" customHeight="1">
      <c r="C3" s="674"/>
      <c r="U3" s="422"/>
      <c r="V3" s="419">
        <v>0</v>
      </c>
    </row>
    <row r="4" ht="15.75" customHeight="1">
      <c r="C4" s="178"/>
      <c r="D4" s="511"/>
      <c r="E4" s="511"/>
      <c r="F4" s="511"/>
      <c r="G4" s="511"/>
      <c r="H4" s="511"/>
      <c r="I4" s="511"/>
      <c r="J4" s="511"/>
      <c r="V4" s="507">
        <v>15</v>
      </c>
    </row>
    <row r="5" ht="66" customHeight="1">
      <c r="C5" s="178"/>
      <c r="D5" s="2239" t="s">
        <v>1157</v>
      </c>
      <c r="E5" s="2239"/>
      <c r="F5" s="2239"/>
      <c r="G5" s="2239"/>
      <c r="H5" s="2239"/>
      <c r="I5" s="2239"/>
      <c r="J5" s="2239"/>
      <c r="V5" s="507">
        <v>63</v>
      </c>
    </row>
    <row r="6" ht="15.75" customHeight="1">
      <c r="C6" s="178"/>
      <c r="D6" s="2178" t="str">
        <f>IF(org=0,"Не определено",org)</f>
        <v xml:space="preserve">филиал ПАО "ОГК-2" - Рязанская ГРЭС</v>
      </c>
      <c r="E6" s="2178"/>
      <c r="F6" s="2178"/>
      <c r="G6" s="2178"/>
      <c r="H6" s="2178"/>
      <c r="I6" s="2178"/>
      <c r="J6" s="2178"/>
      <c r="K6" s="539"/>
      <c r="V6" s="507">
        <v>15</v>
      </c>
    </row>
    <row r="7" ht="15.75" customHeight="1">
      <c r="C7" s="178"/>
      <c r="D7" s="754"/>
      <c r="E7" s="511"/>
      <c r="F7" s="511"/>
      <c r="G7" s="539">
        <v>22</v>
      </c>
      <c r="I7" s="539">
        <v>1</v>
      </c>
      <c r="J7" s="754"/>
      <c r="V7" s="507">
        <v>15</v>
      </c>
    </row>
    <row r="8" s="1637" customFormat="1" ht="1.05" customHeight="1">
      <c r="A8" s="761"/>
      <c r="C8" s="178"/>
      <c r="D8" s="511"/>
      <c r="E8" s="511"/>
      <c r="F8" s="511"/>
      <c r="G8" s="539"/>
      <c r="H8" s="754"/>
      <c r="I8" s="539" t="s">
        <v>118</v>
      </c>
      <c r="J8" s="754"/>
      <c r="K8" s="419"/>
      <c r="U8" s="677"/>
      <c r="V8" s="760">
        <v>1</v>
      </c>
    </row>
    <row r="9" ht="15.75" customHeight="1">
      <c r="C9" s="178"/>
      <c r="D9" s="713"/>
      <c r="E9" s="2369" t="s">
        <v>106</v>
      </c>
      <c r="F9" s="2370"/>
      <c r="G9" s="2397" t="str">
        <f>IF(G8="","",INDEX(DIFFERENTIATION_UNMERGE_VD,MATCH(G8,DIFFERENTIATION_ID_DIFF,0)))</f>
        <v/>
      </c>
      <c r="H9" s="2398"/>
      <c r="I9" s="2397" t="str">
        <f>IF(I8="","",INDEX(DIFFERENTIATION_UNMERGE_VD,MATCH(I8,DIFFERENTIATION_ID_DIFF,0)))</f>
        <v xml:space="preserve">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J9" s="2398"/>
      <c r="K9" s="2177" t="s">
        <v>301</v>
      </c>
      <c r="V9" s="507">
        <v>15</v>
      </c>
    </row>
    <row r="10" s="1637" customFormat="1" ht="15.75" customHeight="1">
      <c r="A10" s="761"/>
      <c r="C10" s="178"/>
      <c r="D10" s="713"/>
      <c r="E10" s="2369" t="s">
        <v>564</v>
      </c>
      <c r="F10" s="2370"/>
      <c r="G10" s="2397" t="str">
        <f>IF(G8="","",INDEX(DIFFERENTIATION_UNMERGE_AREA,MATCH(G8,DIFFERENTIATION_ID_DIFF,0)))</f>
        <v/>
      </c>
      <c r="H10" s="2398"/>
      <c r="I10" s="2397" t="str">
        <f>IF(I8="","",INDEX(DIFFERENTIATION_UNMERGE_AREA,MATCH(I8,DIFFERENTIATION_ID_DIFF,0)))</f>
        <v xml:space="preserve">без дифференциации</v>
      </c>
      <c r="J10" s="2398"/>
      <c r="K10" s="2201"/>
      <c r="U10" s="677"/>
      <c r="V10" s="760">
        <v>15</v>
      </c>
    </row>
    <row r="11" s="1637" customFormat="1" ht="15.75" customHeight="1">
      <c r="A11" s="761"/>
      <c r="C11" s="178"/>
      <c r="D11" s="713"/>
      <c r="E11" s="2369" t="s">
        <v>565</v>
      </c>
      <c r="F11" s="2370"/>
      <c r="G11" s="2397" t="str">
        <f>IF(G8="","",INDEX(DIFFERENTIATION_UNMERGE_SYSTEM,MATCH(G8,DIFFERENTIATION_ID_DIFF,0)))</f>
        <v/>
      </c>
      <c r="H11" s="2398"/>
      <c r="I11" s="2397" t="str">
        <f>IF(I8="","",INDEX(DIFFERENTIATION_UNMERGE_SYSTEM,MATCH(I8,DIFFERENTIATION_ID_DIFF,0)))</f>
        <v xml:space="preserve">без дифференциации</v>
      </c>
      <c r="J11" s="2398"/>
      <c r="K11" s="2201"/>
      <c r="U11" s="677"/>
      <c r="V11" s="760">
        <v>15</v>
      </c>
    </row>
    <row r="12" s="1637" customFormat="1" ht="15.75" customHeight="1">
      <c r="A12" s="761"/>
      <c r="C12" s="178"/>
      <c r="D12" s="2371" t="s">
        <v>300</v>
      </c>
      <c r="E12" s="2372"/>
      <c r="F12" s="2372"/>
      <c r="G12" s="889"/>
      <c r="H12" s="889"/>
      <c r="I12" s="889"/>
      <c r="J12" s="889"/>
      <c r="K12" s="2201"/>
      <c r="U12" s="677"/>
      <c r="V12" s="760">
        <v>15</v>
      </c>
    </row>
    <row r="13" ht="35.649999999999999" customHeight="1">
      <c r="C13" s="178"/>
      <c r="D13" s="807" t="s">
        <v>88</v>
      </c>
      <c r="E13" s="809" t="s">
        <v>302</v>
      </c>
      <c r="F13" s="809" t="s">
        <v>566</v>
      </c>
      <c r="G13" s="810" t="s">
        <v>303</v>
      </c>
      <c r="H13" s="809" t="s">
        <v>390</v>
      </c>
      <c r="I13" s="810" t="s">
        <v>303</v>
      </c>
      <c r="J13" s="809" t="s">
        <v>390</v>
      </c>
      <c r="K13" s="2234"/>
      <c r="V13" s="507">
        <v>34</v>
      </c>
    </row>
    <row r="14" ht="15" hidden="1" customHeight="1">
      <c r="C14" s="178"/>
      <c r="D14" s="595" t="s">
        <v>110</v>
      </c>
      <c r="E14" s="595" t="s">
        <v>111</v>
      </c>
      <c r="F14" s="595" t="s">
        <v>90</v>
      </c>
      <c r="G14" s="661" t="str">
        <f>G1&amp;".1"</f>
        <v>4.1</v>
      </c>
      <c r="H14" s="661"/>
      <c r="I14" s="661" t="str">
        <f>I1&amp;".1"</f>
        <v>4.1</v>
      </c>
      <c r="J14" s="661"/>
      <c r="K14" s="291"/>
      <c r="V14" s="507">
        <v>0</v>
      </c>
    </row>
    <row r="15" ht="22.5" hidden="1" customHeight="1">
      <c r="A15" s="507"/>
      <c r="C15" s="528"/>
      <c r="D15" s="523">
        <v>1</v>
      </c>
      <c r="E15" s="679" t="s">
        <v>809</v>
      </c>
      <c r="F15" s="523" t="s">
        <v>810</v>
      </c>
      <c r="G15" s="680"/>
      <c r="H15" s="680"/>
      <c r="I15" s="680"/>
      <c r="J15" s="680"/>
      <c r="K15" s="291" t="s">
        <v>811</v>
      </c>
      <c r="V15" s="507">
        <v>0</v>
      </c>
    </row>
    <row r="16" ht="22.5" hidden="1" customHeight="1">
      <c r="A16" s="507"/>
      <c r="C16" s="528"/>
      <c r="D16" s="523">
        <v>2</v>
      </c>
      <c r="E16" s="281" t="s">
        <v>812</v>
      </c>
      <c r="F16" s="523" t="s">
        <v>813</v>
      </c>
      <c r="G16" s="680"/>
      <c r="H16" s="680"/>
      <c r="I16" s="680"/>
      <c r="J16" s="680"/>
      <c r="K16" s="291" t="s">
        <v>814</v>
      </c>
      <c r="V16" s="507">
        <v>0</v>
      </c>
    </row>
    <row r="17" ht="123.75" hidden="1" customHeight="1">
      <c r="A17" s="507"/>
      <c r="C17" s="528"/>
      <c r="D17" s="523">
        <v>3</v>
      </c>
      <c r="E17" s="281" t="s">
        <v>1158</v>
      </c>
      <c r="F17" s="523" t="s">
        <v>306</v>
      </c>
      <c r="G17" s="680"/>
      <c r="H17" s="680"/>
      <c r="I17" s="680"/>
      <c r="J17" s="680"/>
      <c r="K17" s="291" t="s">
        <v>1159</v>
      </c>
      <c r="V17" s="507">
        <v>0</v>
      </c>
    </row>
    <row r="18" ht="48.25" customHeight="1">
      <c r="A18" s="507"/>
      <c r="C18" s="528"/>
      <c r="D18" s="523">
        <v>3</v>
      </c>
      <c r="E18" s="281" t="s">
        <v>815</v>
      </c>
      <c r="F18" s="523" t="s">
        <v>306</v>
      </c>
      <c r="G18" s="811" t="s">
        <v>306</v>
      </c>
      <c r="H18" s="812" t="s">
        <v>306</v>
      </c>
      <c r="I18" s="523" t="s">
        <v>306</v>
      </c>
      <c r="J18" s="580" t="s">
        <v>306</v>
      </c>
      <c r="K18" s="291" t="s">
        <v>1160</v>
      </c>
      <c r="V18" s="507">
        <v>46</v>
      </c>
    </row>
    <row r="19" ht="35.649999999999999" customHeight="1">
      <c r="A19" s="507"/>
      <c r="C19" s="528"/>
      <c r="D19" s="541" t="s">
        <v>324</v>
      </c>
      <c r="E19" s="561" t="s">
        <v>817</v>
      </c>
      <c r="F19" s="523" t="s">
        <v>818</v>
      </c>
      <c r="G19" s="819"/>
      <c r="H19" s="108"/>
      <c r="I19" s="819"/>
      <c r="J19" s="820"/>
      <c r="K19" s="681"/>
      <c r="V19" s="507">
        <v>34</v>
      </c>
    </row>
    <row r="20" ht="35.649999999999999" customHeight="1">
      <c r="A20" s="507"/>
      <c r="C20" s="528"/>
      <c r="D20" s="1892" t="s">
        <v>332</v>
      </c>
      <c r="E20" s="561" t="s">
        <v>819</v>
      </c>
      <c r="F20" s="523" t="s">
        <v>820</v>
      </c>
      <c r="G20" s="819"/>
      <c r="H20" s="108"/>
      <c r="I20" s="819"/>
      <c r="J20" s="108"/>
      <c r="K20" s="681"/>
      <c r="V20" s="507">
        <v>34</v>
      </c>
    </row>
    <row r="21" ht="48.25" customHeight="1">
      <c r="A21" s="507"/>
      <c r="C21" s="528"/>
      <c r="D21" s="1892" t="s">
        <v>334</v>
      </c>
      <c r="E21" s="561" t="s">
        <v>821</v>
      </c>
      <c r="F21" s="523" t="s">
        <v>571</v>
      </c>
      <c r="G21" s="682"/>
      <c r="H21" s="108"/>
      <c r="I21" s="682"/>
      <c r="J21" s="108"/>
      <c r="K21" s="681"/>
      <c r="V21" s="507">
        <v>46</v>
      </c>
    </row>
    <row r="22" ht="67.5" hidden="1" customHeight="1">
      <c r="A22" s="507"/>
      <c r="C22" s="528"/>
      <c r="D22" s="523">
        <v>5</v>
      </c>
      <c r="E22" s="281" t="s">
        <v>1161</v>
      </c>
      <c r="F22" s="523" t="s">
        <v>558</v>
      </c>
      <c r="G22" s="683"/>
      <c r="H22" s="684"/>
      <c r="I22" s="683"/>
      <c r="J22" s="684"/>
      <c r="K22" s="291" t="s">
        <v>1162</v>
      </c>
      <c r="V22" s="507">
        <v>0</v>
      </c>
    </row>
    <row r="23" ht="33.75" hidden="1" customHeight="1">
      <c r="C23" s="453"/>
      <c r="D23" s="523">
        <v>6</v>
      </c>
      <c r="E23" s="281" t="s">
        <v>1163</v>
      </c>
      <c r="F23" s="523" t="s">
        <v>1164</v>
      </c>
      <c r="G23" s="683"/>
      <c r="H23" s="683"/>
      <c r="I23" s="683"/>
      <c r="J23" s="683"/>
      <c r="K23" s="291" t="s">
        <v>1165</v>
      </c>
      <c r="V23" s="507">
        <v>0</v>
      </c>
    </row>
    <row r="24" ht="15.75" customHeight="1">
      <c r="V24" s="507">
        <v>15</v>
      </c>
    </row>
    <row r="25" ht="15.75" customHeight="1">
      <c r="V25" s="507">
        <v>15</v>
      </c>
    </row>
    <row r="26" ht="15.75" customHeight="1">
      <c r="V26" s="507">
        <v>15</v>
      </c>
    </row>
    <row r="27" ht="15.75" customHeight="1">
      <c r="V27" s="507">
        <v>15</v>
      </c>
    </row>
    <row r="28" ht="15.75" customHeight="1">
      <c r="V28" s="507">
        <v>15</v>
      </c>
    </row>
    <row r="29" ht="15.75" customHeight="1">
      <c r="J29" s="821"/>
      <c r="V29" s="507">
        <v>15</v>
      </c>
    </row>
    <row r="30" ht="22.5" hidden="1" customHeight="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autoFilter="0" deleteColumns="0" deleteRows="0" formatColumns="0" formatRows="0" insertColumns="1" insertRows="0" sort="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1">
    <dataValidation sqref="E15 E13"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E00012-00EC-4E9A-8312-00240062001D}" type="textLength" allowBlank="1" error="Допускается ввод не более 900 символов!" errorTitle="Ошибка" operator="lessThanOrEqual" showErrorMessage="1" showInputMessage="1">
          <x14:formula1>
            <xm:f>900</xm:f>
          </x14:formula1>
          <xm:sqref>H19:H21 J19:J21</xm:sqref>
        </x14:dataValidation>
        <x14:dataValidation xr:uid="{00000042-0014-46B4-8A96-008300A30059}" type="whole" allowBlank="1" error="Допускается ввод только неотрицательных целых чисел!" errorTitle="Ошибка" showErrorMessage="1">
          <x14:formula1>
            <xm:f>0</xm:f>
          </x14:formula1>
          <x14:formula2>
            <xm:f>9.99999999999999E+23</xm:f>
          </x14:formula2>
          <xm:sqref>G19:G20 I19:I20</xm:sqref>
        </x14:dataValidation>
        <x14:dataValidation xr:uid="{007300A8-00B7-444D-98BF-00A500C200FB}" type="decimal" allowBlank="1" error="Допускается ввод только неотрицательных чисел!" errorTitle="Ошибка" showErrorMessage="1">
          <x14:formula1>
            <xm:f>0</xm:f>
          </x14:formula1>
          <x14:formula2>
            <xm:f>9.99999999999999E+23</xm:f>
          </x14:formula2>
          <xm:sqref>G21 I21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204" width="32.57421875"/>
    <col customWidth="1" min="2" max="2" style="1852" width="11.00390625"/>
    <col min="3" max="3" style="1852" width="9.140625"/>
    <col customWidth="1" min="4" max="4" style="1852" width="26.57421875"/>
    <col customWidth="1" min="5" max="5" style="1825" width="36.8515625"/>
    <col customWidth="1" min="6" max="6" style="1825" width="23.57421875"/>
    <col customWidth="1" min="7" max="7" style="1825" width="31.421875"/>
    <col customWidth="1" min="8" max="8" style="1825" width="40.8515625"/>
    <col customWidth="1" min="9" max="9" style="1825" width="14.57421875"/>
    <col customWidth="1" min="10" max="10" style="1825" width="26.8515625"/>
    <col customWidth="1" min="11" max="11" style="1825" width="50.00390625"/>
    <col customWidth="1" min="12" max="12" style="1825" width="52.421875"/>
    <col customWidth="1" min="13" max="13" style="1825" width="10.7109375"/>
    <col customWidth="1" min="14" max="14" style="1825" width="55.140625"/>
    <col customWidth="1" min="15" max="15" style="1825" width="31.8515625"/>
    <col customWidth="1" min="16" max="16" style="1825" width="23.8515625"/>
    <col customWidth="1" min="17" max="17" style="1825" width="46.57421875"/>
    <col customWidth="1" min="18" max="18" style="1825" width="24.00390625"/>
    <col customWidth="1" min="19" max="19" style="1825" width="20.57421875"/>
    <col customWidth="1" min="20" max="20" style="1825" width="22.00390625"/>
    <col customWidth="1" min="21" max="22" style="1825" width="26.421875"/>
    <col customWidth="1" hidden="1" min="23" max="23" style="1825" width="8.28125"/>
    <col customWidth="1" min="24" max="24" style="1825" width="59.7109375"/>
    <col customWidth="1" min="25" max="25" style="1825" width="49.140625"/>
    <col customWidth="1" min="26" max="26" style="1825" width="11.140625"/>
    <col customWidth="1" min="27" max="30" style="1825" width="29.00390625"/>
    <col min="31" max="31" style="1825" width="9.140625"/>
    <col customWidth="1" min="32" max="32" style="1825" width="34.7109375"/>
    <col min="33" max="33" style="1825" width="9.140625"/>
    <col customWidth="1" min="34" max="35" style="1825" width="34.421875"/>
    <col min="36" max="36" style="1825" width="9.140625"/>
    <col customWidth="1" min="37" max="37" style="1825" width="24.57421875"/>
    <col min="38" max="38" style="1825" width="9.140625"/>
    <col customWidth="1" min="39" max="39" style="1825" width="26.140625"/>
    <col customWidth="1" min="40" max="40" style="1825" width="1.7109375"/>
    <col min="41" max="41" style="1825" width="9.140625"/>
    <col customWidth="1" min="42" max="43" style="1825" width="47.8515625"/>
    <col customWidth="1" min="44" max="44" style="1825" width="1.7109375"/>
    <col customWidth="1" min="45" max="45" style="1825" width="21.421875"/>
    <col customWidth="1" min="46" max="46" style="1825" width="1.7109375"/>
    <col customWidth="1" min="47" max="47" style="1825" width="31.28125"/>
    <col customWidth="1" min="48" max="48" style="1825" width="1.7109375"/>
    <col min="49" max="50" style="1825" width="9.140625"/>
    <col customWidth="1" min="51" max="51" style="1825" width="3.7109375"/>
    <col customWidth="1" min="52" max="52" style="1825" width="60.8515625"/>
    <col customWidth="1" min="53" max="53" style="1825" width="49.28125"/>
    <col customWidth="1" min="54" max="54" style="1825" width="35.140625"/>
    <col min="55" max="55" style="1825" width="9.140625"/>
    <col customWidth="1" min="56" max="56" style="1825" width="1.7109375"/>
    <col customWidth="1" min="57" max="57" style="1068" width="12.57421875"/>
    <col customWidth="1" min="58" max="58" style="1068" width="14.28125"/>
    <col customWidth="1" min="59" max="59" style="1825" width="30.7109375"/>
    <col customWidth="1" min="60" max="60" style="1842" width="40.7109375"/>
    <col customWidth="1" min="61" max="61" style="1842" width="15.00390625"/>
    <col customWidth="1" min="62" max="62" style="1842" width="40.7109375"/>
    <col customWidth="1" min="63" max="63" style="1842" width="2.7109375"/>
    <col customWidth="1" min="64" max="64" style="1842" width="44.7109375"/>
    <col customWidth="1" min="65" max="65" style="1842" width="2.7109375"/>
    <col customWidth="1" min="66" max="66" style="1842" width="40.7109375"/>
    <col min="67" max="68" style="1825" width="9.140625"/>
    <col customWidth="1" min="69" max="69" style="1825" width="18.140625"/>
    <col customWidth="1" min="70" max="70" style="1825" width="57.8515625"/>
    <col customWidth="1" min="71" max="71" style="1825" width="1.7109375"/>
    <col customWidth="1" min="72" max="72" style="1825" width="22.57421875"/>
    <col customWidth="1" min="73" max="73" style="1825" width="57.8515625"/>
    <col customWidth="1" min="74" max="74" style="1825" width="1.7109375"/>
    <col customWidth="1" min="75" max="75" style="1825" width="22.57421875"/>
    <col customWidth="1" min="76" max="76" style="1825" width="57.8515625"/>
    <col customWidth="1" min="77" max="77" style="1825" width="1.7109375"/>
    <col customWidth="1" min="78" max="78" style="1825" width="22.57421875"/>
    <col customWidth="1" min="79" max="79" style="1825" width="57.8515625"/>
    <col min="80" max="81" style="1825" width="9.140625"/>
    <col customWidth="1" min="82" max="82" style="1825" width="49.57421875"/>
  </cols>
  <sheetData>
    <row r="1" s="1429" customFormat="1" ht="11.25" customHeight="1">
      <c r="A1" s="1069" t="s">
        <v>1166</v>
      </c>
      <c r="B1" s="1069" t="s">
        <v>1167</v>
      </c>
      <c r="C1" s="1069" t="s">
        <v>1168</v>
      </c>
      <c r="D1" s="1069" t="s">
        <v>1169</v>
      </c>
      <c r="E1" s="1069" t="s">
        <v>1170</v>
      </c>
      <c r="F1" s="1069" t="s">
        <v>1171</v>
      </c>
      <c r="G1" s="1069" t="s">
        <v>1172</v>
      </c>
      <c r="H1" s="1069" t="s">
        <v>1173</v>
      </c>
      <c r="I1" s="1069" t="s">
        <v>1174</v>
      </c>
      <c r="J1" s="1069" t="s">
        <v>1175</v>
      </c>
      <c r="K1" s="1069" t="s">
        <v>1176</v>
      </c>
      <c r="L1" s="1069" t="s">
        <v>1177</v>
      </c>
      <c r="M1" s="1069"/>
      <c r="N1" s="1069" t="s">
        <v>1178</v>
      </c>
      <c r="O1" s="1069" t="s">
        <v>1179</v>
      </c>
      <c r="P1" s="1069" t="s">
        <v>1180</v>
      </c>
      <c r="Q1" s="1069" t="s">
        <v>1181</v>
      </c>
      <c r="R1" s="1069" t="s">
        <v>1182</v>
      </c>
      <c r="S1" s="1069" t="s">
        <v>1183</v>
      </c>
      <c r="T1" s="1069" t="s">
        <v>1184</v>
      </c>
      <c r="U1" s="1069" t="s">
        <v>1185</v>
      </c>
      <c r="V1" s="1069"/>
      <c r="W1" s="799" t="s">
        <v>1186</v>
      </c>
      <c r="X1" s="1069" t="s">
        <v>1187</v>
      </c>
      <c r="Y1" s="1069" t="s">
        <v>1188</v>
      </c>
      <c r="Z1" s="1069"/>
      <c r="AA1" s="1069" t="s">
        <v>1189</v>
      </c>
      <c r="AB1" s="1069"/>
      <c r="AC1" s="1069" t="s">
        <v>1190</v>
      </c>
      <c r="AD1" s="1069"/>
      <c r="AF1" s="1069" t="s">
        <v>1191</v>
      </c>
      <c r="AH1" s="1069" t="s">
        <v>1192</v>
      </c>
      <c r="AI1" s="1069" t="s">
        <v>1193</v>
      </c>
      <c r="AK1" s="1069" t="s">
        <v>1194</v>
      </c>
      <c r="AM1" s="1069" t="s">
        <v>1195</v>
      </c>
      <c r="AP1" s="1069" t="s">
        <v>1196</v>
      </c>
      <c r="AQ1" s="1069" t="s">
        <v>1197</v>
      </c>
      <c r="AS1" s="1069" t="s">
        <v>1198</v>
      </c>
      <c r="AU1" s="1069" t="s">
        <v>1199</v>
      </c>
      <c r="AW1" s="1069" t="s">
        <v>1200</v>
      </c>
      <c r="AX1" s="1069" t="s">
        <v>1201</v>
      </c>
      <c r="AZ1" s="1154" t="s">
        <v>1202</v>
      </c>
      <c r="BB1" s="1069" t="s">
        <v>1203</v>
      </c>
      <c r="BC1" s="1069"/>
      <c r="BE1" s="1069" t="s">
        <v>1204</v>
      </c>
      <c r="BF1" s="1069" t="s">
        <v>1205</v>
      </c>
      <c r="BH1" s="1071" t="s">
        <v>808</v>
      </c>
      <c r="BI1" s="1072"/>
      <c r="BJ1" s="1073" t="s">
        <v>1206</v>
      </c>
      <c r="BK1" s="1072"/>
      <c r="BL1" s="1074" t="s">
        <v>907</v>
      </c>
      <c r="BM1" s="1072"/>
      <c r="BN1" s="1075" t="s">
        <v>1207</v>
      </c>
      <c r="BS1" s="1429"/>
    </row>
    <row r="2" ht="11.25" customHeight="1">
      <c r="A2" s="1076" t="s">
        <v>1208</v>
      </c>
      <c r="B2" s="1077">
        <v>2000</v>
      </c>
      <c r="C2" s="1077">
        <v>2022</v>
      </c>
      <c r="D2" s="1077" t="s">
        <v>66</v>
      </c>
      <c r="E2" s="1078" t="s">
        <v>1209</v>
      </c>
      <c r="F2" s="1078" t="s">
        <v>1210</v>
      </c>
      <c r="G2" s="1078" t="s">
        <v>1211</v>
      </c>
      <c r="H2" s="1079" t="s">
        <v>55</v>
      </c>
      <c r="I2" s="1078" t="s">
        <v>110</v>
      </c>
      <c r="J2" s="1078" t="s">
        <v>1212</v>
      </c>
      <c r="K2" s="1080" t="s">
        <v>1213</v>
      </c>
      <c r="L2" s="1081"/>
      <c r="M2" s="1080">
        <v>1</v>
      </c>
      <c r="N2" s="1164" t="s">
        <v>1214</v>
      </c>
      <c r="O2" s="1079" t="s">
        <v>1215</v>
      </c>
      <c r="P2" s="1082" t="s">
        <v>38</v>
      </c>
      <c r="Q2" s="1083" t="s">
        <v>1216</v>
      </c>
      <c r="R2" s="145" t="s">
        <v>1217</v>
      </c>
      <c r="S2" s="145" t="s">
        <v>1218</v>
      </c>
      <c r="T2" s="1084" t="s">
        <v>1219</v>
      </c>
      <c r="U2" s="1081" t="s">
        <v>1220</v>
      </c>
      <c r="V2" s="1085">
        <v>1</v>
      </c>
      <c r="W2" s="1086"/>
      <c r="X2" s="1086" t="s">
        <v>1221</v>
      </c>
      <c r="Y2" s="1077" t="s">
        <v>1222</v>
      </c>
      <c r="Z2" s="1087"/>
      <c r="AA2" s="1077" t="s">
        <v>1223</v>
      </c>
      <c r="AB2" s="1088" t="s">
        <v>1223</v>
      </c>
      <c r="AC2" s="1077" t="s">
        <v>1224</v>
      </c>
      <c r="AD2" s="1088" t="s">
        <v>1224</v>
      </c>
      <c r="AF2" s="1079" t="s">
        <v>1220</v>
      </c>
      <c r="AH2" s="1078" t="s">
        <v>1225</v>
      </c>
      <c r="AI2" s="1078" t="s">
        <v>1225</v>
      </c>
      <c r="AK2" s="1078" t="s">
        <v>1226</v>
      </c>
      <c r="AM2" s="1078" t="s">
        <v>1227</v>
      </c>
      <c r="AP2" s="1089" t="s">
        <v>1221</v>
      </c>
      <c r="AQ2" s="1090" t="s">
        <v>1221</v>
      </c>
      <c r="AS2" s="1077" t="s">
        <v>1228</v>
      </c>
      <c r="AU2" s="1122" t="s">
        <v>1229</v>
      </c>
      <c r="AW2" s="1122" t="s">
        <v>1230</v>
      </c>
      <c r="AX2" s="1122" t="s">
        <v>1230</v>
      </c>
      <c r="AZ2" s="1122" t="s">
        <v>53</v>
      </c>
      <c r="BB2" s="1122" t="s">
        <v>1231</v>
      </c>
      <c r="BC2" s="1122" t="s">
        <v>1232</v>
      </c>
      <c r="BE2" s="1122">
        <v>2000</v>
      </c>
      <c r="BF2" s="1122" t="s">
        <v>1233</v>
      </c>
    </row>
    <row r="3" ht="11.25" customHeight="1">
      <c r="A3" s="1076" t="s">
        <v>1234</v>
      </c>
      <c r="B3" s="1077">
        <v>2001</v>
      </c>
      <c r="C3" s="1077">
        <v>2023</v>
      </c>
      <c r="D3" s="1077" t="s">
        <v>19</v>
      </c>
      <c r="E3" s="1078" t="s">
        <v>1235</v>
      </c>
      <c r="F3" s="1078" t="s">
        <v>35</v>
      </c>
      <c r="G3" s="1078" t="s">
        <v>1236</v>
      </c>
      <c r="H3" s="1079" t="s">
        <v>1237</v>
      </c>
      <c r="I3" s="1078" t="s">
        <v>111</v>
      </c>
      <c r="J3" s="1078" t="s">
        <v>556</v>
      </c>
      <c r="K3" s="1080" t="s">
        <v>1238</v>
      </c>
      <c r="L3" s="1081">
        <f>_xlfn.IFERROR(MATCH(K3,OFFER_METHOD,0),0)</f>
        <v>0</v>
      </c>
      <c r="M3" s="1080">
        <v>2</v>
      </c>
      <c r="N3" s="1164" t="s">
        <v>1239</v>
      </c>
      <c r="O3" s="1079" t="s">
        <v>1240</v>
      </c>
      <c r="P3" s="1082" t="s">
        <v>1241</v>
      </c>
      <c r="Q3" s="1083" t="s">
        <v>1242</v>
      </c>
      <c r="R3" s="145" t="s">
        <v>1243</v>
      </c>
      <c r="S3" s="145" t="s">
        <v>1244</v>
      </c>
      <c r="T3" s="1084" t="s">
        <v>1245</v>
      </c>
      <c r="U3" s="1081" t="s">
        <v>1246</v>
      </c>
      <c r="V3" s="1085">
        <v>2</v>
      </c>
      <c r="W3" s="1086"/>
      <c r="X3" s="1086" t="s">
        <v>1247</v>
      </c>
      <c r="Y3" s="1077" t="s">
        <v>1222</v>
      </c>
      <c r="Z3" s="1087"/>
      <c r="AA3" s="1077" t="s">
        <v>1248</v>
      </c>
      <c r="AB3" s="1088" t="s">
        <v>1248</v>
      </c>
      <c r="AC3" s="1077" t="s">
        <v>1249</v>
      </c>
      <c r="AD3" s="1088" t="s">
        <v>1249</v>
      </c>
      <c r="AF3" s="1079" t="s">
        <v>1246</v>
      </c>
      <c r="AH3" s="1078" t="s">
        <v>1250</v>
      </c>
      <c r="AI3" s="1078" t="s">
        <v>1251</v>
      </c>
      <c r="AK3" s="1078" t="s">
        <v>1252</v>
      </c>
      <c r="AM3" s="1078" t="s">
        <v>1253</v>
      </c>
      <c r="AP3" s="1089" t="s">
        <v>1254</v>
      </c>
      <c r="AQ3" s="1090" t="s">
        <v>1254</v>
      </c>
      <c r="AS3" s="1077" t="s">
        <v>1255</v>
      </c>
      <c r="AU3" s="1122" t="s">
        <v>1256</v>
      </c>
      <c r="AW3" s="1122" t="s">
        <v>1257</v>
      </c>
      <c r="AX3" s="1122" t="s">
        <v>1257</v>
      </c>
      <c r="AZ3" s="1122" t="s">
        <v>1258</v>
      </c>
      <c r="BB3" s="1122" t="s">
        <v>1259</v>
      </c>
      <c r="BC3" s="1122" t="s">
        <v>1232</v>
      </c>
      <c r="BE3" s="1122">
        <v>2001</v>
      </c>
      <c r="BF3" s="1122" t="s">
        <v>1260</v>
      </c>
      <c r="BH3" s="1069" t="s">
        <v>1261</v>
      </c>
      <c r="BJ3" s="1069" t="s">
        <v>1262</v>
      </c>
      <c r="BL3" s="1069" t="s">
        <v>1263</v>
      </c>
      <c r="BN3" s="1069" t="s">
        <v>1264</v>
      </c>
      <c r="BR3" s="1069" t="s">
        <v>1265</v>
      </c>
      <c r="BS3" s="1430"/>
      <c r="BT3" s="1072"/>
      <c r="BU3" s="1069" t="s">
        <v>1266</v>
      </c>
      <c r="BV3" s="1072"/>
      <c r="BW3" s="1692"/>
      <c r="BX3" s="1694" t="s">
        <v>1267</v>
      </c>
      <c r="CA3" s="1069" t="s">
        <v>1268</v>
      </c>
    </row>
    <row r="4" ht="11.25" customHeight="1">
      <c r="A4" s="1076" t="s">
        <v>1269</v>
      </c>
      <c r="B4" s="1077">
        <v>2002</v>
      </c>
      <c r="C4" s="1077">
        <v>2024</v>
      </c>
      <c r="E4" s="1078" t="s">
        <v>1270</v>
      </c>
      <c r="F4" s="1078" t="s">
        <v>1271</v>
      </c>
      <c r="H4" s="1079" t="s">
        <v>1272</v>
      </c>
      <c r="I4" s="1078" t="s">
        <v>90</v>
      </c>
      <c r="J4" s="1078" t="s">
        <v>1273</v>
      </c>
      <c r="K4" s="1080" t="s">
        <v>1274</v>
      </c>
      <c r="L4" s="1081">
        <f>_xlfn.IFERROR(MATCH(K4,OFFER_METHOD,0),0)</f>
        <v>0</v>
      </c>
      <c r="M4" s="1080">
        <v>3</v>
      </c>
      <c r="N4" s="1164" t="s">
        <v>1275</v>
      </c>
      <c r="O4" s="1078" t="s">
        <v>1276</v>
      </c>
      <c r="Q4" s="1083" t="s">
        <v>1277</v>
      </c>
      <c r="R4" s="145" t="s">
        <v>1278</v>
      </c>
      <c r="S4" s="145" t="s">
        <v>1279</v>
      </c>
      <c r="T4" s="1084" t="s">
        <v>1280</v>
      </c>
      <c r="U4" s="1081" t="s">
        <v>1281</v>
      </c>
      <c r="V4" s="1085">
        <v>3</v>
      </c>
      <c r="W4" s="1086"/>
      <c r="X4" s="1086" t="s">
        <v>1282</v>
      </c>
      <c r="Y4" s="1077" t="s">
        <v>1222</v>
      </c>
      <c r="Z4" s="1093"/>
      <c r="AC4" s="1077" t="s">
        <v>1283</v>
      </c>
      <c r="AD4" s="1088" t="s">
        <v>1283</v>
      </c>
      <c r="AF4" s="1079" t="s">
        <v>1281</v>
      </c>
      <c r="AH4" s="1079" t="s">
        <v>1284</v>
      </c>
      <c r="AK4" s="1078" t="s">
        <v>1285</v>
      </c>
      <c r="AM4" s="1078" t="s">
        <v>1286</v>
      </c>
      <c r="AP4" s="1089" t="s">
        <v>1247</v>
      </c>
      <c r="AQ4" s="1090" t="s">
        <v>1247</v>
      </c>
      <c r="AS4" s="1077" t="s">
        <v>1287</v>
      </c>
      <c r="AU4" s="1122" t="s">
        <v>1288</v>
      </c>
      <c r="AW4" s="1122" t="s">
        <v>1289</v>
      </c>
      <c r="AX4" s="1122" t="s">
        <v>1289</v>
      </c>
      <c r="AZ4" s="1122" t="s">
        <v>1290</v>
      </c>
      <c r="BB4" s="1122" t="s">
        <v>1291</v>
      </c>
      <c r="BC4" s="1122" t="s">
        <v>1292</v>
      </c>
      <c r="BE4" s="1122">
        <v>2002</v>
      </c>
      <c r="BF4" s="1122" t="s">
        <v>1293</v>
      </c>
      <c r="BH4" s="1070" t="s">
        <v>1294</v>
      </c>
      <c r="BJ4" s="1070" t="s">
        <v>1294</v>
      </c>
      <c r="BL4" s="1070" t="s">
        <v>1294</v>
      </c>
      <c r="BN4" s="1070" t="s">
        <v>1294</v>
      </c>
      <c r="BQ4" s="1434" t="s">
        <v>1295</v>
      </c>
      <c r="BR4" s="1161" t="s">
        <v>1296</v>
      </c>
      <c r="BS4" s="276"/>
      <c r="BT4" s="1434" t="s">
        <v>1297</v>
      </c>
      <c r="BU4" s="1161" t="s">
        <v>1298</v>
      </c>
      <c r="BV4" s="1072"/>
      <c r="BW4" s="1699" t="s">
        <v>1299</v>
      </c>
      <c r="BX4" s="1693" t="s">
        <v>1300</v>
      </c>
      <c r="BZ4" s="1434" t="s">
        <v>1301</v>
      </c>
      <c r="CA4" s="1161" t="s">
        <v>1302</v>
      </c>
    </row>
    <row r="5" ht="11.25" customHeight="1">
      <c r="A5" s="1076" t="s">
        <v>1303</v>
      </c>
      <c r="B5" s="1077">
        <v>2003</v>
      </c>
      <c r="C5" s="1077">
        <v>2025</v>
      </c>
      <c r="E5" s="1078" t="s">
        <v>1304</v>
      </c>
      <c r="F5" s="1078" t="s">
        <v>1305</v>
      </c>
      <c r="H5" s="1079" t="s">
        <v>1306</v>
      </c>
      <c r="I5" s="1078" t="s">
        <v>91</v>
      </c>
      <c r="K5" s="1080" t="s">
        <v>1307</v>
      </c>
      <c r="L5" s="1081">
        <f>_xlfn.IFERROR(MATCH(K5,OFFER_METHOD,0),0)</f>
        <v>0</v>
      </c>
      <c r="M5" s="1080">
        <v>4</v>
      </c>
      <c r="N5" s="1094" t="s">
        <v>1308</v>
      </c>
      <c r="O5" s="1078" t="s">
        <v>1309</v>
      </c>
      <c r="Q5" s="1083" t="s">
        <v>1310</v>
      </c>
      <c r="R5" s="145" t="s">
        <v>1311</v>
      </c>
      <c r="T5" s="1079" t="s">
        <v>1312</v>
      </c>
      <c r="U5" s="1081" t="s">
        <v>1313</v>
      </c>
      <c r="V5" s="1085">
        <v>4</v>
      </c>
      <c r="W5" s="1086"/>
      <c r="X5" s="1086" t="s">
        <v>168</v>
      </c>
      <c r="Y5" s="1077" t="s">
        <v>1314</v>
      </c>
      <c r="Z5" s="1093">
        <v>1</v>
      </c>
      <c r="AF5" s="1079" t="s">
        <v>1315</v>
      </c>
      <c r="AH5" s="1078" t="s">
        <v>1316</v>
      </c>
      <c r="AK5" s="1078" t="s">
        <v>1317</v>
      </c>
      <c r="AM5" s="1078" t="s">
        <v>1318</v>
      </c>
      <c r="AP5" s="1089" t="s">
        <v>168</v>
      </c>
      <c r="AQ5" s="1090" t="s">
        <v>168</v>
      </c>
      <c r="AU5" s="1122" t="s">
        <v>1319</v>
      </c>
      <c r="AW5" s="1122" t="s">
        <v>1320</v>
      </c>
      <c r="AX5" s="1122" t="s">
        <v>1320</v>
      </c>
      <c r="AZ5" s="1122" t="s">
        <v>1321</v>
      </c>
      <c r="BB5" s="1122" t="s">
        <v>1322</v>
      </c>
      <c r="BC5" s="1122" t="s">
        <v>1323</v>
      </c>
      <c r="BE5" s="1122">
        <v>2003</v>
      </c>
      <c r="BF5" s="1122" t="s">
        <v>1324</v>
      </c>
      <c r="BH5" s="1070" t="s">
        <v>1325</v>
      </c>
      <c r="BJ5" s="1070" t="s">
        <v>1325</v>
      </c>
      <c r="BL5" s="1070" t="s">
        <v>1325</v>
      </c>
      <c r="BN5" s="1070" t="s">
        <v>1326</v>
      </c>
      <c r="BQ5" s="1283">
        <v>4213775</v>
      </c>
      <c r="BR5" s="1070" t="s">
        <v>1221</v>
      </c>
      <c r="BS5" s="1431"/>
      <c r="BT5" s="1283">
        <v>64236871</v>
      </c>
      <c r="BU5" s="1070" t="s">
        <v>229</v>
      </c>
      <c r="BV5" s="1072"/>
      <c r="BW5" s="1697">
        <v>4213767</v>
      </c>
      <c r="BX5" s="1695" t="s">
        <v>1327</v>
      </c>
      <c r="BZ5" s="1283">
        <v>64237509</v>
      </c>
      <c r="CA5" s="1297" t="s">
        <v>1328</v>
      </c>
    </row>
    <row r="6" ht="11.25" customHeight="1">
      <c r="A6" s="1076" t="s">
        <v>1329</v>
      </c>
      <c r="B6" s="1077">
        <v>2004</v>
      </c>
      <c r="C6" s="1077">
        <v>2026</v>
      </c>
      <c r="E6" s="1078" t="s">
        <v>1330</v>
      </c>
      <c r="F6" s="1095"/>
      <c r="H6" s="1079" t="s">
        <v>1331</v>
      </c>
      <c r="I6" s="1078" t="s">
        <v>112</v>
      </c>
      <c r="J6" s="1069" t="s">
        <v>1332</v>
      </c>
      <c r="L6" s="1081">
        <f>SUM(kind_of_control_method_filter)</f>
        <v>0</v>
      </c>
      <c r="N6" s="1094" t="s">
        <v>1333</v>
      </c>
      <c r="O6" s="1078" t="s">
        <v>1334</v>
      </c>
      <c r="R6" s="145" t="s">
        <v>1216</v>
      </c>
      <c r="T6" s="1079" t="s">
        <v>1335</v>
      </c>
      <c r="U6" s="1081" t="s">
        <v>1315</v>
      </c>
      <c r="V6" s="1085">
        <v>5</v>
      </c>
      <c r="W6" s="1086"/>
      <c r="X6" s="1077" t="s">
        <v>174</v>
      </c>
      <c r="Y6" s="1077" t="s">
        <v>1336</v>
      </c>
      <c r="Z6" s="1093"/>
      <c r="AA6" s="1096"/>
      <c r="AH6" s="1078" t="s">
        <v>1337</v>
      </c>
      <c r="AK6" s="1078" t="s">
        <v>1338</v>
      </c>
      <c r="AM6" s="1078" t="s">
        <v>1339</v>
      </c>
      <c r="AP6" s="1089" t="s">
        <v>174</v>
      </c>
      <c r="AQ6" s="1090" t="s">
        <v>174</v>
      </c>
      <c r="AU6" s="1122" t="s">
        <v>1340</v>
      </c>
      <c r="AW6" s="1122" t="s">
        <v>1341</v>
      </c>
      <c r="AX6" s="1122" t="s">
        <v>1341</v>
      </c>
      <c r="BB6" s="1122" t="s">
        <v>1342</v>
      </c>
      <c r="BC6" s="1122" t="s">
        <v>1323</v>
      </c>
      <c r="BE6" s="1122">
        <v>2004</v>
      </c>
      <c r="BF6" s="1122" t="s">
        <v>1343</v>
      </c>
      <c r="BH6" s="1070" t="s">
        <v>1344</v>
      </c>
      <c r="BJ6" s="1070" t="s">
        <v>1345</v>
      </c>
      <c r="BL6" s="1070" t="s">
        <v>1345</v>
      </c>
      <c r="BN6" s="1070" t="s">
        <v>1346</v>
      </c>
      <c r="BQ6" s="1283">
        <v>4213784</v>
      </c>
      <c r="BR6" s="1297" t="s">
        <v>1254</v>
      </c>
      <c r="BS6" s="1432"/>
      <c r="BT6" s="1283">
        <v>64236872</v>
      </c>
      <c r="BU6" s="1070" t="s">
        <v>234</v>
      </c>
      <c r="BV6" s="1072"/>
      <c r="BW6" s="1697">
        <v>4213768</v>
      </c>
      <c r="BX6" s="1695" t="s">
        <v>254</v>
      </c>
      <c r="BZ6" s="1283">
        <v>64237510</v>
      </c>
      <c r="CA6" s="1070" t="s">
        <v>1347</v>
      </c>
    </row>
    <row r="7" ht="11.25" customHeight="1">
      <c r="A7" s="1076" t="s">
        <v>1348</v>
      </c>
      <c r="B7" s="1077">
        <v>2005</v>
      </c>
      <c r="E7" s="1078" t="s">
        <v>1349</v>
      </c>
      <c r="F7" s="1095"/>
      <c r="H7" s="1079" t="s">
        <v>1350</v>
      </c>
      <c r="I7" s="1078" t="s">
        <v>92</v>
      </c>
      <c r="J7" s="1078" t="s">
        <v>1351</v>
      </c>
      <c r="N7" s="1098" t="s">
        <v>1352</v>
      </c>
      <c r="O7" s="1078" t="s">
        <v>1353</v>
      </c>
      <c r="U7" s="1081" t="s">
        <v>19</v>
      </c>
      <c r="V7" s="372" t="s">
        <v>92</v>
      </c>
      <c r="W7" s="1086"/>
      <c r="X7" s="1077" t="s">
        <v>180</v>
      </c>
      <c r="Y7" s="1077" t="s">
        <v>1314</v>
      </c>
      <c r="Z7" s="1093"/>
      <c r="AA7" s="1096"/>
      <c r="AH7" s="1078" t="s">
        <v>1354</v>
      </c>
      <c r="AK7" s="1078" t="s">
        <v>1355</v>
      </c>
      <c r="AM7" s="1078" t="s">
        <v>1356</v>
      </c>
      <c r="AP7" s="1089" t="s">
        <v>180</v>
      </c>
      <c r="AQ7" s="1090" t="s">
        <v>180</v>
      </c>
      <c r="AU7" s="1122" t="s">
        <v>1357</v>
      </c>
      <c r="AW7" s="1122" t="s">
        <v>1358</v>
      </c>
      <c r="AX7" s="1122" t="s">
        <v>1358</v>
      </c>
      <c r="AZ7" s="1069" t="s">
        <v>1359</v>
      </c>
      <c r="BB7" s="1122" t="s">
        <v>1360</v>
      </c>
      <c r="BC7" s="1122" t="s">
        <v>1323</v>
      </c>
      <c r="BE7" s="1122">
        <v>2005</v>
      </c>
      <c r="BF7" s="1122" t="s">
        <v>1361</v>
      </c>
      <c r="BH7" s="1070" t="s">
        <v>1362</v>
      </c>
      <c r="BJ7" s="1070" t="s">
        <v>1344</v>
      </c>
      <c r="BL7" s="1070" t="s">
        <v>1344</v>
      </c>
      <c r="BN7" s="1070" t="s">
        <v>1363</v>
      </c>
      <c r="BQ7" s="1283">
        <v>4213781</v>
      </c>
      <c r="BR7" s="1070" t="s">
        <v>1247</v>
      </c>
      <c r="BS7" s="1431"/>
      <c r="BT7" s="1283">
        <v>64236873</v>
      </c>
      <c r="BU7" s="1070" t="s">
        <v>239</v>
      </c>
      <c r="BV7" s="1072"/>
      <c r="BW7" s="1697">
        <v>4213769</v>
      </c>
      <c r="BX7" s="1695" t="s">
        <v>1364</v>
      </c>
      <c r="BZ7" s="1283">
        <v>64237511</v>
      </c>
      <c r="CA7" s="1070" t="s">
        <v>269</v>
      </c>
    </row>
    <row r="8" ht="11.25" customHeight="1">
      <c r="A8" s="1076" t="s">
        <v>1365</v>
      </c>
      <c r="B8" s="1077">
        <v>2006</v>
      </c>
      <c r="E8" s="1078" t="s">
        <v>1366</v>
      </c>
      <c r="F8" s="1095"/>
      <c r="H8" s="1079" t="s">
        <v>1367</v>
      </c>
      <c r="I8" s="1078" t="s">
        <v>93</v>
      </c>
      <c r="J8" s="1078" t="s">
        <v>1368</v>
      </c>
      <c r="N8" s="1165" t="s">
        <v>1369</v>
      </c>
      <c r="O8" s="1078" t="s">
        <v>1370</v>
      </c>
      <c r="V8" s="372" t="s">
        <v>93</v>
      </c>
      <c r="W8" s="1086"/>
      <c r="X8" s="1077" t="s">
        <v>186</v>
      </c>
      <c r="Y8" s="1077" t="s">
        <v>1314</v>
      </c>
      <c r="Z8" s="1093"/>
      <c r="AA8" s="1096"/>
      <c r="AK8" s="1078" t="s">
        <v>1371</v>
      </c>
      <c r="AP8" s="1089" t="s">
        <v>186</v>
      </c>
      <c r="AQ8" s="1090" t="s">
        <v>186</v>
      </c>
      <c r="AU8" s="1122" t="s">
        <v>1372</v>
      </c>
      <c r="AW8" s="1122" t="s">
        <v>1373</v>
      </c>
      <c r="AX8" s="1122" t="s">
        <v>1373</v>
      </c>
      <c r="AZ8" s="1122" t="s">
        <v>1374</v>
      </c>
      <c r="BB8" s="1122" t="s">
        <v>1375</v>
      </c>
      <c r="BC8" s="1122" t="s">
        <v>1323</v>
      </c>
      <c r="BE8" s="1122">
        <v>2006</v>
      </c>
      <c r="BF8" s="1122" t="s">
        <v>1376</v>
      </c>
      <c r="BH8" s="1070" t="s">
        <v>1377</v>
      </c>
      <c r="BJ8" s="1070" t="s">
        <v>1378</v>
      </c>
      <c r="BL8" s="1070" t="s">
        <v>1378</v>
      </c>
      <c r="BN8" s="1070" t="s">
        <v>1379</v>
      </c>
      <c r="BQ8" s="1283">
        <v>4213776</v>
      </c>
      <c r="BR8" s="1070" t="s">
        <v>168</v>
      </c>
      <c r="BS8" s="1431"/>
      <c r="BT8" s="1283">
        <v>64236874</v>
      </c>
      <c r="BU8" s="1297" t="s">
        <v>1380</v>
      </c>
      <c r="BV8" s="1072"/>
      <c r="BW8" s="1697">
        <v>4213770</v>
      </c>
      <c r="BX8" s="1698" t="s">
        <v>1381</v>
      </c>
      <c r="BZ8" s="1283">
        <v>64237512</v>
      </c>
      <c r="CA8" s="1070" t="s">
        <v>264</v>
      </c>
    </row>
    <row r="9" ht="11.25" customHeight="1">
      <c r="A9" s="1076" t="s">
        <v>1382</v>
      </c>
      <c r="B9" s="1077">
        <v>2007</v>
      </c>
      <c r="E9" s="1078" t="s">
        <v>1383</v>
      </c>
      <c r="F9" s="1095"/>
      <c r="G9" s="1069" t="s">
        <v>1384</v>
      </c>
      <c r="H9" s="1069" t="s">
        <v>1385</v>
      </c>
      <c r="I9" s="1078" t="s">
        <v>113</v>
      </c>
      <c r="O9" s="1078" t="s">
        <v>1386</v>
      </c>
      <c r="V9" s="372" t="s">
        <v>113</v>
      </c>
      <c r="W9" s="1086"/>
      <c r="X9" s="1077" t="s">
        <v>192</v>
      </c>
      <c r="Y9" s="1077" t="s">
        <v>1222</v>
      </c>
      <c r="Z9" s="1093">
        <v>1</v>
      </c>
      <c r="AA9" s="1096"/>
      <c r="AK9" s="1078" t="s">
        <v>1387</v>
      </c>
      <c r="AP9" s="1089" t="s">
        <v>1388</v>
      </c>
      <c r="AQ9" s="1090" t="s">
        <v>1388</v>
      </c>
      <c r="AW9" s="1122" t="s">
        <v>1389</v>
      </c>
      <c r="AX9" s="1122" t="s">
        <v>1389</v>
      </c>
      <c r="AZ9" s="1122" t="s">
        <v>1390</v>
      </c>
      <c r="BB9" s="1122" t="s">
        <v>1391</v>
      </c>
      <c r="BC9" s="1122" t="s">
        <v>1323</v>
      </c>
      <c r="BE9" s="1122">
        <v>2007</v>
      </c>
      <c r="BF9" s="1122" t="s">
        <v>1392</v>
      </c>
      <c r="BH9" s="1070" t="s">
        <v>1393</v>
      </c>
      <c r="BJ9" s="1070" t="s">
        <v>1394</v>
      </c>
      <c r="BL9" s="1070" t="s">
        <v>1394</v>
      </c>
      <c r="BN9" s="1070" t="s">
        <v>1395</v>
      </c>
      <c r="BQ9" s="1283">
        <v>4213777</v>
      </c>
      <c r="BR9" s="1070" t="s">
        <v>174</v>
      </c>
      <c r="BS9" s="1431"/>
      <c r="BT9" s="1283">
        <v>64236875</v>
      </c>
      <c r="BU9" s="1070" t="s">
        <v>244</v>
      </c>
      <c r="BV9" s="1072"/>
      <c r="BW9" s="1692"/>
      <c r="BX9" s="1692"/>
    </row>
    <row r="10" ht="11.25" customHeight="1">
      <c r="A10" s="1076" t="s">
        <v>1396</v>
      </c>
      <c r="B10" s="1077">
        <v>2008</v>
      </c>
      <c r="E10" s="1078" t="s">
        <v>1397</v>
      </c>
      <c r="F10" s="1095"/>
      <c r="G10" s="1078" t="s">
        <v>1398</v>
      </c>
      <c r="H10" s="1078" t="s">
        <v>1399</v>
      </c>
      <c r="I10" s="1078" t="s">
        <v>150</v>
      </c>
      <c r="J10" s="1069" t="s">
        <v>1400</v>
      </c>
      <c r="K10" s="1069" t="s">
        <v>1401</v>
      </c>
      <c r="O10" s="1078" t="s">
        <v>1402</v>
      </c>
      <c r="V10" s="373" t="s">
        <v>150</v>
      </c>
      <c r="W10" s="1099"/>
      <c r="X10" s="1099" t="s">
        <v>1403</v>
      </c>
      <c r="Y10" s="1100" t="s">
        <v>1404</v>
      </c>
      <c r="Z10" s="1093"/>
      <c r="AP10" s="1089" t="s">
        <v>1403</v>
      </c>
      <c r="AQ10" s="1090" t="s">
        <v>1403</v>
      </c>
      <c r="AW10" s="1122" t="s">
        <v>1405</v>
      </c>
      <c r="AX10" s="1122" t="s">
        <v>1405</v>
      </c>
      <c r="AZ10" s="1122" t="s">
        <v>1406</v>
      </c>
      <c r="BB10" s="1122" t="s">
        <v>1407</v>
      </c>
      <c r="BC10" s="1122" t="s">
        <v>1323</v>
      </c>
      <c r="BE10" s="1122">
        <v>2008</v>
      </c>
      <c r="BF10" s="1122" t="s">
        <v>1408</v>
      </c>
      <c r="BH10" s="1070" t="s">
        <v>1409</v>
      </c>
      <c r="BJ10" s="1070" t="s">
        <v>1410</v>
      </c>
      <c r="BL10" s="1070" t="s">
        <v>1410</v>
      </c>
      <c r="BN10" s="1070" t="s">
        <v>1411</v>
      </c>
      <c r="BQ10" s="1283">
        <v>4213778</v>
      </c>
      <c r="BR10" s="1070" t="s">
        <v>180</v>
      </c>
      <c r="BS10" s="1431"/>
      <c r="BT10" s="1283">
        <v>64236876</v>
      </c>
      <c r="BU10" s="1070" t="s">
        <v>224</v>
      </c>
      <c r="BV10" s="1072"/>
      <c r="BW10" s="1692"/>
      <c r="BX10" s="1692"/>
    </row>
    <row r="11" ht="11.25" customHeight="1">
      <c r="A11" s="1076" t="s">
        <v>1412</v>
      </c>
      <c r="B11" s="1077">
        <v>2009</v>
      </c>
      <c r="E11" s="1078" t="s">
        <v>1413</v>
      </c>
      <c r="F11" s="1095"/>
      <c r="G11" s="1078" t="s">
        <v>1414</v>
      </c>
      <c r="H11" s="1078" t="s">
        <v>1415</v>
      </c>
      <c r="I11" s="1078" t="s">
        <v>151</v>
      </c>
      <c r="J11" s="1079" t="s">
        <v>1416</v>
      </c>
      <c r="K11" s="1101" t="s">
        <v>1417</v>
      </c>
      <c r="O11" s="1079" t="s">
        <v>1418</v>
      </c>
      <c r="V11" s="372" t="s">
        <v>151</v>
      </c>
      <c r="W11" s="277"/>
      <c r="X11" s="1086" t="s">
        <v>1388</v>
      </c>
      <c r="Y11" s="1077" t="s">
        <v>1419</v>
      </c>
      <c r="Z11" s="1093"/>
      <c r="AP11" s="1089" t="s">
        <v>192</v>
      </c>
      <c r="AQ11" s="1091" t="s">
        <v>192</v>
      </c>
      <c r="AW11" s="1122" t="s">
        <v>1420</v>
      </c>
      <c r="AX11" s="1122" t="s">
        <v>1420</v>
      </c>
      <c r="AZ11" s="1122" t="s">
        <v>1421</v>
      </c>
      <c r="BB11" s="1122" t="s">
        <v>1422</v>
      </c>
      <c r="BC11" s="1122" t="s">
        <v>1323</v>
      </c>
      <c r="BE11" s="1122">
        <v>2009</v>
      </c>
      <c r="BF11" s="1122" t="s">
        <v>1423</v>
      </c>
      <c r="BH11" s="1070" t="s">
        <v>1424</v>
      </c>
      <c r="BJ11" s="1070" t="s">
        <v>1393</v>
      </c>
      <c r="BL11" s="1070" t="s">
        <v>1393</v>
      </c>
      <c r="BN11" s="1070" t="s">
        <v>1425</v>
      </c>
      <c r="BQ11" s="1283">
        <v>4213780</v>
      </c>
      <c r="BR11" s="1070" t="s">
        <v>186</v>
      </c>
      <c r="BS11" s="1431"/>
      <c r="BW11" s="1692"/>
      <c r="BX11" s="1692"/>
    </row>
    <row r="12" ht="11.25" customHeight="1">
      <c r="A12" s="1076" t="s">
        <v>1426</v>
      </c>
      <c r="B12" s="1077">
        <v>2010</v>
      </c>
      <c r="E12" s="1078" t="s">
        <v>1427</v>
      </c>
      <c r="F12" s="1095"/>
      <c r="G12" s="1078" t="s">
        <v>1415</v>
      </c>
      <c r="I12" s="1078" t="s">
        <v>152</v>
      </c>
      <c r="J12" s="1079" t="s">
        <v>1428</v>
      </c>
      <c r="K12" s="1101" t="s">
        <v>1429</v>
      </c>
      <c r="O12" s="1079" t="s">
        <v>1216</v>
      </c>
      <c r="V12" s="372" t="s">
        <v>152</v>
      </c>
      <c r="W12" s="1091"/>
      <c r="X12" s="1086" t="s">
        <v>1430</v>
      </c>
      <c r="Y12" s="1077" t="s">
        <v>1222</v>
      </c>
      <c r="AP12" s="1089"/>
      <c r="AW12" s="1122" t="s">
        <v>151</v>
      </c>
      <c r="AX12" s="1122" t="s">
        <v>151</v>
      </c>
      <c r="AZ12" s="1122" t="s">
        <v>1431</v>
      </c>
      <c r="BB12" s="1122" t="s">
        <v>1432</v>
      </c>
      <c r="BC12" s="1122" t="s">
        <v>1323</v>
      </c>
      <c r="BE12" s="1122">
        <v>2010</v>
      </c>
      <c r="BF12" s="1122" t="s">
        <v>1433</v>
      </c>
      <c r="BH12" s="1070" t="s">
        <v>1434</v>
      </c>
      <c r="BJ12" s="1070" t="s">
        <v>1435</v>
      </c>
      <c r="BL12" s="1070" t="s">
        <v>1435</v>
      </c>
      <c r="BN12" s="1070" t="s">
        <v>1436</v>
      </c>
      <c r="BQ12" s="1283">
        <v>4213779</v>
      </c>
      <c r="BR12" s="1070" t="s">
        <v>1388</v>
      </c>
      <c r="BS12" s="1431"/>
      <c r="BT12" s="1072"/>
      <c r="BU12" s="1072"/>
      <c r="BV12" s="1072"/>
      <c r="BW12" s="1692"/>
      <c r="BX12" s="1692"/>
    </row>
    <row r="13" ht="11.25" customHeight="1">
      <c r="A13" s="1076" t="s">
        <v>1437</v>
      </c>
      <c r="B13" s="1077">
        <v>2011</v>
      </c>
      <c r="E13" s="1078" t="s">
        <v>1438</v>
      </c>
      <c r="F13" s="1095"/>
      <c r="I13" s="1078" t="s">
        <v>153</v>
      </c>
      <c r="K13" s="1101" t="s">
        <v>1387</v>
      </c>
      <c r="V13" s="372" t="s">
        <v>153</v>
      </c>
      <c r="W13" s="1091"/>
      <c r="X13" s="1091"/>
      <c r="Y13" s="1091"/>
      <c r="AW13" s="1122" t="s">
        <v>152</v>
      </c>
      <c r="AX13" s="1122" t="s">
        <v>152</v>
      </c>
      <c r="BB13" s="1122" t="s">
        <v>1439</v>
      </c>
      <c r="BC13" s="1122" t="s">
        <v>1440</v>
      </c>
      <c r="BE13" s="1122">
        <v>2011</v>
      </c>
      <c r="BF13" s="1122" t="s">
        <v>1441</v>
      </c>
      <c r="BH13" s="1070" t="s">
        <v>1442</v>
      </c>
      <c r="BJ13" s="1070" t="s">
        <v>1424</v>
      </c>
      <c r="BL13" s="1070" t="s">
        <v>1424</v>
      </c>
      <c r="BN13" s="1070" t="s">
        <v>1443</v>
      </c>
      <c r="BQ13" s="1283">
        <v>4213783</v>
      </c>
      <c r="BR13" s="1070" t="s">
        <v>1403</v>
      </c>
      <c r="BS13" s="1431"/>
      <c r="BT13" s="1072"/>
      <c r="BU13" s="1072"/>
      <c r="BV13" s="1072"/>
      <c r="BW13" s="1696"/>
      <c r="BX13" s="1692"/>
    </row>
    <row r="14" ht="11.25" customHeight="1">
      <c r="A14" s="1076" t="s">
        <v>1444</v>
      </c>
      <c r="B14" s="1077">
        <v>2012</v>
      </c>
      <c r="I14" s="1078" t="s">
        <v>154</v>
      </c>
      <c r="J14" s="1069" t="s">
        <v>1445</v>
      </c>
      <c r="N14" s="1069" t="s">
        <v>1446</v>
      </c>
      <c r="V14" s="1085">
        <v>13</v>
      </c>
      <c r="W14" s="1086"/>
      <c r="X14" s="1086" t="s">
        <v>1254</v>
      </c>
      <c r="Y14" s="1077" t="s">
        <v>1222</v>
      </c>
      <c r="AW14" s="1122" t="s">
        <v>153</v>
      </c>
      <c r="AX14" s="1122" t="s">
        <v>153</v>
      </c>
      <c r="AZ14" s="1069" t="s">
        <v>1447</v>
      </c>
      <c r="BB14" s="1122" t="s">
        <v>1448</v>
      </c>
      <c r="BC14" s="1122" t="s">
        <v>1440</v>
      </c>
      <c r="BE14" s="1122">
        <v>2012</v>
      </c>
      <c r="BH14" s="1070" t="s">
        <v>1363</v>
      </c>
      <c r="BJ14" s="1219" t="s">
        <v>1449</v>
      </c>
      <c r="BL14" s="1219" t="s">
        <v>1449</v>
      </c>
      <c r="BN14" s="1070" t="s">
        <v>1450</v>
      </c>
      <c r="BQ14" s="1283">
        <v>4213782</v>
      </c>
      <c r="BR14" s="1070" t="s">
        <v>192</v>
      </c>
      <c r="BS14" s="1431"/>
      <c r="BT14" s="1072"/>
      <c r="BU14" s="1072"/>
      <c r="BV14" s="1072"/>
      <c r="BW14" s="1696"/>
      <c r="BX14" s="1692"/>
    </row>
    <row r="15" ht="19.5" customHeight="1">
      <c r="A15" s="1076" t="s">
        <v>1451</v>
      </c>
      <c r="B15" s="1077">
        <v>2013</v>
      </c>
      <c r="E15" s="1700" t="s">
        <v>1452</v>
      </c>
      <c r="G15" s="1069" t="s">
        <v>1453</v>
      </c>
      <c r="H15" s="1069" t="s">
        <v>1454</v>
      </c>
      <c r="I15" s="1080" t="s">
        <v>155</v>
      </c>
      <c r="J15" s="1091" t="s">
        <v>583</v>
      </c>
      <c r="N15" s="1160" t="s">
        <v>1455</v>
      </c>
      <c r="X15" s="1089"/>
      <c r="AW15" s="1122" t="s">
        <v>154</v>
      </c>
      <c r="AX15" s="1122" t="s">
        <v>154</v>
      </c>
      <c r="AZ15" s="1122" t="s">
        <v>1374</v>
      </c>
      <c r="BB15" s="1122" t="s">
        <v>1456</v>
      </c>
      <c r="BC15" s="1122" t="s">
        <v>1440</v>
      </c>
      <c r="BE15" s="1122">
        <v>2013</v>
      </c>
      <c r="BH15" s="1070" t="s">
        <v>1379</v>
      </c>
      <c r="BJ15" s="1219" t="s">
        <v>1457</v>
      </c>
      <c r="BL15" s="1219" t="s">
        <v>1457</v>
      </c>
      <c r="BN15" s="1070" t="s">
        <v>1458</v>
      </c>
      <c r="BR15" s="1072"/>
      <c r="BS15" s="1433"/>
      <c r="BT15" s="1072"/>
      <c r="BU15" s="1072"/>
      <c r="BV15" s="1072"/>
      <c r="BW15" s="1696"/>
      <c r="BX15" s="1692"/>
    </row>
    <row r="16" ht="21" customHeight="1">
      <c r="A16" s="1872" t="s">
        <v>1459</v>
      </c>
      <c r="B16" s="1077">
        <v>2014</v>
      </c>
      <c r="E16" s="1701" t="s">
        <v>1460</v>
      </c>
      <c r="G16" s="1078" t="s">
        <v>1461</v>
      </c>
      <c r="H16" s="1078" t="s">
        <v>1462</v>
      </c>
      <c r="I16" s="1080" t="s">
        <v>1463</v>
      </c>
      <c r="J16" s="1091" t="s">
        <v>556</v>
      </c>
      <c r="N16" s="1160" t="s">
        <v>1464</v>
      </c>
      <c r="AW16" s="1122" t="s">
        <v>155</v>
      </c>
      <c r="AX16" s="1122" t="s">
        <v>155</v>
      </c>
      <c r="AZ16" s="1122" t="s">
        <v>1390</v>
      </c>
      <c r="BB16" s="1122" t="s">
        <v>1465</v>
      </c>
      <c r="BC16" s="1122" t="s">
        <v>1440</v>
      </c>
      <c r="BE16" s="1122">
        <v>2014</v>
      </c>
      <c r="BH16" s="1070" t="s">
        <v>1395</v>
      </c>
      <c r="BJ16" s="1219" t="s">
        <v>1466</v>
      </c>
      <c r="BL16" s="1219" t="s">
        <v>1466</v>
      </c>
      <c r="BN16" s="1070" t="s">
        <v>1467</v>
      </c>
      <c r="BR16" s="1072"/>
      <c r="BS16" s="1433"/>
      <c r="BT16" s="1072"/>
      <c r="BU16" s="1072"/>
      <c r="BV16" s="1072"/>
      <c r="BW16" s="1696"/>
      <c r="BX16" s="1692"/>
    </row>
    <row r="17" ht="21" customHeight="1">
      <c r="A17" s="1076" t="s">
        <v>1468</v>
      </c>
      <c r="B17" s="1077">
        <v>2015</v>
      </c>
      <c r="G17" s="1078" t="s">
        <v>1415</v>
      </c>
      <c r="H17" s="1078" t="s">
        <v>1415</v>
      </c>
      <c r="I17" s="1078" t="s">
        <v>1469</v>
      </c>
      <c r="N17" s="1160" t="s">
        <v>1470</v>
      </c>
      <c r="X17" s="1089"/>
      <c r="AW17" s="1122" t="s">
        <v>1463</v>
      </c>
      <c r="AX17" s="1122" t="s">
        <v>1463</v>
      </c>
      <c r="AZ17" s="1122" t="s">
        <v>1471</v>
      </c>
      <c r="BB17" s="1122" t="s">
        <v>1472</v>
      </c>
      <c r="BC17" s="1122" t="s">
        <v>1323</v>
      </c>
      <c r="BE17" s="1122">
        <v>2015</v>
      </c>
      <c r="BH17" s="1070" t="s">
        <v>1411</v>
      </c>
      <c r="BJ17" s="1219" t="s">
        <v>1473</v>
      </c>
      <c r="BL17" s="1219" t="s">
        <v>1473</v>
      </c>
      <c r="BN17" s="1070" t="s">
        <v>1474</v>
      </c>
      <c r="BR17" s="1069" t="s">
        <v>1265</v>
      </c>
      <c r="BS17" s="1430"/>
      <c r="BU17" s="1069" t="s">
        <v>1475</v>
      </c>
      <c r="BV17" s="1072"/>
      <c r="BW17" s="1692"/>
      <c r="BX17" s="1694" t="s">
        <v>1476</v>
      </c>
      <c r="CA17" s="1069" t="s">
        <v>1477</v>
      </c>
      <c r="CD17" s="1069" t="s">
        <v>1478</v>
      </c>
    </row>
    <row r="18" ht="21" customHeight="1">
      <c r="A18" s="1076" t="s">
        <v>1479</v>
      </c>
      <c r="B18" s="1077">
        <v>2016</v>
      </c>
      <c r="E18" s="2007" t="s">
        <v>1480</v>
      </c>
      <c r="I18" s="1078" t="s">
        <v>1481</v>
      </c>
      <c r="N18" s="1160" t="s">
        <v>1482</v>
      </c>
      <c r="X18" s="1089"/>
      <c r="AW18" s="1122" t="s">
        <v>1469</v>
      </c>
      <c r="AX18" s="1122" t="s">
        <v>1469</v>
      </c>
      <c r="BB18" s="1122" t="s">
        <v>1483</v>
      </c>
      <c r="BC18" s="1122" t="s">
        <v>1323</v>
      </c>
      <c r="BE18" s="1122">
        <v>2016</v>
      </c>
      <c r="BH18" s="1070" t="s">
        <v>1425</v>
      </c>
      <c r="BJ18" s="1219" t="s">
        <v>1484</v>
      </c>
      <c r="BL18" s="1219" t="s">
        <v>1484</v>
      </c>
      <c r="BN18" s="1070" t="s">
        <v>1485</v>
      </c>
      <c r="BQ18" s="1434" t="s">
        <v>1295</v>
      </c>
      <c r="BR18" s="1161" t="s">
        <v>1296</v>
      </c>
      <c r="BS18" s="276"/>
      <c r="BT18" s="1434" t="s">
        <v>1486</v>
      </c>
      <c r="BU18" s="1161" t="s">
        <v>1487</v>
      </c>
      <c r="BV18" s="1072"/>
      <c r="BW18" s="1699" t="s">
        <v>1488</v>
      </c>
      <c r="BX18" s="1693" t="s">
        <v>1489</v>
      </c>
      <c r="BZ18" s="1434" t="s">
        <v>1490</v>
      </c>
      <c r="CA18" s="1161" t="s">
        <v>1491</v>
      </c>
      <c r="CC18" s="1434" t="s">
        <v>1492</v>
      </c>
      <c r="CD18" s="1161" t="s">
        <v>1493</v>
      </c>
    </row>
    <row r="19" ht="21" customHeight="1">
      <c r="A19" s="1872" t="s">
        <v>1494</v>
      </c>
      <c r="B19" s="1077">
        <v>2017</v>
      </c>
      <c r="E19" s="1076" t="s">
        <v>167</v>
      </c>
      <c r="I19" s="1078" t="s">
        <v>1495</v>
      </c>
      <c r="N19" s="1160" t="s">
        <v>1496</v>
      </c>
      <c r="X19" s="1089"/>
      <c r="AW19" s="1122" t="s">
        <v>1481</v>
      </c>
      <c r="AX19" s="1122" t="s">
        <v>1481</v>
      </c>
      <c r="AZ19" s="1069" t="s">
        <v>1497</v>
      </c>
      <c r="BB19" s="1122" t="s">
        <v>1498</v>
      </c>
      <c r="BC19" s="1122" t="s">
        <v>1323</v>
      </c>
      <c r="BE19" s="1122">
        <v>2017</v>
      </c>
      <c r="BH19" s="1070" t="s">
        <v>1499</v>
      </c>
      <c r="BJ19" s="1219" t="s">
        <v>1500</v>
      </c>
      <c r="BL19" s="1219" t="s">
        <v>1500</v>
      </c>
      <c r="BQ19" s="1283">
        <v>4190064</v>
      </c>
      <c r="BR19" s="1070" t="s">
        <v>1501</v>
      </c>
      <c r="BS19" s="1431"/>
      <c r="BT19" s="1283">
        <v>4189671</v>
      </c>
      <c r="BU19" s="1070" t="s">
        <v>1502</v>
      </c>
      <c r="BV19" s="1072"/>
      <c r="BW19" s="1697">
        <v>4189706</v>
      </c>
      <c r="BX19" s="1695" t="s">
        <v>1503</v>
      </c>
      <c r="BZ19" s="1283">
        <v>4189714</v>
      </c>
      <c r="CA19" s="1070" t="s">
        <v>1504</v>
      </c>
      <c r="CC19" s="1283">
        <v>4189708</v>
      </c>
      <c r="CD19" s="1070" t="s">
        <v>1505</v>
      </c>
    </row>
    <row r="20" ht="21" customHeight="1">
      <c r="A20" s="1076" t="s">
        <v>1506</v>
      </c>
      <c r="B20" s="1077">
        <v>2018</v>
      </c>
      <c r="E20" s="1076" t="s">
        <v>1254</v>
      </c>
      <c r="I20" s="1078" t="s">
        <v>1507</v>
      </c>
      <c r="N20" s="1160" t="s">
        <v>1508</v>
      </c>
      <c r="AW20" s="1122" t="s">
        <v>1495</v>
      </c>
      <c r="AX20" s="1122" t="s">
        <v>1495</v>
      </c>
      <c r="AZ20" s="1122" t="s">
        <v>1509</v>
      </c>
      <c r="BB20" s="1122" t="s">
        <v>1510</v>
      </c>
      <c r="BC20" s="1122" t="s">
        <v>1440</v>
      </c>
      <c r="BE20" s="1122">
        <v>2018</v>
      </c>
      <c r="BH20" s="1070" t="s">
        <v>1436</v>
      </c>
      <c r="BJ20" s="1070" t="s">
        <v>1363</v>
      </c>
      <c r="BL20" s="1070" t="s">
        <v>1363</v>
      </c>
      <c r="BQ20" s="1283">
        <v>4190065</v>
      </c>
      <c r="BR20" s="1070" t="s">
        <v>1511</v>
      </c>
      <c r="BS20" s="1431"/>
      <c r="BT20" s="1283">
        <v>4189672</v>
      </c>
      <c r="BU20" s="1070" t="s">
        <v>1512</v>
      </c>
      <c r="BV20" s="1072"/>
      <c r="BW20" s="1697">
        <v>4189705</v>
      </c>
      <c r="BX20" s="1695" t="s">
        <v>1513</v>
      </c>
      <c r="BZ20" s="1283">
        <v>4189713</v>
      </c>
      <c r="CA20" s="1070" t="s">
        <v>1513</v>
      </c>
      <c r="CC20" s="1283">
        <v>4189709</v>
      </c>
      <c r="CD20" s="1070" t="s">
        <v>1514</v>
      </c>
    </row>
    <row r="21" ht="21" customHeight="1">
      <c r="A21" s="1076" t="s">
        <v>1515</v>
      </c>
      <c r="B21" s="1077">
        <v>2019</v>
      </c>
      <c r="I21" s="1078" t="s">
        <v>1516</v>
      </c>
      <c r="N21" s="1160" t="s">
        <v>1517</v>
      </c>
      <c r="AW21" s="1122" t="s">
        <v>1507</v>
      </c>
      <c r="AX21" s="1122" t="s">
        <v>1507</v>
      </c>
      <c r="AZ21" s="1122" t="s">
        <v>1518</v>
      </c>
      <c r="BB21" s="1122" t="s">
        <v>1519</v>
      </c>
      <c r="BC21" s="1122" t="s">
        <v>1323</v>
      </c>
      <c r="BE21" s="1122">
        <v>2019</v>
      </c>
      <c r="BH21" s="1070" t="s">
        <v>1443</v>
      </c>
      <c r="BJ21" s="1070" t="s">
        <v>1379</v>
      </c>
      <c r="BL21" s="1070" t="s">
        <v>1379</v>
      </c>
      <c r="BQ21" s="1283">
        <v>4190066</v>
      </c>
      <c r="BR21" s="1070" t="s">
        <v>1520</v>
      </c>
      <c r="BS21" s="1431"/>
      <c r="BT21" s="1283">
        <v>4189673</v>
      </c>
      <c r="BU21" s="1070" t="s">
        <v>1521</v>
      </c>
      <c r="BV21" s="1072"/>
      <c r="BW21" s="1697">
        <v>4189707</v>
      </c>
      <c r="BX21" s="1695" t="s">
        <v>1522</v>
      </c>
      <c r="BZ21" s="1283">
        <v>4189712</v>
      </c>
      <c r="CA21" s="1070" t="s">
        <v>1523</v>
      </c>
      <c r="CC21" s="1283">
        <v>4189710</v>
      </c>
      <c r="CD21" s="1070" t="s">
        <v>1524</v>
      </c>
    </row>
    <row r="22" ht="21" customHeight="1">
      <c r="A22" s="1076" t="s">
        <v>1525</v>
      </c>
      <c r="B22" s="1077">
        <v>2020</v>
      </c>
      <c r="N22" s="1160" t="s">
        <v>1526</v>
      </c>
      <c r="AW22" s="1122" t="s">
        <v>1516</v>
      </c>
      <c r="AX22" s="1122" t="s">
        <v>1516</v>
      </c>
      <c r="AZ22" s="1122" t="s">
        <v>1527</v>
      </c>
      <c r="BB22" s="1122" t="s">
        <v>1528</v>
      </c>
      <c r="BC22" s="1122" t="s">
        <v>1323</v>
      </c>
      <c r="BE22" s="1122">
        <v>2020</v>
      </c>
      <c r="BH22" s="1070" t="s">
        <v>1450</v>
      </c>
      <c r="BJ22" s="1070" t="s">
        <v>1395</v>
      </c>
      <c r="BL22" s="1070" t="s">
        <v>1395</v>
      </c>
      <c r="BQ22" s="1283">
        <v>4190067</v>
      </c>
      <c r="BR22" s="1070" t="s">
        <v>1529</v>
      </c>
      <c r="BS22" s="1431"/>
      <c r="BT22" s="1283">
        <v>4189674</v>
      </c>
      <c r="BU22" s="1070" t="s">
        <v>1530</v>
      </c>
      <c r="BV22" s="1072"/>
      <c r="BW22" s="1072"/>
      <c r="CC22" s="1283">
        <v>4189711</v>
      </c>
      <c r="CD22" s="1070" t="s">
        <v>293</v>
      </c>
    </row>
    <row r="23" ht="21" customHeight="1">
      <c r="A23" s="1076" t="s">
        <v>1531</v>
      </c>
      <c r="B23" s="1077">
        <v>2021</v>
      </c>
      <c r="AW23" s="1122" t="s">
        <v>1532</v>
      </c>
      <c r="AX23" s="1122" t="s">
        <v>1532</v>
      </c>
      <c r="AZ23" s="1122" t="s">
        <v>1533</v>
      </c>
      <c r="BB23" s="1122" t="s">
        <v>1534</v>
      </c>
      <c r="BC23" s="1122" t="s">
        <v>1232</v>
      </c>
      <c r="BE23" s="1122">
        <v>2021</v>
      </c>
      <c r="BH23" s="1070" t="s">
        <v>1458</v>
      </c>
      <c r="BJ23" s="1070" t="s">
        <v>1411</v>
      </c>
      <c r="BL23" s="1070" t="s">
        <v>1411</v>
      </c>
      <c r="BQ23" s="1283">
        <v>4190068</v>
      </c>
      <c r="BR23" s="1070" t="s">
        <v>1535</v>
      </c>
      <c r="BS23" s="1431"/>
      <c r="BT23" s="1283">
        <v>4189675</v>
      </c>
      <c r="BU23" s="1070" t="s">
        <v>1536</v>
      </c>
      <c r="BV23" s="1072"/>
      <c r="BW23" s="1072"/>
      <c r="CC23" s="1283">
        <v>5110778</v>
      </c>
      <c r="CD23" s="1070" t="s">
        <v>1537</v>
      </c>
    </row>
    <row r="24" ht="21" customHeight="1">
      <c r="A24" s="1076" t="s">
        <v>1538</v>
      </c>
      <c r="B24" s="1077">
        <v>2022</v>
      </c>
      <c r="AW24" s="1122" t="s">
        <v>1539</v>
      </c>
      <c r="AX24" s="1122" t="s">
        <v>1539</v>
      </c>
      <c r="AZ24" s="1122" t="s">
        <v>1540</v>
      </c>
      <c r="BB24" s="1122" t="s">
        <v>1541</v>
      </c>
      <c r="BC24" s="1122" t="s">
        <v>1542</v>
      </c>
      <c r="BE24" s="1122">
        <v>2022</v>
      </c>
      <c r="BH24" s="1070" t="s">
        <v>1467</v>
      </c>
      <c r="BJ24" s="1070" t="s">
        <v>1425</v>
      </c>
      <c r="BL24" s="1070" t="s">
        <v>1425</v>
      </c>
      <c r="BQ24" s="1283">
        <v>4190069</v>
      </c>
      <c r="BR24" s="1070" t="s">
        <v>1543</v>
      </c>
      <c r="BS24" s="1431"/>
      <c r="BT24" s="1283">
        <v>4189676</v>
      </c>
      <c r="BU24" s="1070" t="s">
        <v>1544</v>
      </c>
      <c r="BV24" s="1072"/>
      <c r="BW24" s="1072"/>
      <c r="CC24" s="1283">
        <v>25575374</v>
      </c>
      <c r="CD24" s="1070" t="s">
        <v>1545</v>
      </c>
    </row>
    <row r="25" ht="11.25" customHeight="1">
      <c r="A25" s="1076" t="s">
        <v>1546</v>
      </c>
      <c r="B25" s="1077">
        <v>2023</v>
      </c>
      <c r="AW25" s="1122" t="s">
        <v>1547</v>
      </c>
      <c r="AX25" s="1122" t="s">
        <v>1547</v>
      </c>
      <c r="AZ25" s="1122" t="s">
        <v>1548</v>
      </c>
      <c r="BB25" s="1122" t="s">
        <v>1549</v>
      </c>
      <c r="BC25" s="1122" t="s">
        <v>1542</v>
      </c>
      <c r="BE25" s="1122">
        <v>2023</v>
      </c>
      <c r="BH25" s="1070" t="s">
        <v>1474</v>
      </c>
      <c r="BJ25" s="1070" t="s">
        <v>1499</v>
      </c>
      <c r="BL25" s="1070" t="s">
        <v>1499</v>
      </c>
      <c r="BQ25" s="1283">
        <v>4190070</v>
      </c>
      <c r="BR25" s="1070" t="s">
        <v>1550</v>
      </c>
      <c r="BS25" s="1431"/>
      <c r="BT25" s="1283">
        <v>4189677</v>
      </c>
      <c r="BU25" s="1070" t="s">
        <v>1551</v>
      </c>
      <c r="BV25" s="1072"/>
      <c r="BW25" s="1072"/>
    </row>
    <row r="26" ht="11.25" customHeight="1">
      <c r="A26" s="1076" t="s">
        <v>1552</v>
      </c>
      <c r="B26" s="1077">
        <v>2024</v>
      </c>
      <c r="J26" s="1733" t="s">
        <v>1553</v>
      </c>
      <c r="AX26" s="1122" t="s">
        <v>1554</v>
      </c>
      <c r="AZ26" s="1122" t="s">
        <v>1418</v>
      </c>
      <c r="BB26" s="1122" t="s">
        <v>1555</v>
      </c>
      <c r="BC26" s="1122" t="s">
        <v>1542</v>
      </c>
      <c r="BE26" s="1122">
        <v>2024</v>
      </c>
      <c r="BH26" s="1070" t="s">
        <v>1485</v>
      </c>
      <c r="BJ26" s="1070" t="s">
        <v>1436</v>
      </c>
      <c r="BL26" s="1070" t="s">
        <v>1436</v>
      </c>
      <c r="BQ26" s="1283">
        <v>4190071</v>
      </c>
      <c r="BR26" s="1070" t="s">
        <v>1556</v>
      </c>
      <c r="BS26" s="1431"/>
      <c r="BV26" s="1072"/>
      <c r="BW26" s="1072"/>
    </row>
    <row r="27" ht="11.25" customHeight="1">
      <c r="A27" s="1076" t="s">
        <v>1557</v>
      </c>
      <c r="B27" s="1077">
        <v>2025</v>
      </c>
      <c r="J27" s="178" t="s">
        <v>689</v>
      </c>
      <c r="AX27" s="1122" t="s">
        <v>1558</v>
      </c>
      <c r="BB27" s="1122" t="s">
        <v>1559</v>
      </c>
      <c r="BC27" s="1122" t="s">
        <v>1542</v>
      </c>
      <c r="BE27" s="1122">
        <v>2025</v>
      </c>
      <c r="BH27" s="1072" t="s">
        <v>22</v>
      </c>
      <c r="BJ27" s="1070" t="s">
        <v>1443</v>
      </c>
      <c r="BL27" s="1070" t="s">
        <v>1443</v>
      </c>
      <c r="BN27" s="1072" t="s">
        <v>22</v>
      </c>
      <c r="BQ27" s="1283">
        <v>4190072</v>
      </c>
      <c r="BR27" s="1070" t="s">
        <v>1560</v>
      </c>
      <c r="BS27" s="1431"/>
      <c r="BV27" s="1072"/>
      <c r="BW27" s="1072"/>
    </row>
    <row r="28" ht="11.25" customHeight="1">
      <c r="A28" s="1076" t="s">
        <v>1561</v>
      </c>
      <c r="D28" s="1103"/>
      <c r="E28" s="1104"/>
      <c r="F28" s="1104"/>
      <c r="H28" s="1105" t="s">
        <v>1562</v>
      </c>
      <c r="AX28" s="1122" t="s">
        <v>1563</v>
      </c>
      <c r="AZ28" s="1069" t="s">
        <v>1564</v>
      </c>
      <c r="BB28" s="1122" t="s">
        <v>1565</v>
      </c>
      <c r="BC28" s="1122" t="s">
        <v>1566</v>
      </c>
      <c r="BE28" s="1122">
        <v>2026</v>
      </c>
      <c r="BH28" s="1072" t="s">
        <v>22</v>
      </c>
      <c r="BJ28" s="1070" t="s">
        <v>1450</v>
      </c>
      <c r="BL28" s="1070" t="s">
        <v>1450</v>
      </c>
      <c r="BN28" s="1072" t="s">
        <v>22</v>
      </c>
      <c r="BQ28" s="1283">
        <v>4190073</v>
      </c>
      <c r="BR28" s="1070" t="s">
        <v>1567</v>
      </c>
      <c r="BS28" s="1431"/>
      <c r="BV28" s="1072"/>
      <c r="BW28" s="1072"/>
    </row>
    <row r="29" ht="11.25" customHeight="1">
      <c r="A29" s="1076" t="s">
        <v>1568</v>
      </c>
      <c r="D29" s="1106" t="s">
        <v>1569</v>
      </c>
      <c r="E29" s="1107" t="str">
        <f>IF(TEMPLATE_GROUP="","",INDEX(StartDateList,MATCH(TEMPLATE_GROUP,CodeTemplateList,0),1))</f>
        <v>01.04.2026</v>
      </c>
      <c r="F29" s="1107" t="str">
        <f>IF(TEMPLATE_GROUP="","",INDEX(EndDateList,MATCH(TEMPLATE_GROUP,CodeTemplateList,0),1))</f>
        <v>30.06.2026</v>
      </c>
      <c r="H29" s="1108" t="s">
        <v>1570</v>
      </c>
      <c r="AX29" s="1122" t="s">
        <v>1571</v>
      </c>
      <c r="AZ29" s="1122" t="s">
        <v>1217</v>
      </c>
      <c r="BB29" s="1122" t="s">
        <v>1418</v>
      </c>
      <c r="BC29" s="1093"/>
      <c r="BE29" s="1122">
        <v>2027</v>
      </c>
      <c r="BJ29" s="1070" t="s">
        <v>1458</v>
      </c>
      <c r="BL29" s="1070" t="s">
        <v>1458</v>
      </c>
    </row>
    <row r="30" ht="11.25" customHeight="1">
      <c r="A30" s="1076" t="s">
        <v>1572</v>
      </c>
      <c r="D30" s="1109"/>
      <c r="E30" s="1110"/>
      <c r="F30" s="1110"/>
      <c r="AX30" s="1122" t="s">
        <v>1573</v>
      </c>
      <c r="AZ30" s="1122" t="s">
        <v>1243</v>
      </c>
      <c r="BE30" s="1122">
        <v>2028</v>
      </c>
      <c r="BJ30" s="1070" t="s">
        <v>1574</v>
      </c>
      <c r="BL30" s="1070" t="s">
        <v>1574</v>
      </c>
    </row>
    <row r="31" ht="12.75" customHeight="1">
      <c r="A31" s="1076" t="s">
        <v>1575</v>
      </c>
      <c r="D31" s="1103"/>
      <c r="E31" s="1104"/>
      <c r="F31" s="1104"/>
      <c r="H31" s="1111"/>
      <c r="AX31" s="1122" t="s">
        <v>1576</v>
      </c>
      <c r="AZ31" s="1122" t="s">
        <v>1577</v>
      </c>
      <c r="BE31" s="1122">
        <v>2029</v>
      </c>
      <c r="BJ31" s="1070" t="s">
        <v>1578</v>
      </c>
      <c r="BL31" s="1070" t="s">
        <v>1578</v>
      </c>
    </row>
    <row r="32" ht="11.25" customHeight="1">
      <c r="A32" s="1076" t="s">
        <v>1579</v>
      </c>
      <c r="D32" s="1106" t="s">
        <v>1580</v>
      </c>
      <c r="E32" s="1107" t="str">
        <f>IF(TEMPLATE_GROUP="","",INDEX(StartDateList,MATCH(TEMPLATE_GROUP,CodeTemplateList,0),1))</f>
        <v>01.04.2026</v>
      </c>
      <c r="F32" s="1107" t="str">
        <f>IF(TEMPLATE_GROUP="","",INDEX(EndDateList,MATCH(TEMPLATE_GROUP,CodeTemplateList,0),1))</f>
        <v>30.06.2026</v>
      </c>
      <c r="H32" s="1112" t="s">
        <v>1581</v>
      </c>
      <c r="O32" s="1076" t="s">
        <v>1215</v>
      </c>
      <c r="AX32" s="1122" t="s">
        <v>1582</v>
      </c>
      <c r="AZ32" s="1122" t="s">
        <v>1311</v>
      </c>
      <c r="BE32" s="1122">
        <v>2030</v>
      </c>
      <c r="BJ32" s="1070" t="s">
        <v>1467</v>
      </c>
      <c r="BL32" s="1070" t="s">
        <v>1467</v>
      </c>
    </row>
    <row r="33" ht="11.25" customHeight="1">
      <c r="A33" s="1076" t="s">
        <v>1583</v>
      </c>
      <c r="O33" s="1076" t="s">
        <v>1240</v>
      </c>
      <c r="AX33" s="1122" t="s">
        <v>1584</v>
      </c>
      <c r="AZ33" s="1122" t="s">
        <v>1216</v>
      </c>
      <c r="BE33" s="1122">
        <v>2031</v>
      </c>
      <c r="BJ33" s="1070" t="s">
        <v>1474</v>
      </c>
      <c r="BL33" s="1070" t="s">
        <v>1474</v>
      </c>
    </row>
    <row r="34" ht="11.25" customHeight="1">
      <c r="A34" s="1076" t="s">
        <v>1585</v>
      </c>
      <c r="O34" s="1076" t="s">
        <v>1276</v>
      </c>
      <c r="AX34" s="1122" t="s">
        <v>1586</v>
      </c>
      <c r="BE34" s="1122">
        <v>2032</v>
      </c>
      <c r="BJ34" s="1070" t="s">
        <v>1485</v>
      </c>
      <c r="BL34" s="1070" t="s">
        <v>1485</v>
      </c>
    </row>
    <row r="35" ht="11.25" customHeight="1">
      <c r="A35" s="1076" t="s">
        <v>1587</v>
      </c>
      <c r="O35" s="1076" t="s">
        <v>1309</v>
      </c>
      <c r="AX35" s="1122" t="s">
        <v>1588</v>
      </c>
      <c r="AZ35" s="1069" t="s">
        <v>1589</v>
      </c>
      <c r="BE35" s="1122">
        <v>2033</v>
      </c>
      <c r="BL35" s="1070" t="s">
        <v>1590</v>
      </c>
    </row>
    <row r="36" ht="11.25" customHeight="1">
      <c r="A36" s="1872" t="s">
        <v>1591</v>
      </c>
      <c r="D36" s="1113" t="s">
        <v>1592</v>
      </c>
      <c r="E36" s="1114" t="s">
        <v>808</v>
      </c>
      <c r="F36" s="1115" t="str">
        <f>INDEX(E37:E41,MATCH(TEMPLATE_SPHERE,F37:F41,0))</f>
        <v>теплоснабжения</v>
      </c>
      <c r="G36" s="1115" t="str">
        <f>INDEX(G37:G41,MATCH(TEMPLATE_SPHERE,F37:F41,0))</f>
        <v>теплоснабжение</v>
      </c>
      <c r="O36" s="1076" t="s">
        <v>1334</v>
      </c>
      <c r="AX36" s="1122" t="s">
        <v>1593</v>
      </c>
      <c r="AZ36" s="1122" t="s">
        <v>1216</v>
      </c>
      <c r="BE36" s="1122">
        <v>2034</v>
      </c>
      <c r="BL36" s="1070" t="s">
        <v>1594</v>
      </c>
    </row>
    <row r="37" ht="11.25" customHeight="1">
      <c r="A37" s="1076" t="s">
        <v>1595</v>
      </c>
      <c r="E37" s="409" t="s">
        <v>1596</v>
      </c>
      <c r="F37" s="1116" t="s">
        <v>808</v>
      </c>
      <c r="G37" s="409" t="s">
        <v>1597</v>
      </c>
      <c r="O37" s="1076" t="s">
        <v>1353</v>
      </c>
      <c r="AX37" s="1122" t="s">
        <v>1598</v>
      </c>
      <c r="AZ37" s="1122" t="s">
        <v>1242</v>
      </c>
      <c r="BE37" s="1122">
        <v>2035</v>
      </c>
    </row>
    <row r="38" ht="11.25" customHeight="1">
      <c r="A38" s="1076" t="s">
        <v>1599</v>
      </c>
      <c r="E38" s="409" t="s">
        <v>1600</v>
      </c>
      <c r="F38" s="1117" t="s">
        <v>854</v>
      </c>
      <c r="G38" s="409" t="s">
        <v>1601</v>
      </c>
      <c r="O38" s="1076" t="s">
        <v>1370</v>
      </c>
      <c r="AX38" s="1122" t="s">
        <v>1602</v>
      </c>
      <c r="AZ38" s="1122" t="s">
        <v>1277</v>
      </c>
      <c r="BE38" s="1122">
        <v>2036</v>
      </c>
      <c r="BH38" s="1069" t="s">
        <v>1603</v>
      </c>
      <c r="BJ38" s="1069" t="s">
        <v>1604</v>
      </c>
      <c r="BL38" s="1069" t="s">
        <v>1605</v>
      </c>
      <c r="BN38" s="1069" t="s">
        <v>1606</v>
      </c>
    </row>
    <row r="39" ht="11.25" customHeight="1">
      <c r="A39" s="1076" t="s">
        <v>1607</v>
      </c>
      <c r="E39" s="409" t="s">
        <v>1608</v>
      </c>
      <c r="F39" s="1117" t="s">
        <v>907</v>
      </c>
      <c r="G39" s="409" t="s">
        <v>1609</v>
      </c>
      <c r="O39" s="1076" t="s">
        <v>1386</v>
      </c>
      <c r="AX39" s="1122" t="s">
        <v>1610</v>
      </c>
      <c r="AZ39" s="1122" t="s">
        <v>1310</v>
      </c>
      <c r="BE39" s="1122">
        <v>2037</v>
      </c>
      <c r="BH39" s="1070" t="s">
        <v>1611</v>
      </c>
      <c r="BJ39" s="1219" t="s">
        <v>1611</v>
      </c>
      <c r="BL39" s="1219" t="s">
        <v>1611</v>
      </c>
      <c r="BN39" s="1070" t="s">
        <v>1612</v>
      </c>
    </row>
    <row r="40" ht="11.25" customHeight="1">
      <c r="A40" s="1076" t="s">
        <v>1613</v>
      </c>
      <c r="E40" s="409" t="s">
        <v>1614</v>
      </c>
      <c r="F40" s="1117" t="s">
        <v>894</v>
      </c>
      <c r="G40" s="409" t="s">
        <v>1615</v>
      </c>
      <c r="O40" s="1076" t="s">
        <v>1402</v>
      </c>
      <c r="AX40" s="1122" t="s">
        <v>1616</v>
      </c>
      <c r="BE40" s="1122">
        <v>2038</v>
      </c>
      <c r="BH40" s="1070" t="s">
        <v>1617</v>
      </c>
      <c r="BJ40" s="1219" t="s">
        <v>1028</v>
      </c>
      <c r="BL40" s="1219" t="s">
        <v>1028</v>
      </c>
      <c r="BN40" s="1070" t="s">
        <v>1062</v>
      </c>
    </row>
    <row r="41" ht="11.25" customHeight="1">
      <c r="A41" s="1076" t="s">
        <v>1618</v>
      </c>
      <c r="E41" s="409" t="s">
        <v>1619</v>
      </c>
      <c r="F41" s="1117" t="s">
        <v>1620</v>
      </c>
      <c r="G41" s="409" t="s">
        <v>1619</v>
      </c>
      <c r="O41" s="1076" t="s">
        <v>1418</v>
      </c>
      <c r="AX41" s="1122" t="s">
        <v>1621</v>
      </c>
      <c r="AZ41" s="1069" t="s">
        <v>1622</v>
      </c>
      <c r="BE41" s="1122">
        <v>2039</v>
      </c>
      <c r="BH41" s="1070" t="s">
        <v>1623</v>
      </c>
      <c r="BJ41" s="1219" t="s">
        <v>1024</v>
      </c>
      <c r="BL41" s="1219" t="s">
        <v>1024</v>
      </c>
      <c r="BN41" s="1070" t="s">
        <v>1049</v>
      </c>
    </row>
    <row r="42" ht="11.25" customHeight="1">
      <c r="A42" s="1076" t="s">
        <v>1624</v>
      </c>
      <c r="AX42" s="1122" t="s">
        <v>1625</v>
      </c>
      <c r="AZ42" s="1122" t="s">
        <v>1215</v>
      </c>
      <c r="BE42" s="1122">
        <v>2040</v>
      </c>
      <c r="BH42" s="1070" t="s">
        <v>1046</v>
      </c>
      <c r="BJ42" s="1219" t="s">
        <v>1026</v>
      </c>
      <c r="BL42" s="1219" t="s">
        <v>1026</v>
      </c>
      <c r="BN42" s="1070" t="s">
        <v>1626</v>
      </c>
    </row>
    <row r="43" ht="11.25" customHeight="1">
      <c r="A43" s="1076" t="s">
        <v>1627</v>
      </c>
      <c r="AX43" s="1122" t="s">
        <v>1628</v>
      </c>
      <c r="AZ43" s="1122" t="s">
        <v>1240</v>
      </c>
      <c r="BE43" s="1122">
        <v>2041</v>
      </c>
      <c r="BH43" s="1070" t="s">
        <v>1629</v>
      </c>
      <c r="BJ43" s="1219" t="s">
        <v>1623</v>
      </c>
      <c r="BL43" s="1219" t="s">
        <v>1623</v>
      </c>
      <c r="BN43" s="1070" t="s">
        <v>1630</v>
      </c>
    </row>
    <row r="44" ht="11.25" customHeight="1">
      <c r="A44" s="1076" t="s">
        <v>1631</v>
      </c>
      <c r="G44" s="1096">
        <f>YEAR(TODAY())</f>
        <v>2026</v>
      </c>
      <c r="I44" s="801" t="s">
        <v>1632</v>
      </c>
      <c r="J44" s="1091" t="s">
        <v>1633</v>
      </c>
      <c r="K44" s="1091" t="s">
        <v>1634</v>
      </c>
      <c r="AX44" s="1122" t="s">
        <v>1635</v>
      </c>
      <c r="AZ44" s="1122" t="s">
        <v>1276</v>
      </c>
      <c r="BE44" s="1122">
        <v>2042</v>
      </c>
      <c r="BH44" s="1070" t="s">
        <v>1636</v>
      </c>
      <c r="BJ44" s="1219" t="s">
        <v>1046</v>
      </c>
      <c r="BL44" s="1219" t="s">
        <v>1046</v>
      </c>
      <c r="BN44" s="1070" t="s">
        <v>1637</v>
      </c>
    </row>
    <row r="45" ht="11.25" customHeight="1">
      <c r="A45" s="1076" t="s">
        <v>1638</v>
      </c>
      <c r="D45" s="1113" t="s">
        <v>1639</v>
      </c>
      <c r="E45" s="1114" t="s">
        <v>1640</v>
      </c>
      <c r="F45" s="799" t="s">
        <v>1641</v>
      </c>
      <c r="G45" s="798" t="s">
        <v>1642</v>
      </c>
      <c r="H45" s="801" t="s">
        <v>1643</v>
      </c>
      <c r="I45" s="1743">
        <f>INDEX(PeriodIsEmptyList,MATCH(TEMPLATE_GROUP,CodeTemplateList,0),1)</f>
        <v>0</v>
      </c>
      <c r="J45" s="1746" t="str">
        <f>INDEX(NameTemplatesInTitleList,MATCH(TEMPLATE_GROUP,CodeTemplateList,0),1)</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122" t="s">
        <v>1644</v>
      </c>
      <c r="AZ45" s="1122" t="s">
        <v>1309</v>
      </c>
      <c r="BE45" s="1122">
        <v>2043</v>
      </c>
      <c r="BH45" s="1070" t="s">
        <v>1645</v>
      </c>
      <c r="BJ45" s="1219" t="s">
        <v>1040</v>
      </c>
      <c r="BL45" s="1219" t="s">
        <v>1040</v>
      </c>
      <c r="BN45" s="1070" t="s">
        <v>1646</v>
      </c>
    </row>
    <row r="46" ht="11.25" customHeight="1">
      <c r="A46" s="1076" t="s">
        <v>1647</v>
      </c>
      <c r="E46" s="409" t="s">
        <v>27</v>
      </c>
      <c r="F46" s="1116" t="s">
        <v>1648</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 xml:space="preserve">Общая информация о регулируемой организации (теплоснабжения)</v>
      </c>
      <c r="K46" s="1748"/>
      <c r="AX46" s="1122" t="s">
        <v>1649</v>
      </c>
      <c r="AZ46" s="1122" t="s">
        <v>1334</v>
      </c>
      <c r="BE46" s="1122">
        <v>2044</v>
      </c>
      <c r="BH46" s="1070" t="s">
        <v>1049</v>
      </c>
      <c r="BJ46" s="1219" t="s">
        <v>1030</v>
      </c>
      <c r="BL46" s="1219" t="s">
        <v>1030</v>
      </c>
      <c r="BN46" s="1070" t="s">
        <v>1650</v>
      </c>
    </row>
    <row r="47" ht="11.25" customHeight="1">
      <c r="A47" s="1076" t="s">
        <v>1651</v>
      </c>
      <c r="E47" s="409" t="s">
        <v>33</v>
      </c>
      <c r="F47" s="1117" t="s">
        <v>1640</v>
      </c>
      <c r="G47" s="1118" t="str">
        <f>_xlfn.IFERROR(IF(f_year="","01.01."&amp;CURRENT_YEAR,IF(LEN(f_quart)=0,"01.01."&amp;f_year,IF(f_quart="I квартал","01.01."&amp;f_year,IF(f_quart="II квартал","01.04."&amp;f_year,(IF(f_quart="III квартал","01.07."&amp;f_year,"01.10."&amp;f_year)))))),"01.01."&amp;CURRENT_YEAR)</f>
        <v>01.04.2026</v>
      </c>
      <c r="H47" s="1118" t="str">
        <f>_xlfn.IFERROR(IF(f_year="","31.12."&amp;CURRENT_YEAR,IF(LEN(f_quart)=0,"31.12."&amp;f_year,IF(f_quart="I квартал","31.03."&amp;f_year,IF(f_quart="II квартал","30.06."&amp;f_year,(IF(f_quart="III квартал","30.09."&amp;f_year,"31.12."&amp;f_year)))))),"31.12."&amp;CURRENT_YEAR)</f>
        <v>30.06.2026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1652</v>
      </c>
      <c r="AZ47" s="1122" t="s">
        <v>1353</v>
      </c>
      <c r="BE47" s="1122">
        <v>2045</v>
      </c>
      <c r="BH47" s="1070" t="s">
        <v>1626</v>
      </c>
      <c r="BJ47" s="1219" t="s">
        <v>1032</v>
      </c>
      <c r="BL47" s="1219" t="s">
        <v>1032</v>
      </c>
      <c r="BN47" s="1070" t="s">
        <v>1653</v>
      </c>
    </row>
    <row r="48" ht="11.25" customHeight="1">
      <c r="A48" s="1076" t="s">
        <v>1654</v>
      </c>
      <c r="E48" s="409" t="s">
        <v>1655</v>
      </c>
      <c r="F48" s="1117" t="s">
        <v>1656</v>
      </c>
      <c r="G48" s="1118" t="str">
        <f>_xlfn.IFERROR(IF(f_year="","01.01."&amp;CURRENT_YEAR,"01.01."&amp;f_year),"01.01."&amp;CURRENT_YEAR)</f>
        <v>01.01.2026</v>
      </c>
      <c r="H48" s="1118" t="str">
        <f>_xlfn.IFERROR(IF(f_year="","31.12."&amp;CURRENT_YEAR,"31.12."&amp;f_year),"31.12."&amp;CURRENT_YEAR)</f>
        <v>31.12.2026</v>
      </c>
      <c r="I48" s="1744">
        <f>IF(f_year="",TRUE,FALSE)</f>
        <v>0</v>
      </c>
      <c r="J48" s="1747" t="s">
        <v>1657</v>
      </c>
      <c r="K48" s="1748"/>
      <c r="AX48" s="1122" t="s">
        <v>1658</v>
      </c>
      <c r="AZ48" s="1122" t="s">
        <v>1370</v>
      </c>
      <c r="BE48" s="1122">
        <v>2046</v>
      </c>
      <c r="BH48" s="1070" t="s">
        <v>1630</v>
      </c>
      <c r="BJ48" s="1219" t="s">
        <v>1034</v>
      </c>
      <c r="BL48" s="1219" t="s">
        <v>1034</v>
      </c>
      <c r="BN48" s="1070" t="s">
        <v>1659</v>
      </c>
    </row>
    <row r="49" ht="11.25" customHeight="1">
      <c r="A49" s="1076" t="s">
        <v>1660</v>
      </c>
      <c r="E49" s="409" t="s">
        <v>1661</v>
      </c>
      <c r="F49" s="1117" t="s">
        <v>1662</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теплоснабжения</v>
      </c>
      <c r="K49" s="1748"/>
      <c r="AX49" s="1122" t="s">
        <v>1663</v>
      </c>
      <c r="AZ49" s="1122" t="s">
        <v>1386</v>
      </c>
      <c r="BE49" s="1122">
        <v>2047</v>
      </c>
      <c r="BH49" s="1070" t="s">
        <v>1050</v>
      </c>
      <c r="BJ49" s="1219" t="s">
        <v>1036</v>
      </c>
      <c r="BL49" s="1219" t="s">
        <v>1036</v>
      </c>
    </row>
    <row r="50" ht="11.25" customHeight="1">
      <c r="A50" s="1076" t="s">
        <v>1664</v>
      </c>
      <c r="E50" s="409" t="s">
        <v>1665</v>
      </c>
      <c r="F50" s="1117" t="s">
        <v>1020</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теплоснабжения</v>
      </c>
      <c r="K50" s="1748"/>
      <c r="AX50" s="1122" t="s">
        <v>1666</v>
      </c>
      <c r="AZ50" s="1122" t="s">
        <v>1402</v>
      </c>
      <c r="BE50" s="1122">
        <v>2048</v>
      </c>
      <c r="BH50" s="1070" t="s">
        <v>1637</v>
      </c>
      <c r="BJ50" s="1219" t="s">
        <v>1038</v>
      </c>
      <c r="BL50" s="1219" t="s">
        <v>1038</v>
      </c>
    </row>
    <row r="51" ht="11.25" customHeight="1">
      <c r="A51" s="1076" t="s">
        <v>1667</v>
      </c>
      <c r="E51" s="409" t="s">
        <v>1668</v>
      </c>
      <c r="F51" s="1117" t="s">
        <v>1669</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1670</v>
      </c>
      <c r="AZ51" s="1122" t="s">
        <v>1418</v>
      </c>
      <c r="BE51" s="1122">
        <v>2049</v>
      </c>
      <c r="BH51" s="1070" t="s">
        <v>1646</v>
      </c>
      <c r="BJ51" s="1219" t="s">
        <v>1671</v>
      </c>
      <c r="BL51" s="1219" t="s">
        <v>1671</v>
      </c>
    </row>
    <row r="52" ht="11.25" customHeight="1">
      <c r="A52" s="1076" t="s">
        <v>1672</v>
      </c>
      <c r="E52" s="409" t="s">
        <v>1673</v>
      </c>
      <c r="F52" s="1117" t="s">
        <v>1674</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 xml:space="preserve">Показатели, подлежащие раскрытию в сфере теплоснабжения (цены и тарифы)</v>
      </c>
      <c r="K52" s="1748"/>
      <c r="AX52" s="1122" t="s">
        <v>1675</v>
      </c>
      <c r="AZ52" s="1122" t="s">
        <v>1216</v>
      </c>
      <c r="BE52" s="1122">
        <v>2050</v>
      </c>
      <c r="BH52" s="1070" t="s">
        <v>1650</v>
      </c>
      <c r="BJ52" s="1219" t="s">
        <v>1049</v>
      </c>
      <c r="BL52" s="1219" t="s">
        <v>1049</v>
      </c>
    </row>
    <row r="53" ht="11.25" customHeight="1">
      <c r="A53" s="1076" t="s">
        <v>1676</v>
      </c>
      <c r="E53" s="409" t="s">
        <v>1677</v>
      </c>
      <c r="F53" s="1117" t="s">
        <v>1677</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1678</v>
      </c>
      <c r="K53" s="1748"/>
      <c r="AX53" s="1122" t="s">
        <v>1679</v>
      </c>
      <c r="BE53" s="1122">
        <v>2051</v>
      </c>
      <c r="BH53" s="1070" t="s">
        <v>1653</v>
      </c>
      <c r="BJ53" s="1219" t="s">
        <v>1626</v>
      </c>
      <c r="BL53" s="1219" t="s">
        <v>1626</v>
      </c>
    </row>
    <row r="54" ht="11.25" customHeight="1">
      <c r="A54" s="1076" t="s">
        <v>1680</v>
      </c>
      <c r="AX54" s="1122" t="s">
        <v>1681</v>
      </c>
      <c r="AZ54" s="1069" t="s">
        <v>1682</v>
      </c>
      <c r="BE54" s="1122">
        <v>2052</v>
      </c>
      <c r="BH54" s="1070" t="s">
        <v>1659</v>
      </c>
      <c r="BJ54" s="1219" t="s">
        <v>1630</v>
      </c>
      <c r="BL54" s="1219" t="s">
        <v>1630</v>
      </c>
    </row>
    <row r="55" ht="11.25" customHeight="1">
      <c r="A55" s="1076" t="s">
        <v>1683</v>
      </c>
      <c r="AX55" s="1122" t="s">
        <v>1684</v>
      </c>
      <c r="AZ55" s="1122" t="s">
        <v>1218</v>
      </c>
      <c r="BE55" s="1122">
        <v>2053</v>
      </c>
      <c r="BH55" s="1072" t="s">
        <v>22</v>
      </c>
      <c r="BJ55" s="1219" t="s">
        <v>1050</v>
      </c>
      <c r="BL55" s="1219" t="s">
        <v>1050</v>
      </c>
    </row>
    <row r="56" ht="11.25" customHeight="1">
      <c r="A56" s="1076" t="s">
        <v>1685</v>
      </c>
      <c r="D56" s="1120" t="s">
        <v>1686</v>
      </c>
      <c r="E56" s="1097" t="s">
        <v>112</v>
      </c>
      <c r="F56" s="1076" t="s">
        <v>1687</v>
      </c>
      <c r="AX56" s="1122" t="s">
        <v>1688</v>
      </c>
      <c r="AZ56" s="1122" t="s">
        <v>1244</v>
      </c>
      <c r="BE56" s="1122">
        <v>2054</v>
      </c>
      <c r="BH56" s="1072" t="s">
        <v>22</v>
      </c>
      <c r="BJ56" s="1219" t="s">
        <v>1637</v>
      </c>
      <c r="BL56" s="1219" t="s">
        <v>1637</v>
      </c>
    </row>
    <row r="57" ht="11.25" customHeight="1">
      <c r="A57" s="1076" t="s">
        <v>1689</v>
      </c>
      <c r="D57" s="1120" t="s">
        <v>1690</v>
      </c>
      <c r="E57" s="1097" t="s">
        <v>112</v>
      </c>
      <c r="F57" s="1076" t="s">
        <v>1687</v>
      </c>
      <c r="AX57" s="1122" t="s">
        <v>1691</v>
      </c>
      <c r="AZ57" s="1122" t="s">
        <v>1279</v>
      </c>
      <c r="BE57" s="1122">
        <v>2055</v>
      </c>
      <c r="BJ57" s="1219" t="s">
        <v>1646</v>
      </c>
      <c r="BL57" s="1219" t="s">
        <v>1646</v>
      </c>
    </row>
    <row r="58" ht="11.25" customHeight="1">
      <c r="A58" s="1076" t="s">
        <v>1692</v>
      </c>
      <c r="D58" s="1120" t="s">
        <v>1693</v>
      </c>
      <c r="E58" s="1097" t="s">
        <v>112</v>
      </c>
      <c r="F58" s="1076" t="s">
        <v>1687</v>
      </c>
      <c r="AX58" s="1122" t="s">
        <v>1694</v>
      </c>
      <c r="BE58" s="1122">
        <v>2056</v>
      </c>
      <c r="BJ58" s="1219" t="s">
        <v>1650</v>
      </c>
      <c r="BL58" s="1219" t="s">
        <v>1650</v>
      </c>
    </row>
    <row r="59" ht="11.25" customHeight="1">
      <c r="A59" s="1076" t="s">
        <v>1695</v>
      </c>
      <c r="D59" s="1120" t="s">
        <v>133</v>
      </c>
      <c r="E59" s="1097" t="s">
        <v>1582</v>
      </c>
      <c r="F59" s="1076" t="s">
        <v>1696</v>
      </c>
      <c r="AX59" s="1122" t="s">
        <v>1697</v>
      </c>
      <c r="AZ59" s="1069" t="s">
        <v>1698</v>
      </c>
      <c r="BE59" s="1122">
        <v>2057</v>
      </c>
      <c r="BJ59" s="1219" t="s">
        <v>1653</v>
      </c>
      <c r="BL59" s="1219" t="s">
        <v>1653</v>
      </c>
    </row>
    <row r="60" ht="11.25" customHeight="1">
      <c r="A60" s="1076" t="s">
        <v>1699</v>
      </c>
      <c r="D60" s="1120" t="s">
        <v>1700</v>
      </c>
      <c r="E60" s="1097" t="s">
        <v>1582</v>
      </c>
      <c r="F60" s="1076" t="s">
        <v>1696</v>
      </c>
      <c r="AX60" s="1122" t="s">
        <v>1701</v>
      </c>
      <c r="AZ60" s="1122" t="s">
        <v>1219</v>
      </c>
      <c r="BE60" s="1122">
        <v>2058</v>
      </c>
      <c r="BJ60" s="1219" t="s">
        <v>1659</v>
      </c>
      <c r="BL60" s="1219" t="s">
        <v>1659</v>
      </c>
    </row>
    <row r="61" ht="11.25" customHeight="1">
      <c r="A61" s="1076" t="s">
        <v>1702</v>
      </c>
      <c r="D61" s="1120" t="s">
        <v>1703</v>
      </c>
      <c r="E61" s="1097" t="s">
        <v>1582</v>
      </c>
      <c r="F61" s="1076" t="s">
        <v>1696</v>
      </c>
      <c r="AX61" s="1122" t="s">
        <v>1704</v>
      </c>
      <c r="AZ61" s="1122" t="s">
        <v>1245</v>
      </c>
      <c r="BE61" s="1122">
        <v>2059</v>
      </c>
      <c r="BL61" s="1219" t="s">
        <v>1042</v>
      </c>
    </row>
    <row r="62" ht="11.25" customHeight="1">
      <c r="A62" s="1076" t="s">
        <v>1705</v>
      </c>
      <c r="D62" s="1120" t="s">
        <v>132</v>
      </c>
      <c r="E62" s="1097">
        <v>30</v>
      </c>
      <c r="F62" s="1076" t="s">
        <v>1696</v>
      </c>
      <c r="AZ62" s="1122" t="s">
        <v>1280</v>
      </c>
      <c r="BE62" s="1122">
        <v>2060</v>
      </c>
      <c r="BL62" s="1219" t="s">
        <v>1044</v>
      </c>
    </row>
    <row r="63" ht="11.25" customHeight="1">
      <c r="A63" s="1076" t="s">
        <v>1706</v>
      </c>
      <c r="D63" s="1120" t="s">
        <v>1707</v>
      </c>
      <c r="E63" s="1097">
        <v>30</v>
      </c>
      <c r="F63" s="1076" t="s">
        <v>1696</v>
      </c>
      <c r="AZ63" s="1122" t="s">
        <v>1312</v>
      </c>
      <c r="BE63" s="1122">
        <v>2061</v>
      </c>
    </row>
    <row r="64" ht="11.25" customHeight="1">
      <c r="A64" s="1076" t="s">
        <v>1708</v>
      </c>
      <c r="D64" s="1120" t="s">
        <v>1709</v>
      </c>
      <c r="E64" s="1097">
        <v>30</v>
      </c>
      <c r="F64" s="1076" t="s">
        <v>1696</v>
      </c>
      <c r="AZ64" s="1122" t="s">
        <v>1335</v>
      </c>
      <c r="BE64" s="1122">
        <v>2062</v>
      </c>
    </row>
    <row r="65" ht="11.25" customHeight="1">
      <c r="A65" s="1076" t="s">
        <v>1710</v>
      </c>
      <c r="D65" s="1076"/>
      <c r="BE65" s="1122">
        <v>2063</v>
      </c>
    </row>
    <row r="66" ht="11.25" customHeight="1">
      <c r="A66" s="1076" t="s">
        <v>1711</v>
      </c>
      <c r="AZ66" s="1069" t="s">
        <v>1712</v>
      </c>
      <c r="BE66" s="1122">
        <v>2064</v>
      </c>
    </row>
    <row r="67" ht="11.25" customHeight="1">
      <c r="A67" s="1076" t="s">
        <v>1713</v>
      </c>
      <c r="AZ67" s="1122" t="s">
        <v>1220</v>
      </c>
      <c r="BE67" s="1122">
        <v>2065</v>
      </c>
    </row>
    <row r="68" ht="11.25" customHeight="1">
      <c r="A68" s="1076" t="s">
        <v>1714</v>
      </c>
      <c r="AZ68" s="1122" t="s">
        <v>1246</v>
      </c>
      <c r="BE68" s="1122">
        <v>2066</v>
      </c>
      <c r="BH68" s="1069" t="s">
        <v>1715</v>
      </c>
      <c r="BJ68" s="1069" t="s">
        <v>1716</v>
      </c>
      <c r="BL68" s="1069" t="s">
        <v>1717</v>
      </c>
      <c r="BN68" s="1069" t="s">
        <v>1718</v>
      </c>
    </row>
    <row r="69" ht="11.25" customHeight="1">
      <c r="A69" s="1076" t="s">
        <v>16</v>
      </c>
      <c r="AZ69" s="1122" t="s">
        <v>1281</v>
      </c>
      <c r="BE69" s="1122">
        <v>2067</v>
      </c>
      <c r="BH69" s="1070" t="s">
        <v>1719</v>
      </c>
      <c r="BI69" s="1119" t="s">
        <v>110</v>
      </c>
      <c r="BJ69" s="1070" t="s">
        <v>1720</v>
      </c>
      <c r="BK69" s="1119" t="s">
        <v>110</v>
      </c>
      <c r="BL69" s="1070" t="s">
        <v>1721</v>
      </c>
      <c r="BM69" s="1072" t="s">
        <v>110</v>
      </c>
      <c r="BN69" s="1070" t="s">
        <v>1722</v>
      </c>
    </row>
    <row r="70" ht="11.25" customHeight="1">
      <c r="A70" s="1076" t="s">
        <v>1723</v>
      </c>
      <c r="AZ70" s="1122" t="s">
        <v>1313</v>
      </c>
      <c r="BE70" s="1122">
        <v>2068</v>
      </c>
      <c r="BH70" s="1070" t="s">
        <v>1724</v>
      </c>
      <c r="BJ70" s="1070" t="s">
        <v>1725</v>
      </c>
      <c r="BL70" s="1070" t="s">
        <v>1726</v>
      </c>
      <c r="BN70" s="1070" t="s">
        <v>1727</v>
      </c>
    </row>
    <row r="71" ht="11.25" customHeight="1">
      <c r="A71" s="1076" t="s">
        <v>1728</v>
      </c>
      <c r="AZ71" s="1122" t="s">
        <v>1315</v>
      </c>
      <c r="BE71" s="1122">
        <v>2069</v>
      </c>
      <c r="BH71" s="1070" t="s">
        <v>1729</v>
      </c>
      <c r="BI71" s="1119" t="s">
        <v>90</v>
      </c>
      <c r="BJ71" s="1070" t="s">
        <v>1730</v>
      </c>
      <c r="BK71" s="1119" t="s">
        <v>90</v>
      </c>
      <c r="BL71" s="1070" t="s">
        <v>1731</v>
      </c>
      <c r="BM71" s="1072" t="s">
        <v>90</v>
      </c>
      <c r="BN71" s="1070" t="s">
        <v>1732</v>
      </c>
    </row>
    <row r="72" ht="11.25" customHeight="1">
      <c r="A72" s="1076" t="s">
        <v>1733</v>
      </c>
      <c r="AZ72" s="1122" t="s">
        <v>19</v>
      </c>
      <c r="BE72" s="1122">
        <v>2070</v>
      </c>
      <c r="BH72" s="1070" t="s">
        <v>1734</v>
      </c>
      <c r="BJ72" s="1070" t="s">
        <v>1734</v>
      </c>
      <c r="BL72" s="1070" t="s">
        <v>1734</v>
      </c>
      <c r="BN72" s="1070" t="s">
        <v>1735</v>
      </c>
    </row>
    <row r="73" ht="11.25" customHeight="1">
      <c r="A73" s="1076" t="s">
        <v>1736</v>
      </c>
      <c r="BH73" s="1070" t="s">
        <v>1737</v>
      </c>
      <c r="BI73" s="1119" t="s">
        <v>112</v>
      </c>
      <c r="BJ73" s="1070" t="s">
        <v>1738</v>
      </c>
      <c r="BK73" s="1119" t="s">
        <v>112</v>
      </c>
      <c r="BL73" s="1070" t="s">
        <v>1739</v>
      </c>
      <c r="BM73" s="1072" t="s">
        <v>112</v>
      </c>
      <c r="BN73" s="1070" t="s">
        <v>1740</v>
      </c>
    </row>
    <row r="74" ht="11.25" customHeight="1">
      <c r="A74" s="1076" t="s">
        <v>1741</v>
      </c>
      <c r="BH74" s="1070" t="s">
        <v>1742</v>
      </c>
      <c r="BJ74" s="1070" t="s">
        <v>1743</v>
      </c>
      <c r="BL74" s="1070" t="s">
        <v>1744</v>
      </c>
      <c r="BN74" s="1070" t="s">
        <v>1745</v>
      </c>
    </row>
    <row r="75" ht="11.25" customHeight="1">
      <c r="A75" s="1076" t="s">
        <v>1746</v>
      </c>
      <c r="AZ75" s="1069" t="s">
        <v>1747</v>
      </c>
      <c r="BH75" s="1070" t="s">
        <v>1748</v>
      </c>
      <c r="BJ75" s="1070" t="s">
        <v>1748</v>
      </c>
      <c r="BL75" s="1070" t="s">
        <v>1748</v>
      </c>
    </row>
    <row r="76" ht="11.25" customHeight="1">
      <c r="A76" s="1076" t="s">
        <v>1749</v>
      </c>
      <c r="AZ76" s="1122" t="s">
        <v>1229</v>
      </c>
      <c r="BH76" s="1070" t="s">
        <v>1750</v>
      </c>
      <c r="BJ76" s="1070" t="s">
        <v>1751</v>
      </c>
      <c r="BL76" s="1070" t="s">
        <v>1752</v>
      </c>
    </row>
    <row r="77" ht="11.25" customHeight="1">
      <c r="A77" s="1076" t="s">
        <v>1753</v>
      </c>
      <c r="AZ77" s="1122" t="s">
        <v>1256</v>
      </c>
    </row>
    <row r="78" ht="11.25" customHeight="1">
      <c r="A78" s="1076" t="s">
        <v>1754</v>
      </c>
      <c r="AZ78" s="1122" t="s">
        <v>1288</v>
      </c>
    </row>
    <row r="79" ht="11.25" customHeight="1">
      <c r="A79" s="1076" t="s">
        <v>1755</v>
      </c>
      <c r="AZ79" s="1122" t="s">
        <v>1319</v>
      </c>
      <c r="BH79" s="1069" t="s">
        <v>1756</v>
      </c>
      <c r="BJ79" s="1069" t="s">
        <v>1757</v>
      </c>
      <c r="BL79" s="1069" t="s">
        <v>1758</v>
      </c>
    </row>
    <row r="80" ht="11.25" customHeight="1">
      <c r="A80" s="1076" t="s">
        <v>1759</v>
      </c>
      <c r="AZ80" s="1122" t="s">
        <v>1340</v>
      </c>
      <c r="BH80" s="1070" t="s">
        <v>1760</v>
      </c>
      <c r="BJ80" s="1070" t="s">
        <v>1761</v>
      </c>
      <c r="BL80" s="1070" t="s">
        <v>1762</v>
      </c>
    </row>
    <row r="81" ht="11.25" customHeight="1">
      <c r="A81" s="1076" t="s">
        <v>1763</v>
      </c>
      <c r="AZ81" s="1122" t="s">
        <v>1357</v>
      </c>
      <c r="BH81" s="1070" t="s">
        <v>1764</v>
      </c>
      <c r="BJ81" s="1070" t="s">
        <v>1765</v>
      </c>
      <c r="BL81" s="1070" t="s">
        <v>1766</v>
      </c>
    </row>
    <row r="82" ht="11.25" customHeight="1">
      <c r="A82" s="1076" t="s">
        <v>1767</v>
      </c>
      <c r="AZ82" s="1122" t="s">
        <v>1372</v>
      </c>
      <c r="BH82" s="1070" t="s">
        <v>1768</v>
      </c>
      <c r="BJ82" s="1070" t="s">
        <v>1769</v>
      </c>
      <c r="BL82" s="1070" t="s">
        <v>1770</v>
      </c>
    </row>
    <row r="83" ht="11.25" customHeight="1">
      <c r="A83" s="1076" t="s">
        <v>1771</v>
      </c>
      <c r="BH83" s="1070" t="s">
        <v>1772</v>
      </c>
      <c r="BJ83" s="1070" t="s">
        <v>1773</v>
      </c>
      <c r="BL83" s="1070" t="s">
        <v>1774</v>
      </c>
    </row>
    <row r="84" ht="11.25" customHeight="1">
      <c r="A84" s="1076" t="s">
        <v>1775</v>
      </c>
      <c r="AZ84" s="1069" t="s">
        <v>1776</v>
      </c>
    </row>
    <row r="85" ht="11.25" customHeight="1">
      <c r="A85" s="1872" t="s">
        <v>1777</v>
      </c>
      <c r="AZ85" s="1122" t="s">
        <v>1778</v>
      </c>
    </row>
    <row r="86" ht="11.25" customHeight="1">
      <c r="A86" s="1076" t="s">
        <v>1779</v>
      </c>
      <c r="AZ86" s="1122" t="s">
        <v>1780</v>
      </c>
      <c r="BH86" s="1069" t="s">
        <v>1781</v>
      </c>
      <c r="BJ86" s="1069" t="s">
        <v>1782</v>
      </c>
      <c r="BL86" s="1069" t="s">
        <v>1783</v>
      </c>
    </row>
    <row r="87" ht="11.25" customHeight="1">
      <c r="A87" s="1076" t="s">
        <v>1784</v>
      </c>
      <c r="AZ87" s="1122" t="s">
        <v>1785</v>
      </c>
      <c r="BH87" s="1070" t="s">
        <v>1786</v>
      </c>
      <c r="BJ87" s="1070" t="s">
        <v>1787</v>
      </c>
      <c r="BL87" s="1070" t="s">
        <v>1788</v>
      </c>
    </row>
    <row r="88" ht="11.25" customHeight="1">
      <c r="A88" s="1076" t="s">
        <v>1789</v>
      </c>
      <c r="AZ88" s="1608"/>
      <c r="BH88" s="1070" t="s">
        <v>1790</v>
      </c>
      <c r="BJ88" s="1070" t="s">
        <v>1791</v>
      </c>
      <c r="BL88" s="1070" t="s">
        <v>1792</v>
      </c>
    </row>
    <row r="89" ht="11.25" customHeight="1">
      <c r="A89" s="1076" t="s">
        <v>1793</v>
      </c>
      <c r="AZ89" s="1069" t="s">
        <v>1794</v>
      </c>
    </row>
    <row r="90" ht="11.25" customHeight="1">
      <c r="A90" s="1076" t="s">
        <v>1795</v>
      </c>
      <c r="AZ90" s="1122" t="s">
        <v>1020</v>
      </c>
    </row>
    <row r="91" ht="11.25" customHeight="1">
      <c r="A91" s="1076" t="s">
        <v>1796</v>
      </c>
      <c r="AZ91" s="1122" t="s">
        <v>1056</v>
      </c>
      <c r="BH91" s="1069" t="s">
        <v>1797</v>
      </c>
      <c r="BJ91" s="1069" t="s">
        <v>1798</v>
      </c>
      <c r="BL91" s="1069" t="s">
        <v>1799</v>
      </c>
    </row>
    <row r="92" ht="11.25" customHeight="1">
      <c r="AZ92" s="1122" t="s">
        <v>1800</v>
      </c>
      <c r="BH92" s="1070" t="s">
        <v>1801</v>
      </c>
      <c r="BJ92" s="1070" t="s">
        <v>1802</v>
      </c>
      <c r="BL92" s="1070" t="s">
        <v>1803</v>
      </c>
    </row>
    <row r="93" ht="11.25" customHeight="1">
      <c r="AZ93" s="1122" t="s">
        <v>1804</v>
      </c>
      <c r="BH93" s="1070" t="s">
        <v>1805</v>
      </c>
      <c r="BJ93" s="1070" t="s">
        <v>1806</v>
      </c>
      <c r="BL93" s="1070" t="s">
        <v>1807</v>
      </c>
    </row>
    <row r="94" ht="11.25" customHeight="1">
      <c r="AZ94" s="1122" t="s">
        <v>1808</v>
      </c>
    </row>
    <row r="96" ht="11.25" customHeight="1">
      <c r="AZ96" s="1069" t="s">
        <v>1809</v>
      </c>
      <c r="BH96" s="1069" t="s">
        <v>1810</v>
      </c>
      <c r="BJ96" s="1069" t="s">
        <v>1811</v>
      </c>
      <c r="BL96" s="1069" t="s">
        <v>1812</v>
      </c>
      <c r="BN96" s="1069" t="s">
        <v>1813</v>
      </c>
    </row>
    <row r="97" ht="11.25" customHeight="1">
      <c r="AZ97" s="1903" t="s">
        <v>1814</v>
      </c>
      <c r="BA97" s="1904" t="s">
        <v>1815</v>
      </c>
      <c r="BH97" s="1070" t="s">
        <v>1816</v>
      </c>
      <c r="BJ97" s="1070" t="s">
        <v>1817</v>
      </c>
      <c r="BL97" s="1070" t="s">
        <v>1818</v>
      </c>
      <c r="BN97" s="1070" t="s">
        <v>1819</v>
      </c>
    </row>
    <row r="98" ht="11.25" customHeight="1">
      <c r="AZ98" s="1903" t="s">
        <v>1820</v>
      </c>
      <c r="BA98" s="1904" t="s">
        <v>1821</v>
      </c>
      <c r="BH98" s="1070" t="s">
        <v>1822</v>
      </c>
      <c r="BJ98" s="1070" t="s">
        <v>1823</v>
      </c>
      <c r="BL98" s="1070" t="s">
        <v>1824</v>
      </c>
      <c r="BN98" s="1070" t="s">
        <v>1825</v>
      </c>
    </row>
    <row r="99" ht="22.5" customHeight="1">
      <c r="AZ99" s="1903" t="s">
        <v>1826</v>
      </c>
      <c r="BA99" s="190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70" t="s">
        <v>1827</v>
      </c>
      <c r="BJ99" s="1070" t="s">
        <v>1828</v>
      </c>
      <c r="BL99" s="1070" t="s">
        <v>1829</v>
      </c>
      <c r="BN99" s="1070" t="s">
        <v>1830</v>
      </c>
    </row>
    <row r="100" ht="22.5" customHeight="1">
      <c r="AZ100" s="1903" t="s">
        <v>1831</v>
      </c>
      <c r="BA100" s="190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J100" s="1070" t="s">
        <v>1418</v>
      </c>
      <c r="BL100" s="1070" t="s">
        <v>1418</v>
      </c>
      <c r="BN100" s="1070" t="s">
        <v>1832</v>
      </c>
    </row>
    <row r="101" ht="22.5" customHeight="1">
      <c r="AZ101" s="1903" t="s">
        <v>1833</v>
      </c>
      <c r="BA101" s="1904" t="s">
        <v>1834</v>
      </c>
      <c r="BN101" s="1070" t="s">
        <v>1835</v>
      </c>
    </row>
    <row r="102" ht="22.5" customHeight="1">
      <c r="AZ102" s="1903" t="s">
        <v>1836</v>
      </c>
      <c r="BA102" s="190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N102" s="1070" t="s">
        <v>1837</v>
      </c>
    </row>
    <row r="103" ht="11.25" customHeight="1">
      <c r="AZ103" s="1903" t="s">
        <v>1838</v>
      </c>
      <c r="BA103" s="1904" t="s">
        <v>1839</v>
      </c>
      <c r="BN103" s="1070" t="s">
        <v>1840</v>
      </c>
    </row>
    <row r="104" ht="11.25" customHeight="1">
      <c r="BN104" s="1070" t="s">
        <v>1841</v>
      </c>
    </row>
    <row r="105" ht="11.25" customHeight="1">
      <c r="AZ105" s="1694" t="s">
        <v>1842</v>
      </c>
    </row>
    <row r="106" ht="11.25" customHeight="1">
      <c r="AZ106" s="1122" t="s">
        <v>1843</v>
      </c>
    </row>
    <row r="107" ht="11.25" customHeight="1">
      <c r="AZ107" s="1122" t="s">
        <v>1844</v>
      </c>
      <c r="BH107" s="1069" t="s">
        <v>1845</v>
      </c>
      <c r="BJ107" s="1069" t="s">
        <v>1846</v>
      </c>
      <c r="BL107" s="1069" t="s">
        <v>1847</v>
      </c>
      <c r="BN107" s="1069" t="s">
        <v>1848</v>
      </c>
    </row>
    <row r="108" ht="11.25" customHeight="1">
      <c r="AZ108" s="1122" t="s">
        <v>571</v>
      </c>
      <c r="BH108" s="1070" t="s">
        <v>1849</v>
      </c>
      <c r="BJ108" s="1070" t="s">
        <v>1850</v>
      </c>
      <c r="BL108" s="1070" t="s">
        <v>1504</v>
      </c>
      <c r="BN108" s="1070" t="s">
        <v>1851</v>
      </c>
    </row>
    <row r="109" ht="11.25" customHeight="1">
      <c r="BH109" s="1070" t="s">
        <v>1852</v>
      </c>
    </row>
    <row r="110" ht="11.25" customHeight="1">
      <c r="AZ110" s="1694" t="s">
        <v>1853</v>
      </c>
      <c r="BH110" s="1070" t="s">
        <v>1852</v>
      </c>
    </row>
    <row r="111" ht="11.25" customHeight="1">
      <c r="AZ111" s="1903" t="s">
        <v>1814</v>
      </c>
      <c r="BA111" s="1904" t="s">
        <v>1815</v>
      </c>
    </row>
    <row r="112" ht="11.25" customHeight="1">
      <c r="AZ112" s="1903" t="s">
        <v>1820</v>
      </c>
      <c r="BA112" s="1904" t="s">
        <v>1821</v>
      </c>
    </row>
    <row r="113" ht="22.5" customHeight="1">
      <c r="AZ113" s="1903" t="s">
        <v>1826</v>
      </c>
      <c r="BA113" s="190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903" t="s">
        <v>1831</v>
      </c>
      <c r="BA114" s="190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4" s="1069" t="s">
        <v>1854</v>
      </c>
    </row>
    <row r="115" ht="22.5" customHeight="1">
      <c r="AZ115" s="1903" t="s">
        <v>1836</v>
      </c>
      <c r="BA115" s="190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5" s="1070" t="s">
        <v>1216</v>
      </c>
    </row>
    <row r="116" ht="11.25" customHeight="1">
      <c r="AZ116" s="1903" t="s">
        <v>1838</v>
      </c>
      <c r="BA116" s="1904" t="s">
        <v>1839</v>
      </c>
      <c r="BH116" s="1070" t="s">
        <v>1242</v>
      </c>
    </row>
    <row r="117" ht="11.25" customHeight="1">
      <c r="BH117" s="1070" t="s">
        <v>1277</v>
      </c>
    </row>
    <row r="118" ht="11.25" customHeight="1">
      <c r="BH118" s="1070" t="s">
        <v>1310</v>
      </c>
    </row>
  </sheetData>
  <sheetProtection autoFilter="0" deleteColumns="0" deleteRows="0" formatColumns="0" formatRows="0" insertColumns="1" insertRows="0" sort="0"/>
  <pageMargins left="0.75" right="0.75" top="1" bottom="1" header="0.5" footer="0.5"/>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1.25" customHeight="1"/>
  <cols>
    <col customWidth="1" hidden="1" min="1" max="2" style="503" width="15.00390625"/>
    <col customWidth="1" min="3" max="3" style="457" width="3.00390625"/>
    <col customWidth="1" min="4" max="4" style="458" width="6.00390625"/>
    <col customWidth="1" min="5" max="5" style="457" width="52.00390625"/>
    <col customWidth="1" min="6" max="6" style="457" width="48.00390625"/>
    <col customWidth="1" min="7" max="7" style="457" width="93.00390625"/>
    <col customWidth="1" min="8" max="8" style="457" width="8.00390625"/>
    <col customWidth="1" min="9" max="9" style="457" width="64.00390625"/>
    <col hidden="1" min="10" max="10" style="457" width="9.140625"/>
  </cols>
  <sheetData>
    <row r="1" ht="11.25" hidden="1" customHeight="1">
      <c r="A1" s="503" t="s">
        <v>299</v>
      </c>
      <c r="J1" s="457" t="s">
        <v>14</v>
      </c>
    </row>
    <row r="2" ht="22.5" hidden="1" customHeight="1">
      <c r="A2" s="504"/>
      <c r="B2" s="504"/>
      <c r="C2" s="1732" t="s">
        <v>689</v>
      </c>
      <c r="D2" s="1522"/>
      <c r="E2" s="1528"/>
      <c r="F2" s="1551"/>
      <c r="H2" s="477"/>
      <c r="J2" s="457">
        <v>0</v>
      </c>
    </row>
    <row r="3" ht="11.25" hidden="1" customHeight="1">
      <c r="J3" s="457">
        <v>0</v>
      </c>
    </row>
    <row r="4" ht="11.5" customHeight="1">
      <c r="A4" s="1552"/>
      <c r="B4" s="1552"/>
      <c r="J4" s="457">
        <v>11</v>
      </c>
    </row>
    <row r="5" ht="27.300000000000001" customHeight="1">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2. Информация об органе регулирования тарифов в сфере теплоснабжения (далее – орган регулирования тарифов)</v>
      </c>
      <c r="E5" s="2241"/>
      <c r="F5" s="2242"/>
      <c r="I5" s="717"/>
      <c r="J5" s="457">
        <v>26</v>
      </c>
    </row>
    <row r="6" ht="18" customHeight="1">
      <c r="D6" s="2178" t="str">
        <f>IF(region_name=0,"Не определено",region_name)</f>
        <v xml:space="preserve">Рязанская область</v>
      </c>
      <c r="E6" s="2178"/>
      <c r="F6" s="2178"/>
      <c r="I6" s="717"/>
      <c r="J6" s="457">
        <v>17</v>
      </c>
    </row>
    <row r="7" s="479" customFormat="1" ht="11.5" customHeight="1">
      <c r="A7" s="503"/>
      <c r="B7" s="503"/>
      <c r="D7" s="716"/>
      <c r="E7" s="716"/>
      <c r="F7" s="754"/>
      <c r="G7" s="716"/>
      <c r="J7" s="479">
        <v>11</v>
      </c>
    </row>
    <row r="8" ht="11.25" hidden="1" customHeight="1">
      <c r="A8" s="504"/>
      <c r="B8" s="504"/>
      <c r="C8" s="459"/>
      <c r="D8" s="465"/>
      <c r="E8" s="2209"/>
      <c r="F8" s="2209"/>
      <c r="J8" s="457">
        <v>0</v>
      </c>
    </row>
    <row r="9" ht="11.5" customHeight="1">
      <c r="A9" s="504"/>
      <c r="B9" s="504"/>
      <c r="C9" s="459"/>
      <c r="D9" s="2206" t="s">
        <v>300</v>
      </c>
      <c r="E9" s="2207"/>
      <c r="F9" s="2207"/>
      <c r="G9" s="2210" t="s">
        <v>301</v>
      </c>
      <c r="J9" s="457">
        <v>11</v>
      </c>
    </row>
    <row r="10" ht="11.5" customHeight="1">
      <c r="A10" s="504"/>
      <c r="B10" s="504"/>
      <c r="C10" s="459"/>
      <c r="D10" s="1476" t="s">
        <v>88</v>
      </c>
      <c r="E10" s="1478" t="s">
        <v>302</v>
      </c>
      <c r="F10" s="1478" t="s">
        <v>303</v>
      </c>
      <c r="G10" s="2211"/>
      <c r="J10" s="457">
        <v>11</v>
      </c>
    </row>
    <row r="11" ht="1.05" customHeight="1">
      <c r="A11" s="504"/>
      <c r="B11" s="504"/>
      <c r="C11" s="459"/>
      <c r="D11" s="466"/>
      <c r="E11" s="466"/>
      <c r="F11" s="466"/>
      <c r="G11" s="466"/>
      <c r="J11" s="457">
        <v>1</v>
      </c>
    </row>
    <row r="12" ht="24" customHeight="1">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v>
      </c>
      <c r="F12" s="1910" t="str">
        <f>IF(org="","",org)</f>
        <v xml:space="preserve">филиал ПАО "ОГК-2" - Рязанская ГРЭС</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тарифного  регулирования  образован.</v>
      </c>
      <c r="H12" s="1535"/>
      <c r="J12" s="457">
        <v>23</v>
      </c>
    </row>
    <row r="13" ht="19.949999999999999" customHeight="1">
      <c r="A13" s="504"/>
      <c r="B13" s="504"/>
      <c r="C13" s="459"/>
      <c r="D13" s="1522">
        <v>2</v>
      </c>
      <c r="E13" s="1529" t="s">
        <v>1855</v>
      </c>
      <c r="F13" s="1523" t="s">
        <v>306</v>
      </c>
      <c r="G13" s="476"/>
      <c r="H13" s="1535"/>
      <c r="J13" s="457">
        <v>19</v>
      </c>
    </row>
    <row r="14" ht="19.949999999999999" customHeight="1">
      <c r="A14" s="504"/>
      <c r="B14" s="504"/>
      <c r="C14" s="459"/>
      <c r="D14" s="1525" t="s">
        <v>709</v>
      </c>
      <c r="E14" s="1526" t="s">
        <v>1856</v>
      </c>
      <c r="F14" s="1528"/>
      <c r="G14" s="1527" t="s">
        <v>1857</v>
      </c>
      <c r="H14" s="1535"/>
      <c r="J14" s="457">
        <v>19</v>
      </c>
    </row>
    <row r="15" ht="19.949999999999999" customHeight="1">
      <c r="A15" s="504"/>
      <c r="B15" s="504"/>
      <c r="C15" s="459"/>
      <c r="D15" s="1525" t="s">
        <v>307</v>
      </c>
      <c r="E15" s="1526" t="s">
        <v>1858</v>
      </c>
      <c r="F15" s="1528"/>
      <c r="G15" s="1527" t="s">
        <v>1859</v>
      </c>
      <c r="H15" s="1535"/>
      <c r="J15" s="457">
        <v>19</v>
      </c>
    </row>
    <row r="16" ht="24" customHeight="1">
      <c r="A16" s="504"/>
      <c r="B16" s="504"/>
      <c r="C16" s="459"/>
      <c r="D16" s="1525" t="s">
        <v>310</v>
      </c>
      <c r="E16" s="1524" t="s">
        <v>1860</v>
      </c>
      <c r="F16" s="1533"/>
      <c r="G16" s="476" t="s">
        <v>1861</v>
      </c>
      <c r="H16" s="1535"/>
      <c r="J16" s="457">
        <v>23</v>
      </c>
    </row>
    <row r="17" ht="48.25" customHeight="1">
      <c r="A17" s="504"/>
      <c r="B17" s="504"/>
      <c r="C17" s="459"/>
      <c r="D17" s="1522">
        <v>3</v>
      </c>
      <c r="E17" s="1529" t="s">
        <v>1862</v>
      </c>
      <c r="F17" s="1528"/>
      <c r="G17" s="476" t="s">
        <v>1863</v>
      </c>
      <c r="H17" s="1535"/>
      <c r="J17" s="457">
        <v>46</v>
      </c>
    </row>
    <row r="18" ht="48.25" customHeight="1">
      <c r="A18" s="1477">
        <v>1</v>
      </c>
      <c r="B18" s="504"/>
      <c r="C18" s="1479"/>
      <c r="D18" s="1522" t="s">
        <v>91</v>
      </c>
      <c r="E18" s="1529" t="s">
        <v>1864</v>
      </c>
      <c r="F18" s="1528"/>
      <c r="G18" s="476" t="s">
        <v>1863</v>
      </c>
      <c r="H18" s="1535"/>
      <c r="I18" s="854"/>
      <c r="J18" s="457">
        <v>46</v>
      </c>
    </row>
    <row r="19" ht="23.25" customHeight="1">
      <c r="A19" s="504"/>
      <c r="B19" s="504"/>
      <c r="C19" s="459"/>
      <c r="D19" s="1522" t="s">
        <v>112</v>
      </c>
      <c r="E19" s="1529" t="s">
        <v>1865</v>
      </c>
      <c r="F19" s="1523" t="s">
        <v>306</v>
      </c>
      <c r="G19" s="2473" t="s">
        <v>1866</v>
      </c>
      <c r="H19" s="477"/>
      <c r="J19" s="457">
        <v>22</v>
      </c>
    </row>
    <row r="20" s="1532" customFormat="1" ht="5.25" hidden="1" customHeight="1">
      <c r="A20" s="504"/>
      <c r="B20" s="504"/>
      <c r="C20" s="1531"/>
      <c r="D20" s="1530" t="s">
        <v>1117</v>
      </c>
      <c r="E20" s="1016"/>
      <c r="F20" s="1015"/>
      <c r="G20" s="2474"/>
      <c r="J20" s="1532">
        <v>0</v>
      </c>
    </row>
    <row r="21" ht="15.75" customHeight="1">
      <c r="A21" s="504"/>
      <c r="B21" s="504"/>
      <c r="C21" s="459"/>
      <c r="D21" s="469"/>
      <c r="E21" s="417" t="s">
        <v>339</v>
      </c>
      <c r="F21" s="471"/>
      <c r="G21" s="2475"/>
      <c r="H21" s="1535"/>
      <c r="J21" s="457">
        <v>15</v>
      </c>
    </row>
    <row r="22" s="503" customFormat="1" ht="26.25" customHeight="1">
      <c r="A22" s="504"/>
      <c r="B22" s="504"/>
      <c r="C22" s="504"/>
      <c r="D22" s="1522" t="s">
        <v>92</v>
      </c>
      <c r="E22" s="476" t="s">
        <v>1867</v>
      </c>
      <c r="F22" s="1528"/>
      <c r="G22" s="476" t="s">
        <v>1868</v>
      </c>
      <c r="H22" s="1534"/>
      <c r="J22" s="503">
        <v>25</v>
      </c>
    </row>
    <row r="23" s="503" customFormat="1" ht="19.949999999999999" customHeight="1">
      <c r="A23" s="504"/>
      <c r="B23" s="504"/>
      <c r="C23" s="504"/>
      <c r="D23" s="1522" t="s">
        <v>93</v>
      </c>
      <c r="E23" s="1529" t="s">
        <v>1869</v>
      </c>
      <c r="F23" s="1533"/>
      <c r="G23" s="476" t="s">
        <v>1870</v>
      </c>
      <c r="H23" s="1534"/>
      <c r="J23" s="503">
        <v>19</v>
      </c>
    </row>
    <row r="24" s="503" customFormat="1" ht="144" hidden="1" customHeight="1">
      <c r="A24" s="504"/>
      <c r="B24" s="504"/>
      <c r="C24" s="504"/>
      <c r="D24" s="1522" t="s">
        <v>113</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r="25" ht="11.25" hidden="1" customHeight="1">
      <c r="A25" s="503" t="s">
        <v>82</v>
      </c>
      <c r="B25" s="503">
        <v>0</v>
      </c>
      <c r="C25" s="457">
        <v>3</v>
      </c>
      <c r="D25" s="458">
        <v>6</v>
      </c>
      <c r="E25" s="457">
        <v>52</v>
      </c>
      <c r="F25" s="457">
        <v>48</v>
      </c>
      <c r="G25" s="457">
        <v>93</v>
      </c>
      <c r="H25" s="457">
        <v>8</v>
      </c>
      <c r="I25" s="457">
        <v>64</v>
      </c>
      <c r="J25" s="457">
        <v>11</v>
      </c>
    </row>
  </sheetData>
  <sheetProtection autoFilter="0" deleteColumns="0" deleteRows="0" formatColumns="0" formatRows="0" insertColumns="1" insertRows="0" sort="0"/>
  <mergeCells count="6">
    <mergeCell ref="G19:G21"/>
    <mergeCell ref="D5:F5"/>
    <mergeCell ref="D6:F6"/>
    <mergeCell ref="E8:F8"/>
    <mergeCell ref="D9:F9"/>
    <mergeCell ref="G9:G10"/>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F900B3-0083-41DC-B628-002300A30065}" type="textLength" allowBlank="1" error="Допускается ввод не более 900 символов!" errorTitle="Ошибка" operator="lessThanOrEqual" showErrorMessage="1" showInputMessage="1">
          <x14:formula1>
            <xm:f>900</xm:f>
          </x14:formula1>
          <xm:sqref>F12 F14:F18 F22:F23</xm:sqref>
        </x14:dataValidation>
        <x14:dataValidation xr:uid="{001C0060-00F4-4FC3-B218-00E200D700E6}"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F24</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46.00390625"/>
    <col customWidth="1" min="7" max="8" style="1637" width="16.00390625"/>
    <col customWidth="1" min="9" max="9" style="1637" width="35.00390625"/>
    <col customWidth="1" min="10" max="10" style="1637" width="89.00390625"/>
    <col customWidth="1" min="11" max="11" style="1626" width="3.00390625"/>
    <col customWidth="1" min="12" max="14" style="1626" width="8.00390625"/>
    <col customWidth="1" min="15" max="15" style="1626" width="25.00390625"/>
    <col customWidth="1" min="16" max="16" style="1626" width="14.00390625"/>
    <col customWidth="1" min="17" max="20" style="227" width="8.00390625"/>
    <col customWidth="1" min="21" max="254" style="1637" width="8.00390625"/>
    <col hidden="1" min="255" max="255" style="1637" width="9.140625"/>
  </cols>
  <sheetData>
    <row r="1" ht="22.5" hidden="1" customHeight="1">
      <c r="F1" s="1633" t="s">
        <v>1871</v>
      </c>
      <c r="G1" s="1633" t="s">
        <v>48</v>
      </c>
      <c r="H1" s="1633" t="s">
        <v>50</v>
      </c>
      <c r="IU1" s="1157" t="s">
        <v>14</v>
      </c>
    </row>
    <row r="2" s="1852" customFormat="1" ht="22.5" hidden="1" customHeight="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r="3" s="1644" customFormat="1" ht="4.2000000000000002" customHeight="1">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r="4" s="1821" customFormat="1" ht="14.65" customHeight="1">
      <c r="A4" s="1157"/>
      <c r="B4" s="1162"/>
      <c r="C4" s="1157"/>
      <c r="D4" s="1497"/>
      <c r="E4" s="511"/>
      <c r="F4" s="1644"/>
      <c r="G4" s="511"/>
      <c r="H4" s="511"/>
      <c r="I4" s="511"/>
      <c r="J4" s="168"/>
      <c r="K4" s="249"/>
      <c r="L4" s="502"/>
      <c r="M4" s="502"/>
      <c r="N4" s="502"/>
      <c r="O4" s="228"/>
      <c r="P4" s="502"/>
      <c r="Q4" s="227"/>
      <c r="R4" s="227"/>
      <c r="S4" s="227"/>
      <c r="T4" s="227"/>
      <c r="IU4" s="509">
        <v>14</v>
      </c>
    </row>
    <row r="5" s="1821" customFormat="1" ht="27.300000000000001" customHeight="1">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r="6" s="1821" customFormat="1" ht="14.65" customHeight="1">
      <c r="A6" s="1157"/>
      <c r="B6" s="1162"/>
      <c r="C6" s="1157"/>
      <c r="D6" s="1497"/>
      <c r="E6" s="511"/>
      <c r="F6" s="169"/>
      <c r="G6" s="169"/>
      <c r="H6" s="169"/>
      <c r="I6" s="169"/>
      <c r="J6" s="170"/>
      <c r="K6" s="502"/>
      <c r="L6" s="502"/>
      <c r="M6" s="502"/>
      <c r="N6" s="502"/>
      <c r="O6" s="228"/>
      <c r="P6" s="502"/>
      <c r="Q6" s="227"/>
      <c r="R6" s="227"/>
      <c r="S6" s="227"/>
      <c r="T6" s="227"/>
      <c r="IU6" s="509">
        <v>14</v>
      </c>
    </row>
    <row r="7" s="1821" customFormat="1" ht="14.65" customHeight="1">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r="8" s="1821" customFormat="1" ht="21" customHeight="1">
      <c r="A8" s="1157"/>
      <c r="B8" s="1162"/>
      <c r="C8" s="1157"/>
      <c r="D8" s="1497"/>
      <c r="E8" s="1550" t="s">
        <v>88</v>
      </c>
      <c r="F8" s="1542" t="s">
        <v>1871</v>
      </c>
      <c r="G8" s="1542" t="s">
        <v>48</v>
      </c>
      <c r="H8" s="1542" t="s">
        <v>50</v>
      </c>
      <c r="I8" s="1542" t="s">
        <v>1872</v>
      </c>
      <c r="J8" s="2477"/>
      <c r="K8" s="502"/>
      <c r="L8" s="502"/>
      <c r="M8" s="502"/>
      <c r="N8" s="502"/>
      <c r="O8" s="228"/>
      <c r="P8" s="502"/>
      <c r="Q8" s="227"/>
      <c r="R8" s="227"/>
      <c r="S8" s="227"/>
      <c r="T8" s="227"/>
      <c r="IU8" s="509">
        <v>20</v>
      </c>
    </row>
    <row r="9" s="1852" customFormat="1" ht="23.25" customHeight="1">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r="10" s="1852" customFormat="1" ht="15.75" customHeight="1">
      <c r="A10" s="1633"/>
      <c r="B10" s="1162"/>
      <c r="C10" s="414"/>
      <c r="D10" s="803"/>
      <c r="E10" s="1543"/>
      <c r="F10" s="1502" t="s">
        <v>1873</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r="11" s="1821" customFormat="1" ht="22" customHeight="1">
      <c r="A11" s="1157"/>
      <c r="B11" s="1162"/>
      <c r="C11" s="1157"/>
      <c r="D11" s="453"/>
      <c r="E11" s="182"/>
      <c r="F11" s="182"/>
      <c r="G11" s="182"/>
      <c r="H11" s="182"/>
      <c r="I11" s="182"/>
      <c r="J11" s="182"/>
      <c r="K11" s="502"/>
      <c r="L11" s="502"/>
      <c r="M11" s="502"/>
      <c r="N11" s="502"/>
      <c r="O11" s="228"/>
      <c r="P11" s="502"/>
      <c r="Q11" s="227"/>
      <c r="R11" s="227"/>
      <c r="S11" s="227"/>
      <c r="T11" s="227"/>
      <c r="IU11" s="509">
        <v>21</v>
      </c>
    </row>
    <row r="12" s="1821" customFormat="1" ht="14.65" customHeight="1">
      <c r="A12" s="1157"/>
      <c r="B12" s="1162"/>
      <c r="C12" s="1157"/>
      <c r="D12" s="453"/>
      <c r="E12" s="1157"/>
      <c r="F12" s="1157"/>
      <c r="G12" s="1157"/>
      <c r="H12" s="1157"/>
      <c r="I12" s="1157"/>
      <c r="J12" s="1157"/>
      <c r="K12" s="502"/>
      <c r="L12" s="502"/>
      <c r="M12" s="502"/>
      <c r="N12" s="502"/>
      <c r="O12" s="228"/>
      <c r="P12" s="502"/>
      <c r="Q12" s="227"/>
      <c r="R12" s="227"/>
      <c r="S12" s="227"/>
      <c r="T12" s="227"/>
      <c r="IU12" s="509">
        <v>14</v>
      </c>
    </row>
    <row r="13" s="1821" customFormat="1" ht="1.05" customHeight="1">
      <c r="A13" s="1157"/>
      <c r="B13" s="1162"/>
      <c r="C13" s="1157"/>
      <c r="D13" s="453"/>
      <c r="E13" s="1157"/>
      <c r="F13" s="1157"/>
      <c r="G13" s="1157"/>
      <c r="H13" s="1157"/>
      <c r="I13" s="1157"/>
      <c r="J13" s="1157"/>
      <c r="K13" s="502"/>
      <c r="L13" s="502"/>
      <c r="M13" s="502"/>
      <c r="N13" s="502"/>
      <c r="O13" s="228"/>
      <c r="P13" s="502"/>
      <c r="Q13" s="227"/>
      <c r="R13" s="227"/>
      <c r="S13" s="227"/>
      <c r="T13" s="227"/>
      <c r="IU13" s="509">
        <v>1</v>
      </c>
    </row>
    <row r="14" s="1066" customFormat="1" ht="10.5" customHeight="1">
      <c r="B14" s="836"/>
      <c r="D14" s="184"/>
      <c r="K14" s="502"/>
      <c r="L14" s="502"/>
      <c r="M14" s="502"/>
      <c r="N14" s="502"/>
      <c r="O14" s="228"/>
      <c r="P14" s="502"/>
      <c r="Q14" s="227"/>
      <c r="R14" s="227"/>
      <c r="S14" s="227"/>
      <c r="T14" s="227"/>
      <c r="IU14" s="183">
        <v>10</v>
      </c>
    </row>
    <row r="15" s="1066" customFormat="1" ht="10.5" customHeight="1">
      <c r="B15" s="836"/>
      <c r="D15" s="184"/>
      <c r="K15" s="502"/>
      <c r="L15" s="502"/>
      <c r="M15" s="502"/>
      <c r="N15" s="502"/>
      <c r="O15" s="228"/>
      <c r="P15" s="502"/>
      <c r="Q15" s="227"/>
      <c r="R15" s="227"/>
      <c r="S15" s="227"/>
      <c r="T15" s="227"/>
      <c r="IU15" s="183">
        <v>10</v>
      </c>
    </row>
    <row r="16" ht="14.65" customHeight="1">
      <c r="IU16" s="1157">
        <v>14</v>
      </c>
    </row>
    <row r="17" ht="14.65" customHeight="1">
      <c r="IU17" s="1157">
        <v>14</v>
      </c>
    </row>
    <row r="18" ht="14.65" customHeight="1">
      <c r="IU18" s="1157">
        <v>14</v>
      </c>
    </row>
    <row r="19" ht="14.65" customHeight="1">
      <c r="G19" s="375"/>
      <c r="H19" s="375"/>
      <c r="I19" s="375"/>
      <c r="IU19" s="1157">
        <v>14</v>
      </c>
    </row>
    <row r="20" ht="14.65" customHeight="1">
      <c r="IU20" s="1157">
        <v>14</v>
      </c>
    </row>
    <row r="21" ht="14.65" customHeight="1">
      <c r="IU21" s="1157">
        <v>14</v>
      </c>
    </row>
    <row r="22" ht="14.65" customHeight="1">
      <c r="IU22" s="1157">
        <v>14</v>
      </c>
    </row>
    <row r="23" ht="14.65" customHeight="1">
      <c r="K23" s="1157"/>
      <c r="L23" s="1157"/>
      <c r="M23" s="1157"/>
      <c r="IU23" s="1157">
        <v>14</v>
      </c>
    </row>
    <row r="24" ht="22.5" hidden="1" customHeight="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autoFilter="0" deleteColumns="0" deleteRows="0" formatColumns="0" formatRows="0" insertColumns="1" insertRows="0" sort="0"/>
  <mergeCells count="4">
    <mergeCell ref="E5:J5"/>
    <mergeCell ref="E7:I7"/>
    <mergeCell ref="J7:J8"/>
    <mergeCell ref="J9:J10"/>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F3004C-00F8-45F8-BC89-00B600E30097}" type="textLength" allowBlank="1" showErrorMessage="1" showInputMessage="1">
          <x14:formula1>
            <xm:f>13</xm:f>
          </x14:formula1>
          <x14:formula2>
            <xm:f>15</xm:f>
          </x14:formula2>
          <xm:sqref>I3</xm:sqref>
        </x14:dataValidation>
        <x14:dataValidation xr:uid="{000E007A-007F-44A8-91C8-00D600F100BA}" type="textLength" allowBlank="1" prompt="ОГРН состоит из 13 цифр, ОГРНИП - из 15" showErrorMessage="1" showInputMessage="1">
          <x14:formula1>
            <xm:f>13</xm:f>
          </x14:formula1>
          <x14:formula2>
            <xm:f>15</xm:f>
          </x14:formula2>
          <xm:sqref>I9 I2</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27.00390625"/>
    <col customWidth="1" min="7" max="7" style="1637" width="16.00390625"/>
    <col customWidth="1" min="8" max="8" style="1637" width="12.00390625"/>
    <col customWidth="1" min="9" max="9" style="1637" width="32.00390625"/>
    <col customWidth="1" min="10" max="11" style="1637" width="41.00390625"/>
    <col customWidth="1" min="12" max="12" style="1637" width="89.00390625"/>
    <col customWidth="1" min="13" max="13" style="1626" width="3.00390625"/>
    <col customWidth="1" min="14" max="16" style="1626" width="8.00390625"/>
    <col customWidth="1" min="17" max="17" style="1626" width="25.00390625"/>
    <col customWidth="1" min="18" max="18" style="1626" width="14.00390625"/>
    <col customWidth="1" min="19" max="22" style="227" width="8.00390625"/>
    <col customWidth="1" min="23" max="256" style="1637" width="8.00390625"/>
    <col hidden="1" min="257" max="257" style="1637" width="9.140625"/>
  </cols>
  <sheetData>
    <row r="1" ht="22.5" hidden="1" customHeight="1">
      <c r="IW1" s="1157" t="s">
        <v>14</v>
      </c>
    </row>
    <row r="2" s="1852" customFormat="1" ht="22.5" hidden="1" customHeight="1">
      <c r="A2" s="833"/>
      <c r="B2" s="1162">
        <v>1</v>
      </c>
      <c r="C2" s="1162"/>
      <c r="D2" s="1930" t="s">
        <v>689</v>
      </c>
      <c r="E2" s="1891"/>
      <c r="F2" s="1894" t="str">
        <f>IF(ROIV_INFO_NAME="","",ROIV_INFO_NAME)</f>
        <v xml:space="preserve">филиал ПАО "ОГК-2" - Рязанская ГРЭС</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r="3" s="1644" customFormat="1" ht="5.25" hidden="1" customHeight="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r="4" s="1821" customFormat="1" ht="14.65" customHeight="1">
      <c r="A4" s="1157"/>
      <c r="B4" s="1162"/>
      <c r="C4" s="1157"/>
      <c r="D4" s="1497"/>
      <c r="E4" s="511"/>
      <c r="F4" s="511"/>
      <c r="G4" s="511"/>
      <c r="H4" s="511"/>
      <c r="I4" s="511"/>
      <c r="J4" s="511"/>
      <c r="K4" s="511"/>
      <c r="L4" s="168"/>
      <c r="M4" s="249"/>
      <c r="N4" s="502"/>
      <c r="O4" s="502"/>
      <c r="P4" s="502"/>
      <c r="Q4" s="228"/>
      <c r="R4" s="502"/>
      <c r="S4" s="227"/>
      <c r="T4" s="227"/>
      <c r="U4" s="227"/>
      <c r="V4" s="227"/>
      <c r="IW4" s="509">
        <v>14</v>
      </c>
    </row>
    <row r="5" s="1821" customFormat="1" ht="27.300000000000001" customHeight="1">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r="6" s="1821" customFormat="1" ht="14.65" customHeight="1">
      <c r="A6" s="1157"/>
      <c r="B6" s="1162"/>
      <c r="C6" s="1157"/>
      <c r="D6" s="1497"/>
      <c r="E6" s="511"/>
      <c r="F6" s="169"/>
      <c r="G6" s="169"/>
      <c r="H6" s="169"/>
      <c r="I6" s="169"/>
      <c r="J6" s="169"/>
      <c r="K6" s="169"/>
      <c r="L6" s="170"/>
      <c r="M6" s="502"/>
      <c r="N6" s="502"/>
      <c r="O6" s="502"/>
      <c r="P6" s="502"/>
      <c r="Q6" s="228"/>
      <c r="R6" s="502"/>
      <c r="S6" s="227"/>
      <c r="T6" s="227"/>
      <c r="U6" s="227"/>
      <c r="V6" s="227"/>
      <c r="IW6" s="509">
        <v>14</v>
      </c>
    </row>
    <row r="7" s="1821" customFormat="1" ht="14.65" customHeight="1">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r="8" s="1821" customFormat="1" ht="67.200000000000003" customHeight="1">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r="9" s="1821" customFormat="1" ht="29.25" customHeight="1">
      <c r="A9" s="1157"/>
      <c r="B9" s="1162"/>
      <c r="C9" s="1157"/>
      <c r="D9" s="1497"/>
      <c r="E9" s="2481"/>
      <c r="F9" s="2481"/>
      <c r="G9" s="1539" t="s">
        <v>1874</v>
      </c>
      <c r="H9" s="1539" t="s">
        <v>1875</v>
      </c>
      <c r="I9" s="1539" t="s">
        <v>1876</v>
      </c>
      <c r="J9" s="2481"/>
      <c r="K9" s="2481"/>
      <c r="L9" s="2477"/>
      <c r="M9" s="502"/>
      <c r="N9" s="502"/>
      <c r="O9" s="502"/>
      <c r="P9" s="502"/>
      <c r="Q9" s="228"/>
      <c r="R9" s="502"/>
      <c r="S9" s="227"/>
      <c r="T9" s="227"/>
      <c r="U9" s="227"/>
      <c r="V9" s="227"/>
      <c r="IW9" s="509">
        <v>28</v>
      </c>
    </row>
    <row r="10" s="1852" customFormat="1" ht="23.25" customHeight="1">
      <c r="A10" s="2101"/>
      <c r="B10" s="1162">
        <v>1</v>
      </c>
      <c r="C10" s="1162"/>
      <c r="D10" s="802"/>
      <c r="E10" s="800">
        <v>1</v>
      </c>
      <c r="F10" s="1541" t="str">
        <f>IF(ROIV_INFO_NAME="","",ROIV_INFO_NAME)</f>
        <v xml:space="preserve">филиал ПАО "ОГК-2" - Рязанская ГРЭС</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r="11" s="1852" customFormat="1" ht="15.75" customHeight="1">
      <c r="A11" s="2101"/>
      <c r="B11" s="1162"/>
      <c r="C11" s="414"/>
      <c r="D11" s="803"/>
      <c r="E11" s="423"/>
      <c r="F11" s="418" t="s">
        <v>1877</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r="12" s="1821" customFormat="1" ht="22" customHeight="1">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r="13" s="1821" customFormat="1" ht="14.65" customHeight="1">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r="14" s="1821" customFormat="1" ht="1.05" customHeight="1">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r="15" ht="22.5" hidden="1" customHeight="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autoFilter="0" deleteColumns="0" deleteRows="0" formatColumns="0" formatRows="0" insertColumns="1" insertRows="0" sort="0"/>
  <mergeCells count="10">
    <mergeCell ref="L7:L9"/>
    <mergeCell ref="E7:K7"/>
    <mergeCell ref="A10:A11"/>
    <mergeCell ref="L10:L11"/>
    <mergeCell ref="E5:K5"/>
    <mergeCell ref="F8:F9"/>
    <mergeCell ref="E8:E9"/>
    <mergeCell ref="G8:I8"/>
    <mergeCell ref="J8:J9"/>
    <mergeCell ref="K8:K9"/>
  </mergeCells>
  <dataValidations count="1">
    <dataValidation sqref="G2:G3 G10"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700F7-00A7-4521-B6EE-00F4009E0022}" type="textLength" allowBlank="1" showErrorMessage="1" showInputMessage="1">
          <x14:formula1>
            <xm:f>13</xm:f>
          </x14:formula1>
          <x14:formula2>
            <xm:f>15</xm:f>
          </x14:formula2>
          <xm:sqref>H3:I3</xm:sqref>
        </x14:dataValidation>
        <x14:dataValidation xr:uid="{0064005D-00E8-49CD-ADDE-008700D9007E}"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J10:K10 J2:K3</xm:sqref>
        </x14:dataValidation>
        <x14:dataValidation xr:uid="{00C600B6-00FC-450C-A0FF-00B0001300CB}" type="time" allowBlank="1" prompt="Укажите время в формате ЧЧ:ММ" showErrorMessage="1" showInputMessage="1">
          <x14:formula1>
            <xm:f>0</xm:f>
          </x14:formula1>
          <x14:formula2>
            <xm:f>0.9993055555555556</xm:f>
          </x14:formula2>
          <xm:sqref>H10 H2</xm:sqref>
        </x14:dataValidation>
        <x14:dataValidation xr:uid="{002E00A4-0048-430C-9EF3-00CE008D00ED}" type="textLength" allowBlank="1" operator="lessThanOrEqual" showErrorMessage="1" showInputMessage="1">
          <x14:formula1>
            <xm:f>990</xm:f>
          </x14:formula1>
          <xm:sqref>I10 I2</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27.00390625"/>
    <col customWidth="1" min="7" max="7" style="1637" width="16.00390625"/>
    <col customWidth="1" min="8" max="8" style="1637" width="12.00390625"/>
    <col customWidth="1" min="9" max="9" style="1637" width="32.00390625"/>
    <col customWidth="1" min="10" max="11" style="1637" width="41.00390625"/>
    <col customWidth="1" min="12" max="12" style="1637" width="89.00390625"/>
    <col customWidth="1" min="13" max="13" style="1626" width="3.00390625"/>
    <col customWidth="1" min="14" max="16" style="1626" width="8.00390625"/>
    <col customWidth="1" min="17" max="17" style="1626" width="25.00390625"/>
    <col customWidth="1" min="18" max="18" style="1626" width="14.00390625"/>
    <col customWidth="1" min="19" max="22" style="227" width="8.00390625"/>
    <col customWidth="1" min="23" max="256" style="1637" width="8.00390625"/>
    <col hidden="1" min="257" max="257" style="1637" width="9.140625"/>
  </cols>
  <sheetData>
    <row r="1" ht="22.5" hidden="1" customHeight="1">
      <c r="IW1" s="1633" t="s">
        <v>14</v>
      </c>
    </row>
    <row r="2" s="1852" customFormat="1" ht="22.5" hidden="1" customHeight="1">
      <c r="A2" s="833"/>
      <c r="B2" s="1368">
        <v>1</v>
      </c>
      <c r="C2" s="1368"/>
      <c r="D2" s="1930" t="s">
        <v>689</v>
      </c>
      <c r="E2" s="1906"/>
      <c r="F2" s="1908" t="str">
        <f>IF(ROIV_INFO_NAME="","",ROIV_INFO_NAME)</f>
        <v xml:space="preserve">филиал ПАО "ОГК-2" - Рязанская ГРЭС</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r="3" s="1644" customFormat="1" ht="5.25" hidden="1" customHeight="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r="4" s="1821" customFormat="1" ht="14.65" customHeight="1">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r="5" s="1821" customFormat="1" ht="27.300000000000001" customHeight="1">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r="6" s="1821" customFormat="1" ht="14.65" customHeight="1">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r="7" s="1821" customFormat="1" ht="14.65" customHeight="1">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r="8" s="1821" customFormat="1" ht="67.200000000000003" customHeight="1">
      <c r="A8" s="1633"/>
      <c r="B8" s="1368"/>
      <c r="C8" s="1633"/>
      <c r="D8" s="1517"/>
      <c r="E8" s="2480" t="s">
        <v>88</v>
      </c>
      <c r="F8" s="2480" t="s">
        <v>1878</v>
      </c>
      <c r="G8" s="2482" t="s">
        <v>1879</v>
      </c>
      <c r="H8" s="2483"/>
      <c r="I8" s="2484"/>
      <c r="J8" s="2480" t="s">
        <v>1880</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r="9" s="1821" customFormat="1" ht="29.25" customHeight="1">
      <c r="A9" s="1633"/>
      <c r="B9" s="1368"/>
      <c r="C9" s="1633"/>
      <c r="D9" s="1517"/>
      <c r="E9" s="2481"/>
      <c r="F9" s="2481"/>
      <c r="G9" s="1896" t="s">
        <v>1874</v>
      </c>
      <c r="H9" s="1896" t="s">
        <v>1875</v>
      </c>
      <c r="I9" s="1896" t="s">
        <v>1876</v>
      </c>
      <c r="J9" s="2481"/>
      <c r="K9" s="2481"/>
      <c r="L9" s="2477"/>
      <c r="M9" s="1626"/>
      <c r="N9" s="1626"/>
      <c r="O9" s="1626"/>
      <c r="P9" s="1626"/>
      <c r="Q9" s="1626"/>
      <c r="R9" s="1626"/>
      <c r="S9" s="227"/>
      <c r="T9" s="227"/>
      <c r="U9" s="227"/>
      <c r="V9" s="227"/>
      <c r="IW9" s="1611">
        <v>28</v>
      </c>
    </row>
    <row r="10" s="1852" customFormat="1" ht="1.05" customHeight="1">
      <c r="A10" s="2101"/>
      <c r="B10" s="1368">
        <v>1</v>
      </c>
      <c r="C10" s="1368"/>
      <c r="D10" s="802"/>
      <c r="E10" s="797">
        <v>0</v>
      </c>
      <c r="F10" s="1893" t="str">
        <f>IF(ROIV_INFO_NAME="","",ROIV_INFO_NAME)</f>
        <v xml:space="preserve">филиал ПАО "ОГК-2" - Рязанская ГРЭС</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r="11" s="1852" customFormat="1" ht="15.75" customHeight="1">
      <c r="A11" s="2101"/>
      <c r="B11" s="1368"/>
      <c r="C11" s="414"/>
      <c r="D11" s="803"/>
      <c r="E11" s="423"/>
      <c r="F11" s="653" t="s">
        <v>1877</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r="12" s="1821" customFormat="1" ht="22" customHeight="1">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r="13" s="1821" customFormat="1" ht="14.65" customHeight="1">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r="14" s="1821" customFormat="1" ht="1.05" customHeight="1">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r="15" ht="22.5" hidden="1" customHeight="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autoFilter="0" deleteColumns="0" deleteRows="0" insertColumns="1" insertRows="0" sort="0"/>
  <mergeCells count="10">
    <mergeCell ref="A10:A11"/>
    <mergeCell ref="L10:L11"/>
    <mergeCell ref="E5:K5"/>
    <mergeCell ref="E7:K7"/>
    <mergeCell ref="L7:L9"/>
    <mergeCell ref="E8:E9"/>
    <mergeCell ref="F8:F9"/>
    <mergeCell ref="G8:I8"/>
    <mergeCell ref="J8:J9"/>
    <mergeCell ref="K8:K9"/>
  </mergeCells>
  <dataValidations count="1">
    <dataValidation sqref="G2:G3"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BD000F-0023-4B3F-80B8-002C009800E6}"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J2:K3</xm:sqref>
        </x14:dataValidation>
        <x14:dataValidation xr:uid="{004A002D-005B-4C7F-9D41-00FE009700FC}" type="textLength" allowBlank="1" showErrorMessage="1" showInputMessage="1">
          <x14:formula1>
            <xm:f>13</xm:f>
          </x14:formula1>
          <x14:formula2>
            <xm:f>15</xm:f>
          </x14:formula2>
          <xm:sqref>H3:I3</xm:sqref>
        </x14:dataValidation>
        <x14:dataValidation xr:uid="{00C80041-00C4-41DA-AA06-000E00DE006F}" type="textLength" allowBlank="1" operator="lessThanOrEqual" showErrorMessage="1" showInputMessage="1">
          <x14:formula1>
            <xm:f>990</xm:f>
          </x14:formula1>
          <xm:sqref>I2</xm:sqref>
        </x14:dataValidation>
        <x14:dataValidation xr:uid="{003E008B-0002-4858-936F-005E000F0051}" type="time" allowBlank="1" prompt="Укажите время в формате ЧЧ:ММ" showErrorMessage="1" showInputMessage="1">
          <x14:formula1>
            <xm:f>0</xm:f>
          </x14:formula1>
          <x14:formula2>
            <xm:f>0.9993055555555556</xm:f>
          </x14:formula2>
          <xm:sqref>H2</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27.00390625"/>
    <col customWidth="1" min="7" max="7" style="1637" width="29.00390625"/>
    <col customWidth="1" min="8" max="8" style="1637" width="25.00390625"/>
    <col customWidth="1" min="9" max="9" style="1637" width="5.00390625"/>
    <col customWidth="1" min="10" max="10" style="1637" width="6.00390625"/>
    <col customWidth="1" min="11" max="11" style="1637" width="41.00390625"/>
    <col customWidth="1" min="12" max="12" style="1637" width="42.00390625"/>
    <col customWidth="1" min="13" max="13" style="1637" width="41.00390625"/>
    <col customWidth="1" min="14" max="14" style="1637" width="89.00390625"/>
    <col customWidth="1" min="15" max="15" style="1626" width="3.00390625"/>
    <col customWidth="1" min="16" max="16" style="1626" width="8.00390625"/>
    <col hidden="1" min="17" max="17" style="1637" width="9.140625"/>
  </cols>
  <sheetData>
    <row r="1" ht="22.5" hidden="1" customHeight="1">
      <c r="Q1" s="1157" t="s">
        <v>14</v>
      </c>
    </row>
    <row r="2" s="1852" customFormat="1" ht="22.5" hidden="1" customHeight="1">
      <c r="A2" s="498"/>
      <c r="B2" s="1162">
        <v>1</v>
      </c>
      <c r="C2" s="1162"/>
      <c r="D2" s="1930" t="s">
        <v>689</v>
      </c>
      <c r="E2" s="2129">
        <v>1</v>
      </c>
      <c r="F2" s="2305" t="str">
        <f>IF(region_name="","",region_name)</f>
        <v xml:space="preserve">Рязанская область</v>
      </c>
      <c r="G2" s="2485"/>
      <c r="H2" s="2486"/>
      <c r="I2" s="476"/>
      <c r="J2" s="1912">
        <v>1</v>
      </c>
      <c r="K2" s="1914"/>
      <c r="L2" s="1914"/>
      <c r="M2" s="1914"/>
      <c r="N2" s="494"/>
      <c r="O2" s="1537"/>
      <c r="P2" s="513"/>
      <c r="Q2" s="425">
        <v>0</v>
      </c>
    </row>
    <row r="3" s="1852" customFormat="1" ht="22.5" hidden="1" customHeight="1">
      <c r="A3" s="833"/>
      <c r="B3" s="1162"/>
      <c r="C3" s="1162"/>
      <c r="D3" s="803"/>
      <c r="E3" s="2129"/>
      <c r="F3" s="2305"/>
      <c r="G3" s="2485"/>
      <c r="H3" s="2487"/>
      <c r="I3" s="423"/>
      <c r="J3" s="1502"/>
      <c r="K3" s="1502" t="s">
        <v>1881</v>
      </c>
      <c r="L3" s="1545"/>
      <c r="M3" s="1922"/>
      <c r="N3" s="1915"/>
      <c r="O3" s="1537"/>
      <c r="P3" s="513"/>
      <c r="Q3" s="425">
        <v>0</v>
      </c>
    </row>
    <row r="4" s="1644" customFormat="1" ht="5.25" hidden="1" customHeight="1">
      <c r="A4" s="498"/>
      <c r="D4" s="496"/>
      <c r="F4" s="249" t="s">
        <v>83</v>
      </c>
      <c r="G4" s="496" t="s">
        <v>84</v>
      </c>
      <c r="H4" s="496"/>
      <c r="I4" s="1925"/>
      <c r="J4" s="1546"/>
      <c r="K4" s="1913"/>
      <c r="L4" s="1913"/>
      <c r="M4" s="1913"/>
      <c r="N4" s="1909"/>
      <c r="O4" s="249" t="s">
        <v>83</v>
      </c>
      <c r="P4" s="249"/>
      <c r="Q4" s="513">
        <v>0</v>
      </c>
    </row>
    <row r="5" s="1852" customFormat="1" ht="22.5" hidden="1" customHeight="1">
      <c r="A5" s="1643"/>
      <c r="B5" s="1368">
        <v>1</v>
      </c>
      <c r="C5" s="1368"/>
      <c r="D5" s="803"/>
      <c r="E5" s="1915"/>
      <c r="F5" s="1915"/>
      <c r="G5" s="1915"/>
      <c r="H5" s="1926"/>
      <c r="I5" s="1931" t="s">
        <v>689</v>
      </c>
      <c r="J5" s="1924">
        <v>1</v>
      </c>
      <c r="K5" s="1914"/>
      <c r="L5" s="1914"/>
      <c r="M5" s="1914"/>
      <c r="N5" s="494"/>
      <c r="O5" s="1537"/>
      <c r="P5" s="1638"/>
      <c r="Q5" s="626">
        <v>0</v>
      </c>
    </row>
    <row r="6" s="1821" customFormat="1" ht="14.65" customHeight="1">
      <c r="A6" s="1157"/>
      <c r="B6" s="1162"/>
      <c r="C6" s="1157"/>
      <c r="D6" s="1497"/>
      <c r="E6" s="511"/>
      <c r="F6" s="511"/>
      <c r="G6" s="511"/>
      <c r="H6" s="511"/>
      <c r="I6" s="511"/>
      <c r="J6" s="511"/>
      <c r="K6" s="511"/>
      <c r="L6" s="511"/>
      <c r="M6" s="511"/>
      <c r="N6" s="1637"/>
      <c r="O6" s="249"/>
      <c r="P6" s="502"/>
      <c r="Q6" s="509">
        <v>14</v>
      </c>
    </row>
    <row r="7" s="1821" customFormat="1" ht="27.300000000000001" customHeight="1">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r="8" s="1821" customFormat="1" ht="14.65" customHeight="1">
      <c r="A8" s="1157"/>
      <c r="B8" s="1162"/>
      <c r="C8" s="1157"/>
      <c r="D8" s="1497"/>
      <c r="E8" s="511"/>
      <c r="F8" s="169"/>
      <c r="G8" s="169"/>
      <c r="H8" s="169"/>
      <c r="I8" s="169"/>
      <c r="J8" s="169"/>
      <c r="K8" s="169"/>
      <c r="L8" s="169"/>
      <c r="M8" s="169"/>
      <c r="N8" s="618"/>
      <c r="O8" s="502"/>
      <c r="P8" s="502"/>
      <c r="Q8" s="509">
        <v>14</v>
      </c>
    </row>
    <row r="9" s="1548" customFormat="1" ht="14.25" hidden="1" customHeight="1">
      <c r="A9" s="1470"/>
      <c r="B9" s="1480"/>
      <c r="C9" s="1470"/>
      <c r="D9" s="1497"/>
      <c r="E9" s="1916"/>
      <c r="F9" s="1916"/>
      <c r="G9" s="1916"/>
      <c r="H9" s="1916"/>
      <c r="I9" s="2495"/>
      <c r="J9" s="2495"/>
      <c r="K9" s="2495"/>
      <c r="L9" s="1916"/>
      <c r="M9" s="1917"/>
      <c r="O9" s="1547"/>
      <c r="P9" s="1547"/>
      <c r="Q9" s="1548">
        <v>0</v>
      </c>
    </row>
    <row r="10" s="1821" customFormat="1" ht="14.65" customHeight="1">
      <c r="A10" s="1157"/>
      <c r="B10" s="1162"/>
      <c r="C10" s="1157"/>
      <c r="D10" s="1497"/>
      <c r="E10" s="2129" t="s">
        <v>300</v>
      </c>
      <c r="F10" s="2129"/>
      <c r="G10" s="2129"/>
      <c r="H10" s="2129"/>
      <c r="I10" s="2129"/>
      <c r="J10" s="2129"/>
      <c r="K10" s="2129"/>
      <c r="L10" s="2129"/>
      <c r="M10" s="2103"/>
      <c r="N10" s="2480" t="s">
        <v>301</v>
      </c>
      <c r="O10" s="502"/>
      <c r="P10" s="502"/>
      <c r="Q10" s="509">
        <v>14</v>
      </c>
    </row>
    <row r="11" s="1821" customFormat="1" ht="44.25" customHeight="1">
      <c r="A11" s="1633"/>
      <c r="B11" s="1368"/>
      <c r="C11" s="1633"/>
      <c r="D11" s="1517"/>
      <c r="E11" s="2494" t="s">
        <v>88</v>
      </c>
      <c r="F11" s="2494" t="s">
        <v>304</v>
      </c>
      <c r="G11" s="2494" t="s">
        <v>1882</v>
      </c>
      <c r="H11" s="2494"/>
      <c r="I11" s="2494" t="s">
        <v>1883</v>
      </c>
      <c r="J11" s="2494"/>
      <c r="K11" s="2494"/>
      <c r="L11" s="2494" t="s">
        <v>1884</v>
      </c>
      <c r="M11" s="2482" t="s">
        <v>1885</v>
      </c>
      <c r="N11" s="2493"/>
      <c r="O11" s="1626"/>
      <c r="P11" s="1626"/>
      <c r="Q11" s="1611">
        <v>42</v>
      </c>
    </row>
    <row r="12" s="1821" customFormat="1" ht="29.25" customHeight="1">
      <c r="A12" s="1157"/>
      <c r="B12" s="1162"/>
      <c r="C12" s="1157"/>
      <c r="D12" s="1497"/>
      <c r="E12" s="2480"/>
      <c r="F12" s="2494"/>
      <c r="G12" s="1911" t="s">
        <v>1886</v>
      </c>
      <c r="H12" s="1911" t="s">
        <v>308</v>
      </c>
      <c r="I12" s="2494"/>
      <c r="J12" s="2494"/>
      <c r="K12" s="2494"/>
      <c r="L12" s="2494"/>
      <c r="M12" s="2482"/>
      <c r="N12" s="2481"/>
      <c r="O12" s="502"/>
      <c r="P12" s="502"/>
      <c r="Q12" s="509">
        <v>28</v>
      </c>
    </row>
    <row r="13" s="1852" customFormat="1" ht="23.25" customHeight="1">
      <c r="A13" s="2101">
        <v>26379339</v>
      </c>
      <c r="B13" s="1162">
        <v>1</v>
      </c>
      <c r="C13" s="1162"/>
      <c r="D13" s="803"/>
      <c r="E13" s="2129">
        <v>1</v>
      </c>
      <c r="F13" s="2488" t="str">
        <f>IF(region_name="","",region_name)</f>
        <v xml:space="preserve">Рязанская область</v>
      </c>
      <c r="G13" s="2489"/>
      <c r="H13" s="2496"/>
      <c r="I13" s="476"/>
      <c r="J13" s="1907">
        <v>1</v>
      </c>
      <c r="K13" s="1920"/>
      <c r="L13" s="1921"/>
      <c r="M13" s="1921"/>
      <c r="N13" s="2490" t="s">
        <v>1887</v>
      </c>
      <c r="O13" s="1537"/>
      <c r="P13" s="513"/>
      <c r="Q13" s="425">
        <v>22</v>
      </c>
    </row>
    <row r="14" s="1852" customFormat="1" ht="23.25" customHeight="1">
      <c r="A14" s="2101"/>
      <c r="B14" s="1162"/>
      <c r="C14" s="1162"/>
      <c r="D14" s="803"/>
      <c r="E14" s="2129"/>
      <c r="F14" s="2488"/>
      <c r="G14" s="2489"/>
      <c r="H14" s="2497"/>
      <c r="I14" s="423"/>
      <c r="J14" s="1502"/>
      <c r="K14" s="1502" t="s">
        <v>1881</v>
      </c>
      <c r="L14" s="1545"/>
      <c r="M14" s="1545"/>
      <c r="N14" s="2491"/>
      <c r="O14" s="1537"/>
      <c r="P14" s="513"/>
      <c r="Q14" s="425">
        <v>22</v>
      </c>
    </row>
    <row r="15" s="1852" customFormat="1" ht="23.25" customHeight="1">
      <c r="A15" s="2101"/>
      <c r="B15" s="1162"/>
      <c r="C15" s="414"/>
      <c r="D15" s="803"/>
      <c r="E15" s="423"/>
      <c r="F15" s="1502" t="s">
        <v>1873</v>
      </c>
      <c r="G15" s="1544"/>
      <c r="H15" s="1544"/>
      <c r="I15" s="189"/>
      <c r="J15" s="189"/>
      <c r="K15" s="189"/>
      <c r="L15" s="189"/>
      <c r="M15" s="189"/>
      <c r="N15" s="2491"/>
      <c r="O15" s="1538"/>
      <c r="P15" s="513"/>
      <c r="Q15" s="425">
        <v>22</v>
      </c>
    </row>
    <row r="16" s="1821" customFormat="1" ht="22" customHeight="1">
      <c r="A16" s="1157"/>
      <c r="B16" s="1162"/>
      <c r="C16" s="1157"/>
      <c r="D16" s="453"/>
      <c r="E16" s="182"/>
      <c r="F16" s="182"/>
      <c r="G16" s="182"/>
      <c r="H16" s="182"/>
      <c r="I16" s="182"/>
      <c r="J16" s="182"/>
      <c r="K16" s="182"/>
      <c r="L16" s="182"/>
      <c r="M16" s="511"/>
      <c r="N16" s="1637"/>
      <c r="O16" s="502"/>
      <c r="P16" s="502"/>
      <c r="Q16" s="509">
        <v>21</v>
      </c>
    </row>
    <row r="17" s="1821" customFormat="1" ht="14.65" customHeight="1">
      <c r="A17" s="1157"/>
      <c r="B17" s="1162"/>
      <c r="C17" s="1157"/>
      <c r="D17" s="453"/>
      <c r="E17" s="1157"/>
      <c r="F17" s="1157"/>
      <c r="G17" s="1157"/>
      <c r="H17" s="1157"/>
      <c r="I17" s="1157"/>
      <c r="J17" s="1157"/>
      <c r="K17" s="1157"/>
      <c r="L17" s="1157"/>
      <c r="M17" s="1157"/>
      <c r="N17" s="1633"/>
      <c r="O17" s="502"/>
      <c r="P17" s="502"/>
      <c r="Q17" s="509">
        <v>14</v>
      </c>
    </row>
    <row r="18" s="1821" customFormat="1" ht="1.05" customHeight="1">
      <c r="A18" s="1157"/>
      <c r="B18" s="1162"/>
      <c r="C18" s="1157"/>
      <c r="D18" s="453"/>
      <c r="E18" s="1157"/>
      <c r="F18" s="1157"/>
      <c r="G18" s="1157"/>
      <c r="H18" s="1157"/>
      <c r="I18" s="1157"/>
      <c r="J18" s="1157"/>
      <c r="K18" s="1157"/>
      <c r="L18" s="1157"/>
      <c r="M18" s="1157"/>
      <c r="N18" s="1633"/>
      <c r="O18" s="502"/>
      <c r="P18" s="502"/>
      <c r="Q18" s="509">
        <v>1</v>
      </c>
    </row>
    <row r="19" ht="22.5" hidden="1" customHeight="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autoFilter="0" deleteColumns="0" deleteRows="0" formatColumns="0" formatRows="0" insertColumns="1" insertRows="0" sort="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D60096-0056-41DA-ABC6-004600B7009A}"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 showErrorMessage="1" showInputMessage="1">
          <x14:formula1>
            <xm:f>900</xm:f>
          </x14:formula1>
          <xm:sqref>M4</xm:sqref>
        </x14:dataValidation>
        <x14:dataValidation xr:uid="{005E00B6-00CD-44EF-B7AB-009F009400ED}"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pageSetUpPr fitToPage="1"/>
  </sheetPr>
  <sheetViews>
    <sheetView showGridLines="0" topLeftCell="A1" zoomScale="90" workbookViewId="0">
      <selection activeCell="A1" sqref="A1"/>
    </sheetView>
  </sheetViews>
  <sheetFormatPr defaultColWidth="9.140625" defaultRowHeight="14.25" customHeight="1"/>
  <cols>
    <col hidden="1" min="1" max="1" style="360" width="9.140625"/>
    <col hidden="1" min="2" max="2" style="1825" width="9.140625"/>
    <col customWidth="1" min="3" max="3" style="122" width="3.00390625"/>
    <col customWidth="1" min="4" max="4" style="1825" width="6.00390625"/>
    <col customWidth="1" min="5" max="5" style="1825" width="22.00390625"/>
    <col customWidth="1" min="6" max="6" style="1825" width="15.00390625"/>
    <col customWidth="1" min="7" max="7" style="1825" width="14.00390625"/>
    <col customWidth="1" min="8" max="8" style="1825" width="47.00390625"/>
    <col customWidth="1" min="9" max="9" style="1825" width="115.00390625"/>
    <col customWidth="1" min="10" max="10" style="1825" width="3.00390625"/>
    <col customWidth="1" min="11" max="12" style="1825" width="8.00390625"/>
    <col hidden="1" min="13" max="13" style="1825" width="9.140625"/>
  </cols>
  <sheetData>
    <row r="1" ht="14.25" hidden="1" customHeight="1">
      <c r="M1" s="123" t="s">
        <v>14</v>
      </c>
    </row>
    <row r="2" ht="14.25" hidden="1" customHeight="1">
      <c r="M2" s="123">
        <v>0</v>
      </c>
    </row>
    <row r="3" ht="14.25" hidden="1" customHeight="1">
      <c r="M3" s="123">
        <v>0</v>
      </c>
    </row>
    <row r="4" ht="3" customHeight="1">
      <c r="M4" s="123">
        <v>3</v>
      </c>
    </row>
    <row r="5" s="1637" customFormat="1" ht="31.5" customHeight="1">
      <c r="A5" s="117"/>
      <c r="C5" s="92"/>
      <c r="D5" s="2102" t="s">
        <v>1888</v>
      </c>
      <c r="E5" s="2102"/>
      <c r="F5" s="2102"/>
      <c r="G5" s="2102"/>
      <c r="H5" s="2102"/>
      <c r="I5" s="267"/>
      <c r="M5" s="85">
        <v>30</v>
      </c>
    </row>
    <row r="6" ht="3" hidden="1" customHeight="1">
      <c r="D6" s="124"/>
      <c r="E6" s="124"/>
      <c r="F6" s="124"/>
      <c r="G6" s="124"/>
      <c r="H6" s="124"/>
      <c r="I6" s="124"/>
      <c r="M6" s="123">
        <v>0</v>
      </c>
    </row>
    <row r="7" s="360" customFormat="1" ht="14.65" customHeight="1">
      <c r="B7" s="121"/>
      <c r="C7" s="122"/>
      <c r="D7" s="125"/>
      <c r="E7" s="125"/>
      <c r="F7" s="125"/>
      <c r="G7" s="125"/>
      <c r="H7" s="754"/>
      <c r="I7" s="125"/>
      <c r="J7" s="126"/>
      <c r="M7" s="120">
        <v>14</v>
      </c>
    </row>
    <row r="8" ht="14.65" customHeight="1">
      <c r="D8" s="2211" t="s">
        <v>300</v>
      </c>
      <c r="E8" s="2211"/>
      <c r="F8" s="2211"/>
      <c r="G8" s="2211"/>
      <c r="H8" s="2211"/>
      <c r="I8" s="2211" t="s">
        <v>301</v>
      </c>
      <c r="M8" s="123">
        <v>14</v>
      </c>
    </row>
    <row r="9" ht="29.25" customHeight="1">
      <c r="D9" s="2211" t="s">
        <v>88</v>
      </c>
      <c r="E9" s="2211" t="s">
        <v>1889</v>
      </c>
      <c r="F9" s="2211"/>
      <c r="G9" s="2211"/>
      <c r="H9" s="2211"/>
      <c r="I9" s="2211"/>
      <c r="M9" s="123">
        <v>28</v>
      </c>
    </row>
    <row r="10" ht="24" customHeight="1">
      <c r="D10" s="2211"/>
      <c r="E10" s="129" t="s">
        <v>1890</v>
      </c>
      <c r="F10" s="129" t="s">
        <v>1891</v>
      </c>
      <c r="G10" s="129" t="s">
        <v>1892</v>
      </c>
      <c r="H10" s="129" t="s">
        <v>390</v>
      </c>
      <c r="I10" s="2211"/>
      <c r="M10" s="123">
        <v>23</v>
      </c>
    </row>
    <row r="11" ht="12" hidden="1" customHeight="1">
      <c r="D11" s="89" t="s">
        <v>110</v>
      </c>
      <c r="E11" s="89" t="s">
        <v>91</v>
      </c>
      <c r="F11" s="89" t="s">
        <v>112</v>
      </c>
      <c r="G11" s="89" t="s">
        <v>92</v>
      </c>
      <c r="H11" s="89" t="s">
        <v>93</v>
      </c>
      <c r="I11" s="89" t="s">
        <v>113</v>
      </c>
      <c r="M11" s="123">
        <v>0</v>
      </c>
    </row>
    <row r="12" s="1825" customFormat="1" ht="26.25" customHeight="1">
      <c r="A12" s="147" t="s">
        <v>90</v>
      </c>
      <c r="B12" s="127" t="s">
        <v>22</v>
      </c>
      <c r="C12" s="128"/>
      <c r="D12" s="130" t="s">
        <v>110</v>
      </c>
      <c r="E12" s="383"/>
      <c r="F12" s="383"/>
      <c r="G12" s="1736" t="s">
        <v>22</v>
      </c>
      <c r="H12" s="384"/>
      <c r="I12" s="2171" t="s">
        <v>1893</v>
      </c>
      <c r="K12" s="274"/>
      <c r="L12" s="275"/>
      <c r="M12" s="119">
        <v>25</v>
      </c>
    </row>
    <row r="13" ht="15.75" customHeight="1">
      <c r="A13" s="123"/>
      <c r="B13" s="123"/>
      <c r="C13" s="123"/>
      <c r="D13" s="111"/>
      <c r="E13" s="132" t="s">
        <v>468</v>
      </c>
      <c r="F13" s="131"/>
      <c r="G13" s="131"/>
      <c r="H13" s="216"/>
      <c r="I13" s="2173"/>
      <c r="M13" s="123">
        <v>15</v>
      </c>
    </row>
    <row r="14" ht="3" customHeight="1">
      <c r="A14" s="123"/>
      <c r="B14" s="123"/>
      <c r="C14" s="123"/>
      <c r="M14" s="123">
        <v>3</v>
      </c>
    </row>
    <row r="15" ht="29.25" customHeight="1">
      <c r="E15" s="2498" t="s">
        <v>1894</v>
      </c>
      <c r="F15" s="2498"/>
      <c r="G15" s="2498"/>
      <c r="H15" s="2498"/>
      <c r="M15" s="123">
        <v>28</v>
      </c>
    </row>
    <row r="16" ht="14.25" hidden="1" customHeight="1">
      <c r="A16" s="120" t="s">
        <v>82</v>
      </c>
      <c r="B16" s="121">
        <v>0</v>
      </c>
      <c r="C16" s="122">
        <v>3</v>
      </c>
      <c r="D16" s="123">
        <v>6</v>
      </c>
      <c r="E16" s="123">
        <v>22</v>
      </c>
      <c r="F16" s="123">
        <v>15</v>
      </c>
      <c r="G16" s="123">
        <v>14</v>
      </c>
      <c r="H16" s="123">
        <v>47</v>
      </c>
      <c r="I16" s="123">
        <v>115</v>
      </c>
      <c r="J16" s="123">
        <v>3</v>
      </c>
      <c r="K16" s="123">
        <v>8</v>
      </c>
      <c r="L16" s="123">
        <v>8</v>
      </c>
      <c r="M16" s="123">
        <v>14</v>
      </c>
    </row>
  </sheetData>
  <sheetProtection autoFilter="0" deleteColumns="0" deleteRows="0" formatColumns="0" formatRows="0" insertColumns="1" insertRows="0" sort="0"/>
  <mergeCells count="7">
    <mergeCell ref="E15:H15"/>
    <mergeCell ref="D5:H5"/>
    <mergeCell ref="I12:I13"/>
    <mergeCell ref="D8:H8"/>
    <mergeCell ref="I8:I10"/>
    <mergeCell ref="E9:H9"/>
    <mergeCell ref="D9:D10"/>
  </mergeCells>
  <dataValidations count="1">
    <dataValidation sqref="G1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24000000000000002" right="0.24000000000000002" top="0.24000000000000002" bottom="0.24000000000000002" header="0.24000000000000002" footer="0.24000000000000002"/>
  <pageSetup paperSize="9" scale="70" fitToHeight="0" pageOrder="downThenOver" orientation="landscape"/>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DA004D-001B-4E89-AD43-00D900C400AB}"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H12</xm:sqref>
        </x14:dataValidation>
        <x14:dataValidation xr:uid="{004700C1-00C3-45AD-9839-003800AB002A}" type="textLength" allowBlank="1" error="Допускается ввод не более 900 символов!" errorTitle="Ошибка" operator="lessThanOrEqual" showErrorMessage="1" showInputMessage="1">
          <x14:formula1>
            <xm:f>900</xm:f>
          </x14:formula1>
          <xm:sqref>E12:F12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topLeftCell="A1" zoomScale="90" workbookViewId="0">
      <selection activeCell="A1" sqref="A1"/>
    </sheetView>
  </sheetViews>
  <sheetFormatPr defaultColWidth="9.140625" defaultRowHeight="14.25" customHeight="1"/>
  <cols>
    <col hidden="1" min="1" max="2" style="266" width="9.140625"/>
    <col customWidth="1" min="3" max="3" style="93" width="3.00390625"/>
    <col customWidth="1" min="4" max="4" style="266" width="6.00390625"/>
    <col customWidth="1" min="5" max="5" style="266" width="94.00390625"/>
    <col customWidth="1" min="6" max="9" style="266" width="8.00390625"/>
    <col hidden="1" min="10" max="10" style="266" width="9.140625"/>
  </cols>
  <sheetData>
    <row r="1" ht="14.25" hidden="1" customHeight="1">
      <c r="J1" s="71" t="s">
        <v>14</v>
      </c>
    </row>
    <row r="2" ht="14.25" hidden="1" customHeight="1">
      <c r="J2" s="71">
        <v>0</v>
      </c>
    </row>
    <row r="3" ht="14.25" hidden="1" customHeight="1">
      <c r="J3" s="71">
        <v>0</v>
      </c>
    </row>
    <row r="4" ht="14.25" hidden="1" customHeight="1">
      <c r="J4" s="71">
        <v>0</v>
      </c>
    </row>
    <row r="5" ht="14.25" hidden="1" customHeight="1">
      <c r="J5" s="71">
        <v>0</v>
      </c>
    </row>
    <row r="6" ht="3" customHeight="1">
      <c r="C6" s="94"/>
      <c r="D6" s="72"/>
      <c r="E6" s="72"/>
      <c r="J6" s="71">
        <v>3</v>
      </c>
    </row>
    <row r="7" ht="23.25" customHeight="1">
      <c r="C7" s="94"/>
      <c r="D7" s="2499" t="s">
        <v>1895</v>
      </c>
      <c r="E7" s="2500"/>
      <c r="F7" s="269"/>
      <c r="J7" s="71">
        <v>22</v>
      </c>
    </row>
    <row r="8" ht="3" customHeight="1">
      <c r="C8" s="94"/>
      <c r="D8" s="72"/>
      <c r="E8" s="72"/>
      <c r="J8" s="71">
        <v>3</v>
      </c>
    </row>
    <row r="9" ht="16.800000000000001" customHeight="1">
      <c r="C9" s="94"/>
      <c r="D9" s="107" t="s">
        <v>88</v>
      </c>
      <c r="E9" s="262" t="s">
        <v>1896</v>
      </c>
      <c r="J9" s="71">
        <v>16</v>
      </c>
    </row>
    <row r="10" ht="1.05" customHeight="1">
      <c r="C10" s="94"/>
      <c r="D10" s="89"/>
      <c r="E10" s="89"/>
      <c r="J10" s="71">
        <v>1</v>
      </c>
    </row>
    <row r="11" ht="11.25" hidden="1" customHeight="1">
      <c r="C11" s="94"/>
      <c r="D11" s="152">
        <v>0</v>
      </c>
      <c r="E11" s="263"/>
      <c r="J11" s="71">
        <v>0</v>
      </c>
    </row>
    <row r="12" ht="15.75" customHeight="1">
      <c r="C12" s="138"/>
      <c r="D12" s="115">
        <v>1</v>
      </c>
      <c r="E12" s="379"/>
      <c r="J12" s="71">
        <v>15</v>
      </c>
    </row>
    <row r="13" ht="12.75" customHeight="1">
      <c r="C13" s="94"/>
      <c r="D13" s="264"/>
      <c r="E13" s="265" t="s">
        <v>1897</v>
      </c>
      <c r="J13" s="71">
        <v>12</v>
      </c>
    </row>
    <row r="14" ht="3" customHeight="1">
      <c r="J14" s="71">
        <v>3</v>
      </c>
    </row>
    <row r="15" ht="23.25" customHeight="1">
      <c r="C15" s="139"/>
      <c r="D15" s="2501" t="s">
        <v>1898</v>
      </c>
      <c r="E15" s="2501"/>
      <c r="F15" s="140"/>
      <c r="G15" s="140"/>
      <c r="H15" s="140"/>
      <c r="I15" s="140"/>
      <c r="J15" s="71">
        <v>22</v>
      </c>
    </row>
    <row r="16" ht="14.25" hidden="1" customHeight="1">
      <c r="A16" s="71" t="s">
        <v>82</v>
      </c>
      <c r="B16" s="71">
        <v>0</v>
      </c>
      <c r="C16" s="93">
        <v>3</v>
      </c>
      <c r="D16" s="71">
        <v>6</v>
      </c>
      <c r="E16" s="71">
        <v>94</v>
      </c>
      <c r="F16" s="71">
        <v>8</v>
      </c>
      <c r="G16" s="71">
        <v>8</v>
      </c>
      <c r="H16" s="71">
        <v>8</v>
      </c>
      <c r="I16" s="71">
        <v>8</v>
      </c>
      <c r="J16" s="71">
        <v>14</v>
      </c>
    </row>
  </sheetData>
  <sheetProtection autoFilter="0" deleteColumns="0" deleteRows="0" formatColumns="0" formatRows="0" insertColumns="1" insertRows="0" sort="0"/>
  <mergeCells count="2">
    <mergeCell ref="D7:E7"/>
    <mergeCell ref="D15:E15"/>
  </mergeCells>
  <pageMargins left="0.75" right="0.75" top="1" bottom="1" header="0.5" footer="0.5"/>
  <pageSetup paperSize="9" scale="94"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4A002C-00B6-455D-B16D-00200007007B}" type="textLength" allowBlank="1" error="Допускается ввод не более 900 символов!" errorTitle="Ошибка" operator="lessThanOrEqual"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topLeftCell="A1" zoomScale="90" workbookViewId="0">
      <selection activeCell="A1" sqref="A1"/>
    </sheetView>
  </sheetViews>
  <sheetFormatPr defaultColWidth="9.140625" defaultRowHeight="14.25" customHeight="1"/>
  <cols>
    <col hidden="1" min="1" max="2" style="266" width="9.140625"/>
    <col customWidth="1" min="3" max="3" style="93" width="3.00390625"/>
    <col customWidth="1" min="4" max="4" style="266" width="6.00390625"/>
    <col customWidth="1" min="5" max="5" style="266" width="94.00390625"/>
    <col customWidth="1" min="6" max="12" style="266" width="8.00390625"/>
    <col hidden="1" min="13" max="13" style="266" width="9.140625"/>
  </cols>
  <sheetData>
    <row r="1" ht="14.25" hidden="1" customHeight="1">
      <c r="L1" s="266"/>
      <c r="M1" s="71" t="s">
        <v>14</v>
      </c>
    </row>
    <row r="2" ht="14.25" hidden="1" customHeight="1">
      <c r="M2" s="71">
        <v>0</v>
      </c>
    </row>
    <row r="3" ht="14.25" hidden="1" customHeight="1">
      <c r="M3" s="71">
        <v>0</v>
      </c>
    </row>
    <row r="4" ht="14.25" hidden="1" customHeight="1">
      <c r="M4" s="71">
        <v>0</v>
      </c>
    </row>
    <row r="5" ht="14.25" hidden="1" customHeight="1">
      <c r="M5" s="71">
        <v>0</v>
      </c>
    </row>
    <row r="6" ht="3" customHeight="1">
      <c r="C6" s="94"/>
      <c r="D6" s="72"/>
      <c r="E6" s="72"/>
      <c r="M6" s="71">
        <v>3</v>
      </c>
    </row>
    <row r="7" ht="23.25" customHeight="1">
      <c r="C7" s="94"/>
      <c r="D7" s="2102" t="s">
        <v>1899</v>
      </c>
      <c r="E7" s="2102"/>
      <c r="F7" s="269"/>
      <c r="M7" s="71">
        <v>22</v>
      </c>
    </row>
    <row r="8" ht="3" customHeight="1">
      <c r="C8" s="94"/>
      <c r="D8" s="72"/>
      <c r="E8" s="72"/>
      <c r="M8" s="71">
        <v>3</v>
      </c>
    </row>
    <row r="9" ht="16.800000000000001" customHeight="1">
      <c r="C9" s="94"/>
      <c r="D9" s="107" t="s">
        <v>88</v>
      </c>
      <c r="E9" s="110" t="s">
        <v>287</v>
      </c>
      <c r="M9" s="71">
        <v>16</v>
      </c>
    </row>
    <row r="10" ht="12.75" customHeight="1">
      <c r="C10" s="94"/>
      <c r="D10" s="89" t="s">
        <v>110</v>
      </c>
      <c r="E10" s="89" t="s">
        <v>111</v>
      </c>
      <c r="M10" s="71">
        <v>12</v>
      </c>
    </row>
    <row r="11" ht="15" hidden="1" customHeight="1">
      <c r="C11" s="94"/>
      <c r="D11" s="115">
        <v>0</v>
      </c>
      <c r="E11" s="151"/>
      <c r="M11" s="71">
        <v>0</v>
      </c>
    </row>
    <row r="12" ht="14.65" customHeight="1">
      <c r="C12" s="94"/>
      <c r="D12" s="111"/>
      <c r="E12" s="109" t="s">
        <v>1897</v>
      </c>
      <c r="M12" s="71">
        <v>14</v>
      </c>
    </row>
    <row r="13" ht="14.25" hidden="1" customHeight="1">
      <c r="A13" s="71" t="s">
        <v>82</v>
      </c>
      <c r="B13" s="71">
        <v>0</v>
      </c>
      <c r="C13" s="93">
        <v>3</v>
      </c>
      <c r="D13" s="71">
        <v>6</v>
      </c>
      <c r="E13" s="71">
        <v>94</v>
      </c>
      <c r="F13" s="71">
        <v>8</v>
      </c>
      <c r="G13" s="71">
        <v>8</v>
      </c>
      <c r="H13" s="71">
        <v>8</v>
      </c>
      <c r="I13" s="71">
        <v>8</v>
      </c>
      <c r="J13" s="71">
        <v>8</v>
      </c>
      <c r="K13" s="71">
        <v>8</v>
      </c>
      <c r="L13" s="71">
        <v>8</v>
      </c>
      <c r="M13" s="71">
        <v>14</v>
      </c>
    </row>
  </sheetData>
  <sheetProtection autoFilter="0" deleteColumns="0" deleteRows="0" formatColumns="0" formatRows="0" insertColumns="1" insertRows="0" sort="0"/>
  <mergeCells count="1">
    <mergeCell ref="D7:E7"/>
  </mergeCells>
  <pageMargins left="0.75" right="0.75" top="1" bottom="1" header="0.5" footer="0.5"/>
  <pageSetup paperSize="9" scale="94"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430098-006D-4D98-A6DA-00B600CB004A}" type="textLength" allowBlank="1" error="Допускается ввод не более 900 символов!" errorTitle="Ошибка" operator="lessThanOrEqual"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A1" sqref="A1"/>
    </sheetView>
  </sheetViews>
  <sheetFormatPr defaultColWidth="9.140625" defaultRowHeight="11.25" customHeight="1"/>
  <cols>
    <col hidden="1" min="1" max="2" style="1852" width="9.140625"/>
    <col customWidth="1" min="3" max="4" style="1852" width="3.00390625"/>
    <col customWidth="1" min="5" max="6" style="1852" width="15.00390625"/>
    <col customWidth="1" min="7" max="7" style="1852" width="11.57421875"/>
    <col customWidth="1" min="8" max="9" style="1852" width="3.00390625"/>
    <col customWidth="1" min="10" max="10" style="1852" width="12.00390625"/>
    <col customWidth="1" min="11" max="11" style="1852" width="0.28125"/>
    <col customWidth="1" min="12" max="13" style="1852" width="10.00390625"/>
    <col customWidth="1" min="14" max="15" style="1852" width="3.00390625"/>
    <col customWidth="1" min="16" max="16" style="1852" width="19.00390625"/>
    <col customWidth="1" min="17" max="17" style="1852" width="0.28125"/>
    <col customWidth="1" min="18" max="19" style="1852" width="10.00390625"/>
    <col customWidth="1" min="20" max="21" style="1852" width="3.00390625"/>
    <col customWidth="1" min="22" max="22" style="1852" width="25.00390625"/>
    <col customWidth="1" min="23" max="23" style="1852" width="0.28125"/>
    <col customWidth="1" min="24" max="25" style="1852" width="10.00390625"/>
    <col customWidth="1" min="26" max="27" style="1852" width="3.00390625"/>
    <col customWidth="1" min="28" max="28" style="1852" width="16.00390625"/>
    <col customWidth="1" min="29" max="29" style="1852" width="0.28125"/>
    <col customWidth="1" min="30" max="31" style="1852" width="10.00390625"/>
    <col customWidth="1" min="32" max="33" style="1852" width="3.00390625"/>
    <col customWidth="1" min="34" max="34" style="1852" width="8.00390625"/>
    <col customWidth="1" min="35" max="35" style="1852" width="21.00390625"/>
    <col customWidth="1" min="36" max="36" style="1852" width="8.00390625"/>
    <col customWidth="1" min="37" max="37" style="360" width="8.00390625"/>
    <col customWidth="1" min="38" max="64" style="1852" width="8.00390625"/>
    <col hidden="1" min="65" max="65" style="1852" width="9.140625"/>
  </cols>
  <sheetData>
    <row r="1" s="1318" customFormat="1" ht="11.25" hidden="1" customHeight="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r="2" s="1555" customFormat="1" ht="11.25" hidden="1" customHeight="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r="3" s="1556" customFormat="1" ht="11.5" customHeight="1">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r="4" s="1821" customFormat="1" ht="34.5" customHeight="1">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r="5" s="1821" customFormat="1" ht="14.65" customHeight="1">
      <c r="A5" s="1634"/>
      <c r="B5" s="1633"/>
      <c r="C5" s="1517"/>
      <c r="D5" s="2178" t="str">
        <f>IF(org=0,"Не определено",org)</f>
        <v xml:space="preserve">филиал ПАО "ОГК-2" - Рязанская ГРЭС</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r="6" s="1821" customFormat="1" ht="14.65" customHeight="1">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r="7" s="1318" customFormat="1" ht="1.05" customHeight="1">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r="8" ht="33.75" customHeight="1">
      <c r="D8" s="2129" t="s">
        <v>88</v>
      </c>
      <c r="E8" s="2129" t="s">
        <v>106</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r="9" ht="23.25" customHeight="1">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r="10" ht="24" customHeight="1">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r="11" ht="15" customHeight="1">
      <c r="D11" s="2185" t="s">
        <v>110</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r="12" ht="14.65" customHeight="1">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r="13" ht="14.65" customHeight="1">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r="14" ht="14.65" customHeight="1">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r="15" ht="11.5" customHeight="1">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r="16" s="1556" customFormat="1" ht="11.5" customHeight="1">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r="17" ht="15" customHeight="1">
      <c r="D17" s="2185" t="s">
        <v>111</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r="18" ht="14.65" customHeight="1">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r="19" ht="14.65" customHeight="1">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r="20" ht="14.65" customHeight="1">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r="21" ht="11.5" customHeight="1">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r="22" s="1556" customFormat="1" ht="11.5" customHeight="1">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r="23" ht="15" customHeight="1">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r="24" ht="14.65" customHeight="1">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r="25" ht="14.65" customHeight="1">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r="26" ht="14.65" customHeight="1">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r="27" ht="11.5" customHeight="1">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r="28" s="1556" customFormat="1" ht="11.5" customHeight="1">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r="29" ht="15" customHeight="1">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r="30" ht="14.65" customHeight="1">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r="31" ht="14.65" customHeight="1">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r="32" ht="14.65" customHeight="1">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r="33" ht="11.5" customHeight="1">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r="34" s="1556" customFormat="1" ht="11.5" customHeight="1">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r="35" ht="15" customHeight="1">
      <c r="D35" s="2185" t="s">
        <v>112</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r="36" ht="14.65" customHeight="1">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r="37" ht="14.65" customHeight="1">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r="38" ht="14.65" customHeight="1">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r="39" ht="11.5" customHeight="1">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r="40" s="1556" customFormat="1" ht="11.5" customHeight="1">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r="41" ht="11.5" customHeight="1">
      <c r="AK41" s="425"/>
      <c r="BM41" s="295">
        <v>11</v>
      </c>
    </row>
    <row r="42" ht="11.5" customHeight="1">
      <c r="AK42" s="425"/>
      <c r="BM42" s="295">
        <v>11</v>
      </c>
    </row>
    <row r="43" ht="11.5" customHeight="1">
      <c r="AK43" s="425"/>
      <c r="BM43" s="295">
        <v>11</v>
      </c>
    </row>
    <row r="44" ht="11.5" customHeight="1">
      <c r="AK44" s="425"/>
      <c r="BM44" s="295">
        <v>11</v>
      </c>
    </row>
    <row r="45" ht="11.5" customHeight="1">
      <c r="AK45" s="425"/>
      <c r="BM45" s="295">
        <v>11</v>
      </c>
    </row>
    <row r="46" ht="11.5" customHeight="1">
      <c r="AK46" s="425"/>
      <c r="BM46" s="295">
        <v>11</v>
      </c>
    </row>
    <row r="47" ht="11.5" customHeight="1">
      <c r="AK47" s="425"/>
      <c r="BM47" s="295">
        <v>11</v>
      </c>
    </row>
    <row r="48" ht="11.5" customHeight="1">
      <c r="AK48" s="425"/>
      <c r="BM48" s="295">
        <v>11</v>
      </c>
    </row>
    <row r="49" ht="11.5" customHeight="1">
      <c r="AK49" s="425"/>
      <c r="BM49" s="295">
        <v>11</v>
      </c>
    </row>
    <row r="50" ht="11.25" hidden="1" customHeight="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autoFilter="0" deleteColumns="0" deleteRows="0" formatColumns="0" formatRows="0" insertColumns="1" insertRows="0" sort="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4100C0-0023-4C1A-949B-00F000720007}" type="textLength" allowBlank="1" error="Допускается ввод не более 900 символов!" errorTitle="Ошибка" operator="lessThanOrEqual" showErrorMessage="1" showInputMessage="1">
          <x14:formula1>
            <xm:f>900</xm:f>
          </x14:formula1>
          <xm:sqref>AI29 AI23 P17:P20 J23:J27 J29:J33 AI35 J35:J39 P35:P38 P29:P32 AI17 J17:J21 P23:P26 AI11 J11:J15 P11:P14</xm:sqref>
        </x14:dataValidation>
        <x14:dataValidation xr:uid="{00F900B6-0097-4A58-876F-00F300FF0018}" type="list" allowBlank="1" error="Выберите значение из списка" errorStyle="warning" errorTitle="Ошибка" prompt="Выберите значение из списка или укажите свой вид твердых коммунальных отходов" showInputMessage="1">
          <x14:formula1>
            <xm:f>list_typeTKO</xm:f>
          </x14:formula1>
          <xm:sqref>AC17 AC23 AC35 AC29 AC11</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A1" sqref="A1"/>
    </sheetView>
  </sheetViews>
  <sheetFormatPr defaultColWidth="9.140625" defaultRowHeight="11.25" customHeight="1"/>
  <cols>
    <col customWidth="1" min="1" max="1" style="1852" width="1.7109375"/>
    <col customWidth="1" min="2" max="2" style="1852" width="34.57421875"/>
    <col customWidth="1" min="3" max="3" style="1852" width="85.00390625"/>
    <col customWidth="1" min="4" max="4" style="1852" width="17.00390625"/>
    <col customWidth="1" min="5" max="5" style="1852" width="8.00390625"/>
    <col hidden="1" min="6" max="6" style="1852" width="9.140625"/>
  </cols>
  <sheetData>
    <row r="1" ht="3" customHeight="1">
      <c r="F1" s="91" t="s">
        <v>14</v>
      </c>
    </row>
    <row r="2" ht="22.5" customHeight="1">
      <c r="B2" s="2615" t="s">
        <v>1900</v>
      </c>
      <c r="C2" s="2502"/>
      <c r="D2" s="2502"/>
      <c r="E2" s="270"/>
      <c r="F2" s="91">
        <v>22</v>
      </c>
    </row>
    <row r="3" ht="3" customHeight="1">
      <c r="F3" s="91">
        <v>3</v>
      </c>
    </row>
    <row r="4" ht="23.25" customHeight="1">
      <c r="B4" s="2616" t="s">
        <v>1901</v>
      </c>
      <c r="C4" s="385" t="s">
        <v>1902</v>
      </c>
      <c r="D4" s="385" t="s">
        <v>1903</v>
      </c>
      <c r="F4" s="91">
        <v>22</v>
      </c>
    </row>
    <row r="5" ht="11.25" hidden="1" customHeight="1">
      <c r="A5" s="91" t="s">
        <v>82</v>
      </c>
      <c r="B5" s="91">
        <v>34</v>
      </c>
      <c r="C5" s="91">
        <v>85</v>
      </c>
      <c r="D5" s="91">
        <v>17</v>
      </c>
      <c r="E5" s="91">
        <v>8</v>
      </c>
      <c r="F5" s="91">
        <v>11</v>
      </c>
    </row>
  </sheetData>
  <sheetProtection autoFilter="0" deleteColumns="0" deleteRows="0" formatColumns="0" formatRows="0" insertColumns="1" insertRows="0" sort="0"/>
  <mergeCells count="1">
    <mergeCell ref="B2:D2"/>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zoomScale="85" workbookViewId="0">
      <selection activeCell="A1" sqref="A1"/>
    </sheetView>
  </sheetViews>
  <sheetFormatPr defaultColWidth="9.140625" defaultRowHeight="17.100000000000001" customHeight="1"/>
  <cols>
    <col customWidth="1" min="1" max="1" style="1852" width="26.57421875"/>
    <col customWidth="1" min="2" max="2" style="1852" width="10.00390625"/>
    <col min="3" max="3" style="1852" width="9.140625"/>
    <col customWidth="1" min="4" max="4" style="1852" width="11.140625"/>
    <col customWidth="1" min="5" max="5" style="1852" width="16.57421875"/>
    <col customWidth="1" min="6" max="6" style="1852" width="16.28125"/>
    <col customWidth="1" min="7" max="7" style="1852" width="19.140625"/>
    <col customWidth="1" min="8" max="11" style="1852" width="10.00390625"/>
    <col customWidth="1" min="12" max="12" style="1852" width="12.7109375"/>
    <col customWidth="1" min="13" max="13" style="1852" width="61.28125"/>
    <col customWidth="1" min="14" max="14" style="1852" width="10.00390625"/>
    <col customWidth="1" min="15" max="17" style="1852" width="23.7109375"/>
    <col customWidth="1" min="18" max="18" style="1852" width="11.7109375"/>
    <col customWidth="1" min="19" max="19" style="1852" width="8.57421875"/>
    <col customWidth="1" min="20" max="20" style="1852" width="11.7109375"/>
    <col customWidth="1" min="21" max="21" style="1852" width="8.57421875"/>
    <col customWidth="1" min="22" max="22" style="1852" width="4.7109375"/>
    <col customWidth="1" min="23" max="23" style="1852" width="115.7109375"/>
    <col customWidth="1" min="24" max="24" style="1852" width="115.28125"/>
    <col min="25" max="27" style="1852" width="9.140625"/>
    <col customWidth="1" min="28" max="28" style="1852" width="115.7109375"/>
    <col min="29" max="29" style="1852" width="9.140625"/>
    <col customWidth="1" min="30" max="90" style="1852" width="115.7109375"/>
    <col min="91" max="184" style="1852" width="9.140625"/>
  </cols>
  <sheetData>
    <row r="2" s="1817" customFormat="1" ht="17.25" customHeight="1">
      <c r="A2" s="1817" t="s">
        <v>1904</v>
      </c>
    </row>
    <row r="4" s="266" customFormat="1" ht="15" customHeight="1">
      <c r="C4" s="1818"/>
      <c r="D4" s="115"/>
      <c r="E4" s="379"/>
    </row>
    <row r="6" s="1817" customFormat="1" ht="17.25" customHeight="1">
      <c r="A6" s="1817" t="s">
        <v>1905</v>
      </c>
    </row>
    <row r="8" s="266" customFormat="1" ht="17.25" customHeight="1">
      <c r="C8" s="1819"/>
      <c r="D8" s="115"/>
      <c r="E8" s="116"/>
    </row>
    <row r="11" s="1817" customFormat="1" ht="17.25" customHeight="1">
      <c r="A11" s="1817" t="s">
        <v>1906</v>
      </c>
    </row>
    <row r="13" s="1821" customFormat="1" ht="15" customHeight="1">
      <c r="A13" s="2219">
        <v>1</v>
      </c>
      <c r="B13" s="1162"/>
      <c r="C13" s="803" t="s">
        <v>689</v>
      </c>
      <c r="D13" s="1820"/>
      <c r="E13" s="1807">
        <f>A13</f>
        <v>1</v>
      </c>
      <c r="F13" s="806"/>
      <c r="G13" s="542" t="str">
        <f>"Территория "&amp;E13</f>
        <v xml:space="preserve">Территория 1</v>
      </c>
      <c r="H13" s="794"/>
      <c r="I13" s="794"/>
      <c r="J13" s="791"/>
      <c r="K13" s="1626"/>
      <c r="L13" s="1626"/>
      <c r="M13" s="1626"/>
      <c r="N13" s="228"/>
      <c r="O13" s="1626"/>
      <c r="P13" s="227"/>
      <c r="Q13" s="227"/>
      <c r="R13" s="227"/>
      <c r="S13" s="227"/>
    </row>
    <row r="14" s="1852" customFormat="1" ht="15" customHeight="1">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r="15" s="1852" customFormat="1" ht="15" customHeight="1">
      <c r="A15" s="2219"/>
      <c r="B15" s="1162"/>
      <c r="C15" s="414"/>
      <c r="D15" s="803"/>
      <c r="E15" s="423"/>
      <c r="F15" s="179"/>
      <c r="G15" s="417" t="s">
        <v>103</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ht="17.25" customHeight="1">
      <c r="A17" s="1817" t="s">
        <v>1907</v>
      </c>
    </row>
    <row r="19" s="1852" customFormat="1" ht="15" customHeight="1">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ht="15" customHeight="1">
      <c r="A21" s="1817" t="s">
        <v>1908</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r="22" s="1852" customFormat="1" ht="15" customHeight="1">
      <c r="U22" s="187"/>
    </row>
    <row r="23" s="1855" customFormat="1" ht="15" customHeight="1">
      <c r="A23" s="425"/>
      <c r="B23" s="425"/>
      <c r="C23" s="1730" t="s">
        <v>689</v>
      </c>
      <c r="D23" s="2110" t="s">
        <v>110</v>
      </c>
      <c r="E23" s="2111"/>
      <c r="F23" s="2109" t="s">
        <v>19</v>
      </c>
      <c r="G23" s="2559"/>
      <c r="H23" s="2129">
        <v>1</v>
      </c>
      <c r="I23" s="2561" t="str">
        <f>IF(U23="","",INDEX(TERRITORY_MR_LIST,MATCH(U23,TERRITORY_LIST_ID,0)))</f>
        <v/>
      </c>
      <c r="J23" s="2109" t="s">
        <v>19</v>
      </c>
      <c r="K23" s="834"/>
      <c r="L23" s="1784" t="s">
        <v>110</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r="24" s="1855" customFormat="1" ht="15" customHeight="1">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r="25" s="1855" customFormat="1" ht="15" customHeight="1">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r="26" s="1852" customFormat="1" ht="15" customHeight="1">
      <c r="U26" s="187"/>
    </row>
    <row r="27" s="1852" customFormat="1" ht="15" customHeight="1">
      <c r="A27" s="1817" t="s">
        <v>1909</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r="28" s="1852" customFormat="1" ht="15" customHeight="1">
      <c r="U28" s="187"/>
    </row>
    <row r="29" s="1855" customFormat="1" ht="15" customHeight="1">
      <c r="A29" s="425"/>
      <c r="B29" s="425"/>
      <c r="C29" s="178"/>
      <c r="D29" s="1823"/>
      <c r="E29" s="1823"/>
      <c r="F29" s="1823"/>
      <c r="G29" s="2563" t="s">
        <v>689</v>
      </c>
      <c r="H29" s="2105">
        <v>1</v>
      </c>
      <c r="I29" s="2564" t="str">
        <f>IF(U29="","",INDEX(TERRITORY_MR_LIST,MATCH(U29,TERRITORY_LIST_ID,0)))</f>
        <v/>
      </c>
      <c r="J29" s="2109" t="s">
        <v>19</v>
      </c>
      <c r="K29" s="834"/>
      <c r="L29" s="1784" t="s">
        <v>110</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r="30" s="1855" customFormat="1" ht="15" customHeight="1">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r="31" s="1852" customFormat="1" ht="15" customHeight="1">
      <c r="U31" s="187"/>
    </row>
    <row r="32" s="1852" customFormat="1" ht="15" customHeight="1">
      <c r="A32" s="1817" t="s">
        <v>1910</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r="33" s="1852" customFormat="1" ht="15" customHeight="1">
      <c r="U33" s="187"/>
    </row>
    <row r="34" s="1855" customFormat="1" ht="15" customHeight="1">
      <c r="A34" s="425"/>
      <c r="B34" s="425"/>
      <c r="C34" s="178"/>
      <c r="D34" s="1823"/>
      <c r="E34" s="1823"/>
      <c r="F34" s="1823"/>
      <c r="G34" s="1823"/>
      <c r="H34" s="1823"/>
      <c r="I34" s="1823"/>
      <c r="J34" s="1823"/>
      <c r="K34" s="1801" t="s">
        <v>689</v>
      </c>
      <c r="L34" s="1731" t="s">
        <v>110</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r="35" s="1852" customFormat="1" ht="15" customHeight="1">
      <c r="U35" s="187"/>
    </row>
    <row r="36" s="1852" customFormat="1" ht="15" customHeight="1">
      <c r="U36" s="187"/>
    </row>
    <row r="37" s="1817" customFormat="1" ht="11.25" customHeight="1">
      <c r="A37" s="1817" t="s">
        <v>1911</v>
      </c>
    </row>
    <row r="38" ht="11.25" customHeight="1"/>
    <row r="39" s="457" customFormat="1" ht="22.5" customHeight="1">
      <c r="A39" s="1793"/>
      <c r="B39" s="459"/>
      <c r="C39" s="861"/>
      <c r="D39" s="442"/>
      <c r="E39" s="862"/>
      <c r="F39" s="1814"/>
      <c r="G39" s="1824"/>
      <c r="H39" s="477"/>
    </row>
    <row r="40" ht="11.25" customHeight="1"/>
    <row r="41" s="1817" customFormat="1" ht="11.25" customHeight="1">
      <c r="A41" s="1817" t="s">
        <v>1912</v>
      </c>
    </row>
    <row r="42" ht="11.25" customHeight="1"/>
    <row r="43" s="457" customFormat="1" ht="22.5" customHeight="1">
      <c r="A43" s="459"/>
      <c r="B43" s="459"/>
      <c r="C43" s="459"/>
      <c r="D43" s="442"/>
      <c r="E43" s="862"/>
      <c r="F43" s="863"/>
      <c r="G43" s="1824"/>
      <c r="H43" s="477"/>
    </row>
    <row r="44" ht="11.25" customHeight="1"/>
    <row r="45" s="1817" customFormat="1" ht="11.25" customHeight="1">
      <c r="A45" s="1817" t="s">
        <v>1913</v>
      </c>
    </row>
    <row r="46" ht="11.25" customHeight="1"/>
    <row r="47" s="457" customFormat="1" ht="24" customHeight="1">
      <c r="A47" s="2204" t="s">
        <v>313</v>
      </c>
      <c r="B47" s="504"/>
      <c r="C47" s="2215"/>
      <c r="D47" s="447" t="str">
        <f>A47</f>
        <v>5.1</v>
      </c>
      <c r="E47" s="444" t="s">
        <v>314</v>
      </c>
      <c r="F47" s="1978" t="s">
        <v>306</v>
      </c>
      <c r="G47" s="446" t="s">
        <v>315</v>
      </c>
      <c r="H47" s="477"/>
      <c r="I47" s="854"/>
    </row>
    <row r="48" s="457" customFormat="1" ht="22.5" customHeight="1">
      <c r="A48" s="2204"/>
      <c r="B48" s="504"/>
      <c r="C48" s="2215"/>
      <c r="D48" s="442" t="str">
        <f>D47&amp;".1"</f>
        <v>5.1.1</v>
      </c>
      <c r="E48" s="441" t="s">
        <v>316</v>
      </c>
      <c r="F48" s="1979" t="s">
        <v>22</v>
      </c>
      <c r="G48" s="476"/>
      <c r="H48" s="477"/>
      <c r="I48" s="854"/>
    </row>
    <row r="49" s="457" customFormat="1" ht="22.5" customHeight="1">
      <c r="A49" s="2204"/>
      <c r="B49" s="504"/>
      <c r="C49" s="2215"/>
      <c r="D49" s="442" t="str">
        <f>D47&amp;".2"</f>
        <v>5.1.2</v>
      </c>
      <c r="E49" s="441" t="s">
        <v>317</v>
      </c>
      <c r="F49" s="1734" t="s">
        <v>22</v>
      </c>
      <c r="G49" s="446" t="s">
        <v>318</v>
      </c>
      <c r="H49" s="477"/>
      <c r="I49" s="854"/>
    </row>
    <row r="50" s="457" customFormat="1" ht="22.5" customHeight="1">
      <c r="A50" s="2204"/>
      <c r="B50" s="504"/>
      <c r="C50" s="2215"/>
      <c r="D50" s="442" t="str">
        <f>D47&amp;".3"</f>
        <v>5.1.3</v>
      </c>
      <c r="E50" s="441" t="s">
        <v>319</v>
      </c>
      <c r="F50" s="1979" t="s">
        <v>22</v>
      </c>
      <c r="G50" s="476"/>
      <c r="H50" s="477"/>
      <c r="I50" s="854"/>
    </row>
    <row r="51" s="457" customFormat="1" ht="22.5" customHeight="1">
      <c r="A51" s="2204"/>
      <c r="B51" s="504"/>
      <c r="C51" s="2215"/>
      <c r="D51" s="442" t="str">
        <f>D47&amp;".4"</f>
        <v>5.1.4</v>
      </c>
      <c r="E51" s="441" t="s">
        <v>320</v>
      </c>
      <c r="F51" s="1979" t="s">
        <v>22</v>
      </c>
      <c r="G51" s="446" t="s">
        <v>321</v>
      </c>
      <c r="H51" s="477"/>
      <c r="I51" s="854"/>
    </row>
    <row r="54" s="1817" customFormat="1" ht="17.25" customHeight="1">
      <c r="A54" s="1817" t="s">
        <v>1914</v>
      </c>
    </row>
    <row r="56" s="1614" customFormat="1" ht="18.75" customHeight="1">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ht="11.25" customHeight="1">
      <c r="A58" s="1817" t="s">
        <v>1915</v>
      </c>
    </row>
    <row r="60" s="1637" customFormat="1" ht="14.25" customHeight="1">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ht="11.25" customHeight="1">
      <c r="A62" s="1817" t="s">
        <v>1916</v>
      </c>
    </row>
    <row r="64" s="1825" customFormat="1" ht="15" customHeight="1">
      <c r="A64" s="147" t="s">
        <v>90</v>
      </c>
      <c r="B64" s="127" t="s">
        <v>22</v>
      </c>
      <c r="C64" s="1828"/>
      <c r="D64" s="130"/>
      <c r="E64" s="383"/>
      <c r="F64" s="383"/>
      <c r="G64" s="1805"/>
      <c r="H64" s="1827"/>
      <c r="I64" s="1806"/>
      <c r="K64" s="274"/>
      <c r="L64" s="275"/>
    </row>
    <row r="66" s="1817" customFormat="1" ht="11.25" customHeight="1">
      <c r="A66" s="1817" t="s">
        <v>1917</v>
      </c>
    </row>
    <row r="68" s="1637" customFormat="1" ht="14.25" customHeight="1">
      <c r="A68" s="345"/>
      <c r="B68" s="1162"/>
      <c r="C68" s="378"/>
      <c r="D68" s="1812"/>
      <c r="E68" s="888"/>
      <c r="F68" s="1827"/>
      <c r="G68" s="91"/>
      <c r="I68" s="1626"/>
      <c r="J68" s="1626"/>
    </row>
    <row r="70" s="1817" customFormat="1" ht="11.25" customHeight="1">
      <c r="A70" s="1817" t="s">
        <v>1918</v>
      </c>
    </row>
    <row r="72" s="1637" customFormat="1" ht="27" customHeight="1">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1919</v>
      </c>
    </row>
    <row r="73" s="1637" customFormat="1" ht="10.5" customHeight="1">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1920</v>
      </c>
    </row>
    <row r="75" s="1817" customFormat="1" ht="11.25" customHeight="1">
      <c r="A75" s="1817" t="s">
        <v>1921</v>
      </c>
    </row>
    <row r="77" s="1637" customFormat="1" ht="27" customHeight="1">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1919</v>
      </c>
    </row>
    <row r="79" s="1817" customFormat="1" ht="11.25" customHeight="1">
      <c r="A79" s="1817" t="s">
        <v>1922</v>
      </c>
    </row>
    <row r="80" ht="17.25" customHeight="1"/>
    <row r="81" s="1637" customFormat="1" ht="21" customHeight="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r="82" s="1637" customFormat="1" ht="0.75" customHeight="1">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r="83" s="1637" customFormat="1" ht="0.75" customHeight="1">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r="84" s="1637" customFormat="1" ht="0.75" customHeight="1">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r="85" s="1637" customFormat="1" ht="0.75" customHeight="1">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r="86" s="1637" customFormat="1" ht="0.75" customHeight="1">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r="87" s="1637" customFormat="1" ht="12" customHeight="1">
      <c r="A87" s="1168"/>
      <c r="B87" s="1168"/>
      <c r="C87" s="1168"/>
      <c r="D87" s="1162"/>
      <c r="E87" s="1172"/>
      <c r="F87" s="2539"/>
      <c r="G87" s="1192"/>
      <c r="H87" s="1192"/>
      <c r="I87" s="2537" t="s">
        <v>1923</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ht="11.25" customHeight="1">
      <c r="A89" s="1817" t="s">
        <v>1924</v>
      </c>
    </row>
    <row r="91" s="1637" customFormat="1" ht="11.25" customHeight="1">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r="92" s="1637" customFormat="1" ht="11.25" customHeight="1">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r="93" s="1637" customFormat="1" ht="11.25" customHeight="1">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1925</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ht="11.25" customHeight="1">
      <c r="A95" s="1817" t="s">
        <v>1926</v>
      </c>
    </row>
    <row r="97" s="1637" customFormat="1" ht="11.25" customHeight="1">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ht="11.25" customHeight="1">
      <c r="A99" s="1817" t="s">
        <v>1927</v>
      </c>
    </row>
    <row r="101" s="1637" customFormat="1" ht="11.25" customHeight="1">
      <c r="A101" s="1168"/>
      <c r="B101" s="1168"/>
      <c r="C101" s="1168"/>
      <c r="D101" s="1162"/>
      <c r="E101" s="1172"/>
      <c r="F101" s="1831"/>
      <c r="G101" s="1832"/>
      <c r="H101" s="2517" t="s">
        <v>110</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r="102" s="1637" customFormat="1" ht="11.25" customHeight="1">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r="103" s="1637" customFormat="1" ht="11.25" customHeight="1">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r="104" s="1637" customFormat="1" ht="11.25" customHeight="1">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1925</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r="105" s="1637" customFormat="1" ht="11.25" customHeight="1">
      <c r="A105" s="1168"/>
      <c r="B105" s="1168"/>
      <c r="C105" s="1168"/>
      <c r="D105" s="1162"/>
      <c r="E105" s="1172"/>
      <c r="F105" s="1831"/>
      <c r="G105" s="1832"/>
      <c r="H105" s="2517"/>
      <c r="I105" s="2518"/>
      <c r="J105" s="2487"/>
      <c r="K105" s="2519"/>
      <c r="L105" s="2109"/>
      <c r="M105" s="2110"/>
      <c r="N105" s="1177"/>
      <c r="O105" s="1178"/>
      <c r="P105" s="1170" t="s">
        <v>1928</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ht="11.25" customHeight="1">
      <c r="A107" s="1817" t="s">
        <v>1929</v>
      </c>
    </row>
    <row r="108" ht="17.25" customHeight="1"/>
    <row r="109" s="927" customFormat="1" ht="21" customHeight="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r="110" s="927" customFormat="1" ht="24.75" customHeight="1">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r="111" s="927" customFormat="1" ht="12" customHeight="1">
      <c r="A111" s="926"/>
      <c r="B111" s="925"/>
      <c r="C111" s="926"/>
      <c r="D111" s="926"/>
      <c r="E111" s="926"/>
      <c r="F111" s="1215"/>
      <c r="G111" s="1802" t="s">
        <v>1930</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ht="11.25" customHeight="1">
      <c r="A113" s="1817" t="s">
        <v>1931</v>
      </c>
    </row>
    <row r="115" s="1852" customFormat="1" ht="15" customHeight="1">
      <c r="A115" s="625"/>
      <c r="B115" s="626"/>
      <c r="C115" s="626"/>
      <c r="D115" s="2580" t="s">
        <v>110</v>
      </c>
      <c r="E115" s="2379" t="s">
        <v>106</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r="116" s="1852" customFormat="1" ht="15" customHeight="1">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r="117" s="1852" customFormat="1" ht="15" customHeight="1">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r="118" s="1852" customFormat="1" ht="24.75" customHeight="1">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r="119" s="1852" customFormat="1" ht="11.25" hidden="1" customHeight="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r="120" s="1852" customFormat="1" ht="11.25" customHeight="1">
      <c r="A120" s="1808"/>
      <c r="B120" s="1162"/>
      <c r="C120" s="414"/>
      <c r="D120" s="2581"/>
      <c r="E120" s="651" t="s">
        <v>22</v>
      </c>
      <c r="F120" s="1170" t="s">
        <v>22</v>
      </c>
      <c r="G120" s="1170" t="s">
        <v>1932</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r="121" s="1852" customFormat="1" ht="24.75" customHeight="1">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r="122" s="1852" customFormat="1" ht="11.25" hidden="1" customHeight="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r="123" s="1852" customFormat="1" ht="11.25" customHeight="1">
      <c r="A123" s="1808"/>
      <c r="B123" s="1162"/>
      <c r="C123" s="414"/>
      <c r="D123" s="2582"/>
      <c r="E123" s="651" t="s">
        <v>22</v>
      </c>
      <c r="F123" s="1170" t="s">
        <v>22</v>
      </c>
      <c r="G123" s="1170" t="s">
        <v>1932</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ht="11.25" customHeight="1">
      <c r="A125" s="1817" t="s">
        <v>1933</v>
      </c>
    </row>
    <row r="127" s="1852" customFormat="1" ht="15" customHeight="1">
      <c r="A127" s="625"/>
      <c r="B127" s="626"/>
      <c r="C127" s="626"/>
      <c r="D127" s="2580" t="s">
        <v>110</v>
      </c>
      <c r="E127" s="2379" t="s">
        <v>106</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r="128" s="1852" customFormat="1" ht="15" customHeight="1">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r="129" s="1852" customFormat="1" ht="15" customHeight="1">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r="130" s="1852" customFormat="1" ht="24.75" customHeight="1">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r="131" s="1852" customFormat="1" ht="11.25" hidden="1" customHeight="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r="132" s="1852" customFormat="1" ht="11.25" customHeight="1">
      <c r="A132" s="1808"/>
      <c r="B132" s="1162"/>
      <c r="C132" s="414"/>
      <c r="D132" s="2581"/>
      <c r="E132" s="651" t="s">
        <v>22</v>
      </c>
      <c r="F132" s="1170" t="s">
        <v>22</v>
      </c>
      <c r="G132" s="1170" t="s">
        <v>1932</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r="133" s="1318" customFormat="1" ht="5.25" hidden="1" customHeight="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r="134" s="1318" customFormat="1" ht="5.25" hidden="1" customHeight="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r="135" s="1318" customFormat="1" ht="5.25" hidden="1" customHeight="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r="136" ht="17.25" customHeight="1">
      <c r="D136" s="1838"/>
    </row>
    <row r="137" s="1817" customFormat="1" ht="11.25" customHeight="1">
      <c r="A137" s="1817" t="s">
        <v>1934</v>
      </c>
    </row>
    <row r="139" s="1852" customFormat="1" ht="45" customHeight="1">
      <c r="A139" s="1808"/>
      <c r="B139" s="1162"/>
      <c r="C139" s="414"/>
      <c r="D139" s="91"/>
      <c r="E139" s="2574"/>
      <c r="F139" s="2110" t="s">
        <v>110</v>
      </c>
      <c r="G139" s="2577" t="s">
        <v>22</v>
      </c>
      <c r="H139" s="291"/>
      <c r="I139" s="639" t="s">
        <v>110</v>
      </c>
      <c r="J139" s="1809" t="s">
        <v>1935</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r="140" s="1852" customFormat="1" ht="11.25" customHeight="1">
      <c r="A140" s="1808"/>
      <c r="B140" s="1162"/>
      <c r="C140" s="414"/>
      <c r="D140" s="91"/>
      <c r="E140" s="2575"/>
      <c r="F140" s="2110"/>
      <c r="G140" s="2577"/>
      <c r="H140" s="2129"/>
      <c r="I140" s="2517" t="s">
        <v>1023</v>
      </c>
      <c r="J140" s="2571"/>
      <c r="K140" s="2572"/>
      <c r="L140" s="642"/>
      <c r="M140" s="643" t="s">
        <v>110</v>
      </c>
      <c r="N140" s="1797"/>
      <c r="O140" s="644"/>
      <c r="P140" s="645"/>
      <c r="Q140" s="644"/>
      <c r="R140" s="646">
        <v>0</v>
      </c>
      <c r="S140" s="2181"/>
      <c r="T140" s="719"/>
      <c r="U140" s="91"/>
      <c r="V140" s="91"/>
      <c r="AC140" s="91"/>
    </row>
    <row r="141" s="1852" customFormat="1" ht="11.25" customHeight="1">
      <c r="A141" s="1808"/>
      <c r="B141" s="1162"/>
      <c r="C141" s="414"/>
      <c r="D141" s="91"/>
      <c r="E141" s="2575"/>
      <c r="F141" s="2110"/>
      <c r="G141" s="2577"/>
      <c r="H141" s="2129"/>
      <c r="I141" s="2517"/>
      <c r="J141" s="2571"/>
      <c r="K141" s="2573"/>
      <c r="L141" s="647"/>
      <c r="M141" s="648"/>
      <c r="N141" s="649" t="s">
        <v>1936</v>
      </c>
      <c r="O141" s="649"/>
      <c r="P141" s="649"/>
      <c r="Q141" s="649"/>
      <c r="R141" s="650"/>
      <c r="S141" s="2181"/>
      <c r="T141" s="719"/>
      <c r="U141" s="91"/>
      <c r="V141" s="91"/>
      <c r="AC141" s="91"/>
    </row>
    <row r="142" s="1852" customFormat="1" ht="11.25" customHeight="1">
      <c r="A142" s="1808"/>
      <c r="B142" s="1162"/>
      <c r="C142" s="414"/>
      <c r="D142" s="91"/>
      <c r="E142" s="2576"/>
      <c r="F142" s="2110"/>
      <c r="G142" s="2578"/>
      <c r="H142" s="647" t="s">
        <v>22</v>
      </c>
      <c r="I142" s="648"/>
      <c r="J142" s="649" t="s">
        <v>1937</v>
      </c>
      <c r="K142" s="649"/>
      <c r="L142" s="649"/>
      <c r="M142" s="649"/>
      <c r="N142" s="649"/>
      <c r="O142" s="649"/>
      <c r="P142" s="649"/>
      <c r="Q142" s="649"/>
      <c r="R142" s="650"/>
      <c r="S142" s="2181"/>
      <c r="T142" s="719"/>
      <c r="U142" s="91"/>
      <c r="V142" s="91"/>
      <c r="AC142" s="91"/>
    </row>
    <row r="147" s="1852" customFormat="1" ht="11.25" customHeight="1">
      <c r="A147" s="1808"/>
      <c r="B147" s="1162"/>
      <c r="C147" s="414"/>
      <c r="D147" s="91"/>
      <c r="E147" s="1832"/>
      <c r="F147" s="1832"/>
      <c r="G147" s="1832"/>
      <c r="H147" s="2129"/>
      <c r="I147" s="2517" t="s">
        <v>1023</v>
      </c>
      <c r="J147" s="2571"/>
      <c r="K147" s="2572"/>
      <c r="L147" s="642"/>
      <c r="M147" s="643" t="s">
        <v>110</v>
      </c>
      <c r="N147" s="1797"/>
      <c r="O147" s="644"/>
      <c r="P147" s="645"/>
      <c r="Q147" s="644"/>
      <c r="R147" s="646">
        <v>0</v>
      </c>
      <c r="S147" s="91"/>
      <c r="T147" s="719"/>
      <c r="U147" s="91"/>
      <c r="V147" s="91"/>
      <c r="AC147" s="91"/>
    </row>
    <row r="148" s="1852" customFormat="1" ht="11.25" customHeight="1">
      <c r="A148" s="1808"/>
      <c r="B148" s="1162"/>
      <c r="C148" s="414"/>
      <c r="D148" s="91"/>
      <c r="E148" s="1832"/>
      <c r="F148" s="1832"/>
      <c r="G148" s="1832"/>
      <c r="H148" s="2129"/>
      <c r="I148" s="2517"/>
      <c r="J148" s="2571"/>
      <c r="K148" s="2573"/>
      <c r="L148" s="647"/>
      <c r="M148" s="648"/>
      <c r="N148" s="649" t="s">
        <v>1936</v>
      </c>
      <c r="O148" s="649"/>
      <c r="P148" s="649"/>
      <c r="Q148" s="649"/>
      <c r="R148" s="650"/>
      <c r="S148" s="91"/>
      <c r="T148" s="719"/>
      <c r="U148" s="91"/>
      <c r="V148" s="91"/>
      <c r="AC148" s="91"/>
    </row>
    <row r="150" s="1852" customFormat="1" ht="11.25" customHeight="1">
      <c r="A150" s="1808"/>
      <c r="B150" s="1162"/>
      <c r="C150" s="414"/>
      <c r="D150" s="91"/>
      <c r="E150" s="1839"/>
      <c r="F150" s="1837"/>
      <c r="G150" s="1837"/>
      <c r="H150" s="1840"/>
      <c r="I150" s="1832"/>
      <c r="J150" s="1833"/>
      <c r="K150" s="1833"/>
      <c r="L150" s="642"/>
      <c r="M150" s="643" t="s">
        <v>110</v>
      </c>
      <c r="N150" s="1797"/>
      <c r="O150" s="644"/>
      <c r="P150" s="645"/>
      <c r="Q150" s="644"/>
      <c r="R150" s="646">
        <v>0</v>
      </c>
      <c r="S150" s="91"/>
      <c r="T150" s="719"/>
      <c r="U150" s="91"/>
      <c r="V150" s="91"/>
      <c r="AC150" s="91"/>
    </row>
    <row r="152" s="1817" customFormat="1" ht="17.25" customHeight="1">
      <c r="A152" s="1817" t="s">
        <v>1938</v>
      </c>
    </row>
    <row r="153" ht="17.25" customHeight="1">
      <c r="G153" s="1841"/>
      <c r="H153" s="1841"/>
      <c r="I153" s="1841"/>
      <c r="M153" s="1837"/>
    </row>
    <row r="154" s="1855" customFormat="1" ht="17.25" customHeight="1">
      <c r="A154" s="1842"/>
      <c r="C154" s="1844"/>
      <c r="D154" s="2531"/>
      <c r="E154" s="2145"/>
      <c r="F154" s="2147"/>
      <c r="G154" s="2533"/>
      <c r="H154" s="2531"/>
      <c r="I154" s="2531">
        <v>1</v>
      </c>
      <c r="J154" s="2503"/>
      <c r="K154" s="2187" t="s">
        <v>66</v>
      </c>
      <c r="L154" s="2110"/>
      <c r="M154" s="2110" t="s">
        <v>110</v>
      </c>
      <c r="N154" s="2506" t="str">
        <f>IF(Z154="","",INDEX(TERRITORY_MR_LIST,MATCH(Z154,TERRITORY_LIST_ID,0)))</f>
        <v/>
      </c>
      <c r="O154" s="2187" t="s">
        <v>66</v>
      </c>
      <c r="P154" s="2110"/>
      <c r="Q154" s="2110" t="s">
        <v>110</v>
      </c>
      <c r="R154" s="2504" t="s">
        <v>22</v>
      </c>
      <c r="S154" s="2109" t="s">
        <v>66</v>
      </c>
      <c r="T154" s="1813"/>
      <c r="U154" s="1813" t="s">
        <v>110</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r="155" s="1855" customFormat="1" ht="17.25" customHeight="1">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r="156" s="1855" customFormat="1" ht="17.25" customHeight="1">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r="157" s="1855" customFormat="1" ht="17.25" customHeight="1">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r="158" s="1855" customFormat="1" ht="17.25" customHeight="1">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r="159" ht="17.25" customHeight="1">
      <c r="G159" s="1841"/>
      <c r="H159" s="1841"/>
      <c r="I159" s="1841"/>
      <c r="M159" s="1837"/>
    </row>
    <row r="160" s="1855" customFormat="1" ht="17.25" customHeight="1">
      <c r="A160" s="1842"/>
      <c r="C160" s="1844"/>
      <c r="D160" s="1832"/>
      <c r="E160" s="1849"/>
      <c r="F160" s="1786"/>
      <c r="G160" s="1850"/>
      <c r="H160" s="2531"/>
      <c r="I160" s="2531">
        <v>1</v>
      </c>
      <c r="J160" s="2503"/>
      <c r="K160" s="2187" t="s">
        <v>66</v>
      </c>
      <c r="L160" s="2110"/>
      <c r="M160" s="2110" t="s">
        <v>110</v>
      </c>
      <c r="N160" s="2506" t="str">
        <f>IF(Z160="","",INDEX(TERRITORY_MR_LIST,MATCH(Z160,TERRITORY_LIST_ID,0)))</f>
        <v/>
      </c>
      <c r="O160" s="2187" t="s">
        <v>66</v>
      </c>
      <c r="P160" s="2110"/>
      <c r="Q160" s="2110" t="s">
        <v>110</v>
      </c>
      <c r="R160" s="2504" t="s">
        <v>22</v>
      </c>
      <c r="S160" s="2109" t="s">
        <v>66</v>
      </c>
      <c r="T160" s="1813"/>
      <c r="U160" s="1813" t="s">
        <v>110</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r="161" s="1855" customFormat="1" ht="17.25" customHeight="1">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r="162" s="1855" customFormat="1" ht="17.25" customHeight="1">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r="163" s="1855" customFormat="1" ht="17.25" customHeight="1">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r="164" ht="17.25" customHeight="1">
      <c r="G164" s="1841"/>
      <c r="H164" s="1841"/>
      <c r="I164" s="1841"/>
      <c r="M164" s="1837"/>
    </row>
    <row r="165" s="1855" customFormat="1" ht="17.25" customHeight="1">
      <c r="A165" s="1842"/>
      <c r="C165" s="1844"/>
      <c r="D165" s="1832"/>
      <c r="E165" s="1849"/>
      <c r="F165" s="1786"/>
      <c r="G165" s="1850"/>
      <c r="H165" s="1832"/>
      <c r="I165" s="1832"/>
      <c r="J165" s="1851"/>
      <c r="K165" s="1762"/>
      <c r="L165" s="2110"/>
      <c r="M165" s="2110" t="s">
        <v>110</v>
      </c>
      <c r="N165" s="2506" t="str">
        <f>IF(Z165="","",INDEX(TERRITORY_MR_LIST,MATCH(Z165,TERRITORY_LIST_ID,0)))</f>
        <v/>
      </c>
      <c r="O165" s="2187" t="s">
        <v>66</v>
      </c>
      <c r="P165" s="2110"/>
      <c r="Q165" s="2110" t="s">
        <v>110</v>
      </c>
      <c r="R165" s="2504" t="s">
        <v>22</v>
      </c>
      <c r="S165" s="2109" t="s">
        <v>66</v>
      </c>
      <c r="T165" s="1813"/>
      <c r="U165" s="1813" t="s">
        <v>110</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r="166" s="1855" customFormat="1" ht="17.25" customHeight="1">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r="167" s="1855" customFormat="1" ht="17.25" customHeight="1">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r="168" ht="17.25" customHeight="1">
      <c r="G168" s="1841"/>
      <c r="H168" s="1841"/>
      <c r="I168" s="1841"/>
      <c r="M168" s="1837"/>
    </row>
    <row r="169" s="1855" customFormat="1" ht="17.25" customHeight="1">
      <c r="A169" s="1842"/>
      <c r="C169" s="1844"/>
      <c r="D169" s="1832"/>
      <c r="E169" s="1849"/>
      <c r="F169" s="1786"/>
      <c r="G169" s="1850"/>
      <c r="H169" s="1832"/>
      <c r="I169" s="1832"/>
      <c r="J169" s="1851"/>
      <c r="K169" s="1762"/>
      <c r="L169" s="1758"/>
      <c r="M169" s="1758"/>
      <c r="N169" s="2050"/>
      <c r="O169" s="1789"/>
      <c r="P169" s="2110"/>
      <c r="Q169" s="2110" t="s">
        <v>110</v>
      </c>
      <c r="R169" s="2504" t="s">
        <v>22</v>
      </c>
      <c r="S169" s="2109" t="s">
        <v>66</v>
      </c>
      <c r="T169" s="1813"/>
      <c r="U169" s="1813" t="s">
        <v>110</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r="170" s="1855" customFormat="1" ht="17.25" customHeight="1">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r="171" ht="17.25" customHeight="1">
      <c r="G171" s="1841"/>
      <c r="H171" s="1841"/>
      <c r="I171" s="1841"/>
      <c r="M171" s="1837"/>
    </row>
    <row r="172" s="1855" customFormat="1" ht="17.25" customHeight="1">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110</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ht="17.25" customHeight="1">
      <c r="A174" s="1817" t="s">
        <v>1939</v>
      </c>
    </row>
    <row r="175" ht="17.25" customHeight="1">
      <c r="G175" s="1841"/>
      <c r="H175" s="1841"/>
      <c r="I175" s="1841"/>
      <c r="M175" s="1837"/>
    </row>
    <row r="176" s="1855" customFormat="1" ht="17.25" customHeight="1">
      <c r="A176" s="1842"/>
      <c r="C176" s="1844"/>
      <c r="D176" s="2531"/>
      <c r="E176" s="2145"/>
      <c r="F176" s="2147"/>
      <c r="G176" s="2533"/>
      <c r="H176" s="2531"/>
      <c r="I176" s="2531">
        <v>1</v>
      </c>
      <c r="J176" s="2503"/>
      <c r="K176" s="2187" t="s">
        <v>66</v>
      </c>
      <c r="L176" s="2110"/>
      <c r="M176" s="2110" t="s">
        <v>110</v>
      </c>
      <c r="N176" s="2506" t="str">
        <f>IF(Z176="","",INDEX(TERRITORY_MR_LIST,MATCH(Z176,TERRITORY_LIST_ID,0)))</f>
        <v/>
      </c>
      <c r="O176" s="2187" t="s">
        <v>66</v>
      </c>
      <c r="P176" s="2110"/>
      <c r="Q176" s="2110" t="s">
        <v>110</v>
      </c>
      <c r="R176" s="2504" t="s">
        <v>22</v>
      </c>
      <c r="S176" s="2408" t="s">
        <v>19</v>
      </c>
      <c r="T176" s="1804"/>
      <c r="U176" s="1804" t="s">
        <v>110</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r="177" s="1855" customFormat="1" ht="17.25" customHeight="1">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r="178" s="1855" customFormat="1" ht="17.25" customHeight="1">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r="179" s="1855" customFormat="1" ht="17.25" customHeight="1">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r="180" s="1855" customFormat="1" ht="17.25" customHeight="1">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r="181" ht="17.25" customHeight="1">
      <c r="A181" s="1852"/>
    </row>
    <row r="182" s="1855" customFormat="1" ht="17.25" customHeight="1">
      <c r="A182" s="1842"/>
      <c r="C182" s="1844"/>
      <c r="D182" s="1832"/>
      <c r="E182" s="1849"/>
      <c r="F182" s="1786"/>
      <c r="G182" s="1850"/>
      <c r="H182" s="2531"/>
      <c r="I182" s="2531">
        <v>1</v>
      </c>
      <c r="J182" s="2503"/>
      <c r="K182" s="2187" t="s">
        <v>66</v>
      </c>
      <c r="L182" s="2110"/>
      <c r="M182" s="2110" t="s">
        <v>110</v>
      </c>
      <c r="N182" s="2506" t="str">
        <f>IF(Z182="","",INDEX(TERRITORY_MR_LIST,MATCH(Z182,TERRITORY_LIST_ID,0)))</f>
        <v/>
      </c>
      <c r="O182" s="2187" t="s">
        <v>66</v>
      </c>
      <c r="P182" s="2110"/>
      <c r="Q182" s="2110" t="s">
        <v>110</v>
      </c>
      <c r="R182" s="2504" t="s">
        <v>22</v>
      </c>
      <c r="S182" s="2408" t="s">
        <v>19</v>
      </c>
      <c r="T182" s="1804"/>
      <c r="U182" s="1804" t="s">
        <v>110</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r="183" s="1855" customFormat="1" ht="17.25" customHeight="1">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r="184" s="1855" customFormat="1" ht="17.25" customHeight="1">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r="185" s="1855" customFormat="1" ht="17.25" customHeight="1">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r="186" ht="17.25" customHeight="1">
      <c r="A186" s="1852"/>
    </row>
    <row r="187" s="1855" customFormat="1" ht="17.25" customHeight="1">
      <c r="A187" s="1842"/>
      <c r="C187" s="1844"/>
      <c r="D187" s="1832"/>
      <c r="E187" s="1849"/>
      <c r="F187" s="1786"/>
      <c r="G187" s="1850"/>
      <c r="H187" s="1832"/>
      <c r="I187" s="1832"/>
      <c r="J187" s="1853"/>
      <c r="K187" s="1850"/>
      <c r="L187" s="2110"/>
      <c r="M187" s="2110" t="s">
        <v>110</v>
      </c>
      <c r="N187" s="2506" t="str">
        <f>IF(Z187="","",INDEX(TERRITORY_MR_LIST,MATCH(Z187,TERRITORY_LIST_ID,0)))</f>
        <v/>
      </c>
      <c r="O187" s="2187" t="s">
        <v>66</v>
      </c>
      <c r="P187" s="2110"/>
      <c r="Q187" s="2110" t="s">
        <v>110</v>
      </c>
      <c r="R187" s="2504" t="s">
        <v>22</v>
      </c>
      <c r="S187" s="2408" t="s">
        <v>19</v>
      </c>
      <c r="T187" s="1804"/>
      <c r="U187" s="1804" t="s">
        <v>110</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r="188" s="1855" customFormat="1" ht="17.25" customHeight="1">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r="189" s="1855" customFormat="1" ht="17.25" customHeight="1">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r="190" ht="17.25" customHeight="1">
      <c r="A190" s="1852"/>
    </row>
    <row r="191" s="1855" customFormat="1" ht="17.25" customHeight="1">
      <c r="A191" s="1842"/>
      <c r="C191" s="1844"/>
      <c r="D191" s="1832"/>
      <c r="E191" s="1849"/>
      <c r="F191" s="1786"/>
      <c r="G191" s="1850"/>
      <c r="H191" s="1832"/>
      <c r="I191" s="1832"/>
      <c r="J191" s="1853"/>
      <c r="K191" s="1850"/>
      <c r="L191" s="1832"/>
      <c r="M191" s="1832"/>
      <c r="N191" s="2050"/>
      <c r="O191" s="1789"/>
      <c r="P191" s="2110"/>
      <c r="Q191" s="2110" t="s">
        <v>110</v>
      </c>
      <c r="R191" s="2504" t="s">
        <v>22</v>
      </c>
      <c r="S191" s="2408" t="s">
        <v>19</v>
      </c>
      <c r="T191" s="1804"/>
      <c r="U191" s="1804" t="s">
        <v>110</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r="192" s="1855" customFormat="1" ht="17.25" customHeight="1">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r="193" ht="17.25" customHeight="1">
      <c r="A193" s="1852"/>
    </row>
    <row r="194" ht="16.5" customHeight="1">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r="195" ht="16.5" customHeight="1">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r="196" ht="17.25" customHeight="1">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r="197" ht="17.25" customHeight="1">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r="198" ht="17.25" customHeight="1">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ht="17.25" customHeight="1">
      <c r="A200" s="1817" t="s">
        <v>1940</v>
      </c>
    </row>
    <row r="201" ht="17.25" customHeight="1">
      <c r="G201" s="1841"/>
      <c r="H201" s="1841"/>
      <c r="I201" s="1841"/>
      <c r="M201" s="1837"/>
    </row>
    <row r="202" s="1852" customFormat="1" ht="15" customHeight="1">
      <c r="D202" s="2525"/>
      <c r="E202" s="2201"/>
      <c r="F202" s="2201"/>
      <c r="G202" s="2187"/>
      <c r="H202" s="1566"/>
      <c r="I202" s="2529">
        <v>1</v>
      </c>
      <c r="J202" s="2503"/>
      <c r="K202" s="1581"/>
      <c r="L202" s="2187" t="s">
        <v>66</v>
      </c>
      <c r="M202" s="2187" t="s">
        <v>66</v>
      </c>
      <c r="N202" s="1566"/>
      <c r="O202" s="2110" t="s">
        <v>110</v>
      </c>
      <c r="P202" s="2519"/>
      <c r="Q202" s="1582"/>
      <c r="R202" s="2187" t="s">
        <v>66</v>
      </c>
      <c r="S202" s="2187" t="s">
        <v>66</v>
      </c>
      <c r="T202" s="1857"/>
      <c r="U202" s="2110" t="s">
        <v>110</v>
      </c>
      <c r="V202" s="2526" t="str">
        <f>IF(AK202="","",INDEX(TERRITORY_MR_LIST,MATCH(AK202,TERRITORY_LIST_ID,0)))</f>
        <v/>
      </c>
      <c r="W202" s="1583"/>
      <c r="X202" s="2187" t="s">
        <v>66</v>
      </c>
      <c r="Y202" s="2187" t="s">
        <v>19</v>
      </c>
      <c r="Z202" s="1566"/>
      <c r="AA202" s="2110" t="s">
        <v>110</v>
      </c>
      <c r="AB202" s="2528"/>
      <c r="AC202" s="1584"/>
      <c r="AD202" s="2187" t="s">
        <v>66</v>
      </c>
      <c r="AE202" s="2187" t="s">
        <v>19</v>
      </c>
      <c r="AF202" s="1564"/>
      <c r="AG202" s="1813" t="s">
        <v>110</v>
      </c>
      <c r="AH202" s="1574"/>
      <c r="AI202" s="1803"/>
    </row>
    <row r="203" s="1852" customFormat="1" ht="15" customHeight="1">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1941</v>
      </c>
      <c r="AI203" s="2521"/>
    </row>
    <row r="204" s="1852" customFormat="1" ht="15" customHeight="1">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1942</v>
      </c>
      <c r="AC204" s="2522"/>
      <c r="AD204" s="2522"/>
      <c r="AE204" s="2522"/>
      <c r="AF204" s="2522"/>
      <c r="AG204" s="2522"/>
      <c r="AH204" s="2522"/>
      <c r="AI204" s="2523"/>
    </row>
    <row r="205" s="1852" customFormat="1" ht="15" customHeight="1">
      <c r="D205" s="2525"/>
      <c r="E205" s="2201"/>
      <c r="F205" s="2201"/>
      <c r="G205" s="2188"/>
      <c r="H205" s="1566"/>
      <c r="I205" s="2529"/>
      <c r="J205" s="2503"/>
      <c r="K205" s="1565"/>
      <c r="L205" s="2188"/>
      <c r="M205" s="2188"/>
      <c r="N205" s="1566"/>
      <c r="O205" s="2110"/>
      <c r="P205" s="2524"/>
      <c r="Q205" s="1562"/>
      <c r="R205" s="2188"/>
      <c r="S205" s="2188"/>
      <c r="T205" s="1858"/>
      <c r="U205" s="1606"/>
      <c r="V205" s="2520" t="s">
        <v>104</v>
      </c>
      <c r="W205" s="2520"/>
      <c r="X205" s="2520"/>
      <c r="Y205" s="2520"/>
      <c r="Z205" s="2520"/>
      <c r="AA205" s="2520"/>
      <c r="AB205" s="2520"/>
      <c r="AC205" s="2520"/>
      <c r="AD205" s="2520"/>
      <c r="AE205" s="2520"/>
      <c r="AF205" s="2520"/>
      <c r="AG205" s="2520"/>
      <c r="AH205" s="2520"/>
      <c r="AI205" s="2521"/>
    </row>
    <row r="206" s="1852" customFormat="1" ht="11.25" customHeight="1">
      <c r="D206" s="2525"/>
      <c r="E206" s="2201"/>
      <c r="F206" s="2201"/>
      <c r="G206" s="2188"/>
      <c r="H206" s="1570"/>
      <c r="I206" s="2529"/>
      <c r="J206" s="2530"/>
      <c r="K206" s="1565"/>
      <c r="L206" s="2188"/>
      <c r="M206" s="2188"/>
      <c r="N206" s="1570"/>
      <c r="O206" s="1571"/>
      <c r="P206" s="2520" t="s">
        <v>1943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r="207" s="1556" customFormat="1" ht="11.25" customHeight="1">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r="208" ht="17.25" customHeight="1">
      <c r="G208" s="1841"/>
      <c r="I208" s="1841"/>
      <c r="J208" s="1841"/>
      <c r="N208" s="1837"/>
    </row>
    <row r="209" s="1852" customFormat="1" ht="15" customHeight="1">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r="210" s="1852" customFormat="1" ht="15" customHeight="1">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r="211" s="1852" customFormat="1" ht="15" customHeight="1">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r="212" s="1852" customFormat="1" ht="15" customHeight="1">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r="213" s="1852" customFormat="1" ht="11.25" customHeight="1">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r="214" s="1556" customFormat="1" ht="11.25" customHeight="1">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r="215" ht="17.25" customHeight="1">
      <c r="A215" s="1852"/>
    </row>
  </sheetData>
  <sheetProtection autoFilter="0" deleteColumns="0" deleteRows="0" formatColumns="0" formatRows="0" insertColumns="1" insertRows="0" sort="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7">
    <dataValidation sqref="K194:K195 O194:O195 S154:S155 S194:S195 O154 K154 F165:F167 S176:S177 O176 K176 F172 K160 S160:S161 O160 F154:F158 K165 S165:S166 O165 O191 K169 S169:S170 O169 F160:F163 K182 S182:S183 O182 F176:F180 F182:F185 S187:S188 O187 F187:F189 F191:F192 S191:S192 F169:F170" allowBlank="1" prompt="Для выбора выполните двойной щелчок левой клавиши мыши по соответствующей ячейке." showErrorMessage="1" showInputMessage="1"/>
    <dataValidation sqref="G64 T72 I72:J72 X72 T77 I77:J77 X77 F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G165:G167 G172 G154:G158 G191:G192 G160:G163 G176:G180 G182:G185 G187:G189 G169:G170" allowBlank="1" prompt="Выберите виды деятельности, выполнив двойной щелчок левой кнопки мыши по ячейке." showErrorMessage="1" showInputMessage="1"/>
    <dataValidation sqref="J56" allowBlank="1" prompt="Изменение значения по двойному щелчоку левой кнопки мыши" showErrorMessage="1" showInputMessage="1"/>
    <dataValidation sqref="F60"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 sqref="G72 G77" allowBlank="1" prompt="Для выбора ИП необходимо два раза нажать левую кнопку мыши!" promptTitle="Ввод" showErrorMessage="1" showInputMessage="1"/>
    <dataValidation sqref="N154:N156 N176:N178 N160:N162 N165:N167 N169:N170 N182:N184 N187:N189 N191:N192" allowBlank="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dataValidations>
  <pageMargins left="0.75" right="0.75" top="1" bottom="1" header="0.5" footer="0.5"/>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x14:dataValidation xr:uid="{00B70095-0016-418D-AA41-00C900720031}" type="textLength" allowBlank="1" error="Допускается ввод не более 900 символов!" errorTitle="Ошибка" operator="lessThanOrEqual"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 xr:uid="{000B00B7-00FB-4690-8BAC-003A00CD00C2}" type="decimal" allowBlank="1" error="Допускается ввод только неотрицательных чисел!" errorTitle="Ошибка" showErrorMessage="1">
          <x14:formula1>
            <xm:f>0</xm:f>
          </x14:formula1>
          <x14:formula2>
            <xm:f>9.99999999999999E+23</xm:f>
          </x14:formula2>
          <xm:sqref>Q147 O147 O150 Q150 Q140 O140 AC84 AE84 AC92 AE92 AE97 AE103 AC103 AC97 T60 H60:I60 AB60 X60 K60 M60 O60 Q60</xm:sqref>
        </x14:dataValidation>
        <x14:dataValidation xr:uid="{00D800AA-008D-418E-9A94-006100D70002}" type="list" allowBlank="1" error="Выберите значение из списка" errorTitle="Ошиб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x14:formula1>
            <xm:f>DESCRIPTION_TERRITORY</xm:f>
          </x14:formula1>
          <xm:sqref>N194:N196</xm:sqref>
        </x14:dataValidation>
        <x14:dataValidation xr:uid="{00FF0034-00AB-4ECE-A784-001200610058}"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H64 K56 F68</xm:sqref>
        </x14:dataValidation>
        <x14:dataValidation xr:uid="{00D60061-004F-4114-A1D1-00BA00FD001D}"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9900B8-00FC-4596-A714-0045009B001C}" type="textLength" allowBlank="1" error="Допускается ввод не более 900 символов!" operator="lessThan" showErrorMessage="1" showInputMessage="1">
          <x14:formula1>
            <xm:f>900</xm:f>
          </x14:formula1>
          <xm:sqref>M29 M23</xm:sqref>
        </x14:dataValidation>
        <x14:dataValidation xr:uid="{00FE003A-00A3-4CA6-AC45-00F9001900D4}" type="list" allowBlank="1" showErrorMessage="1" showInputMessage="1">
          <x14:formula1>
            <xm:f>DESCRIPTION_TERRITORY</xm:f>
          </x14:formula1>
          <xm:sqref>I34</xm:sqref>
        </x14:dataValidation>
        <x14:dataValidation xr:uid="{001500D2-0024-49F8-8492-00EF004D0004}" type="list" allowBlank="1" error="Выберите значение из списка" errorTitle="Ошибка" prompt="Выберите значение из списка" showErrorMessage="1" showInputMessage="1">
          <x14:formula1>
            <xm:f>kind_of_power_te_unit</xm:f>
          </x14:formula1>
          <xm:sqref>L60</xm:sqref>
        </x14:dataValidation>
        <x14:dataValidation xr:uid="{00F7000B-0020-48DB-9E14-00BF008C0021}" type="whole" allowBlank="1" error="Допускается ввод только неотрицательных целых чисел!" errorTitle="Ошибка" showErrorMessage="1">
          <x14:formula1>
            <xm:f>0</xm:f>
          </x14:formula1>
          <x14:formula2>
            <xm:f>9.99999999999999E+23</xm:f>
          </x14:formula2>
          <xm:sqref>AF91:AF93 AI91:AI93 AF101:AF105 AI101:AI105 AF97 AI97 AF82:AF86 AI82:AI86 N60 P60 U60:V60 Y60:Z60 J60 R60:S60 AC60</xm:sqref>
        </x14:dataValidation>
        <x14:dataValidation xr:uid="{002100EB-005B-4E4D-A7C1-00A3005100BC}" type="list" allowBlank="1" error="Выберите значение из списка" errorTitle="Ошибка" prompt="Выберите значение из списка" showErrorMessage="1" showInputMessage="1">
          <x14:formula1>
            <xm:f>kind_of_purchase_method</xm:f>
          </x14:formula1>
          <xm:sqref>J140:J141 J147:J148 J150</xm:sqref>
        </x14:dataValidation>
        <x14:dataValidation xr:uid="{008C0019-00BE-4788-BB49-008300E40074}" type="list" allowBlank="1" error="Выберите значение из списка" errorTitle="Ошибка" prompt="Выберите значение из списка" showErrorMessage="1" showInputMessage="1">
          <x14:formula1>
            <xm:f>QRE_METHOD_LIST</xm:f>
          </x14:formula1>
          <xm:sqref>H110</xm:sqref>
        </x14:dataValidation>
        <x14:dataValidation xr:uid="{004E0018-0031-4B2C-A1D0-005F0008000B}" type="list" allowBlank="1" error="Выберите значение из списка" errorStyle="warning" errorTitle="Ошибка" prompt="Выберите значение из списка или укажите свой вид твердых коммунальных отходов" showInputMessage="1">
          <x14:formula1>
            <xm:f>list_typeTKO</xm:f>
          </x14:formula1>
          <xm:sqref>AC202 AC209</xm:sqref>
        </x14:dataValidation>
        <x14:dataValidation xr:uid="{00B3008F-008F-41F7-967D-008300D700BD}" type="decimal" allowBlank="1" error="Допускается ввод только действительных чисел!" errorTitle="Ошибка" showErrorMessage="1">
          <x14:formula1>
            <xm:f>-9.99999999999999E+23</xm:f>
          </x14:formula1>
          <x14:formula2>
            <xm:f>9.99999999999999E+23</xm:f>
          </x14:formula2>
          <xm:sqref>CY110:DJ110 BT110:CK110 O110:AB110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43.140625" defaultRowHeight="9" customHeight="1"/>
  <cols>
    <col min="1" max="1" style="842" width="43.140625"/>
    <col hidden="1" min="2" max="2" style="842" width="43.140625"/>
    <col min="3" max="3" style="842" width="43.140625"/>
    <col customWidth="1" min="4" max="5" style="842" width="36.421875"/>
    <col customWidth="1" min="6" max="8" style="983" width="36.421875"/>
  </cols>
  <sheetData>
    <row r="1" ht="9" customHeight="1">
      <c r="A1" s="848" t="s">
        <v>1944</v>
      </c>
      <c r="B1" s="848"/>
      <c r="C1" s="984" t="s">
        <v>1945</v>
      </c>
      <c r="D1" s="982" t="s">
        <v>808</v>
      </c>
      <c r="E1" s="982" t="s">
        <v>854</v>
      </c>
      <c r="F1" s="982" t="s">
        <v>907</v>
      </c>
      <c r="G1" s="982" t="s">
        <v>894</v>
      </c>
      <c r="H1" s="982" t="s">
        <v>1620</v>
      </c>
    </row>
    <row r="2" ht="9" customHeight="1">
      <c r="A2" s="985" t="s">
        <v>1946</v>
      </c>
      <c r="B2" s="985"/>
      <c r="C2" s="986" t="str">
        <f>INDEX(TEMPLATE_NUMBER_FORM_LIST,MATCH(TEMPLATE_SPHERE,TEMPLATE_SPHERE_LIST,0))</f>
        <v>16</v>
      </c>
      <c r="D2" s="985" t="s">
        <v>1469</v>
      </c>
      <c r="E2" s="985" t="s">
        <v>151</v>
      </c>
      <c r="F2" s="987" t="s">
        <v>151</v>
      </c>
      <c r="G2" s="985" t="s">
        <v>151</v>
      </c>
      <c r="H2" s="988"/>
    </row>
    <row r="3" ht="63" customHeight="1">
      <c r="A3" s="848"/>
      <c r="B3" s="848" t="s">
        <v>110</v>
      </c>
      <c r="C3" s="986" t="str">
        <f>IF(TEMPLATE_SPHERE="HEAT",D3,IF(TEMPLATE_SPHERE="TKO",H3,E3))</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r="4" ht="243" customHeight="1">
      <c r="A4" s="848" t="s">
        <v>1948</v>
      </c>
      <c r="B4" s="848" t="s">
        <v>111</v>
      </c>
      <c r="C4" s="986" t="str">
        <f>IF(TEMPLATE_SPHERE="HEAT",D4,IF(TEMPLATE_SPHERE="TKO",H4,E4))</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1949</v>
      </c>
      <c r="E4" s="986"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4" s="985"/>
      <c r="G4" s="985"/>
      <c r="H4" s="848" t="s">
        <v>1950</v>
      </c>
    </row>
    <row r="5" ht="117" customHeight="1">
      <c r="A5" s="848" t="s">
        <v>1951</v>
      </c>
      <c r="B5" s="848" t="s">
        <v>90</v>
      </c>
      <c r="C5" s="986" t="str">
        <f>IF(TEMPLATE_SPHERE="HEAT",D5,IF(TEMPLATE_SPHERE="TKO",H5,E5))</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1953</v>
      </c>
    </row>
    <row r="6" ht="90" customHeight="1">
      <c r="A6" s="848" t="s">
        <v>1954</v>
      </c>
      <c r="B6" s="848" t="s">
        <v>91</v>
      </c>
      <c r="C6" s="986" t="str">
        <f>IF(TEMPLATE_SPHERE="HEAT",D6,E6)</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r="7" ht="45" customHeight="1">
      <c r="A7" s="848" t="s">
        <v>1955</v>
      </c>
      <c r="B7" s="848" t="s">
        <v>112</v>
      </c>
      <c r="C7" s="986" t="str">
        <f>IF(TEMPLATE_SPHERE="HEAT",D7,E7)</f>
        <v xml:space="preserve">Форма 11. Информация о расходах на капитальный и текущий ремонт основных средств</v>
      </c>
      <c r="D7" s="848" t="s">
        <v>1956</v>
      </c>
      <c r="E7" s="848" t="s">
        <v>1957</v>
      </c>
      <c r="F7" s="988"/>
      <c r="G7" s="988"/>
      <c r="H7" s="988"/>
    </row>
    <row r="8" ht="108" customHeight="1">
      <c r="A8" s="848" t="s">
        <v>1958</v>
      </c>
      <c r="B8" s="848" t="s">
        <v>92</v>
      </c>
      <c r="C8" s="986" t="str">
        <f>IF(TEMPLATE_SPHERE="HEAT",D8,E8)</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1157</v>
      </c>
      <c r="E8" s="848" t="s">
        <v>1959</v>
      </c>
      <c r="F8" s="988"/>
      <c r="G8" s="988"/>
      <c r="H8" s="988"/>
    </row>
    <row r="9" ht="99" customHeight="1">
      <c r="A9" s="848" t="s">
        <v>1960</v>
      </c>
      <c r="B9" s="848"/>
      <c r="C9" s="848" t="s">
        <v>1961</v>
      </c>
      <c r="D9" s="848"/>
      <c r="E9" s="848"/>
      <c r="F9" s="988"/>
      <c r="G9" s="988"/>
      <c r="H9" s="988"/>
    </row>
    <row r="10" ht="126" customHeight="1">
      <c r="A10" s="848" t="s">
        <v>1962</v>
      </c>
      <c r="B10" s="848"/>
      <c r="C10" s="848" t="s">
        <v>1963</v>
      </c>
      <c r="D10" s="848"/>
      <c r="E10" s="848"/>
      <c r="F10" s="988"/>
      <c r="G10" s="988"/>
      <c r="H10" s="988"/>
    </row>
    <row r="11" ht="108" customHeight="1">
      <c r="A11" s="848" t="s">
        <v>1964</v>
      </c>
      <c r="B11" s="848"/>
      <c r="C11" s="848" t="s">
        <v>1965</v>
      </c>
      <c r="D11" s="848"/>
      <c r="E11" s="848"/>
      <c r="F11" s="988"/>
      <c r="G11" s="988"/>
      <c r="H11" s="988"/>
    </row>
    <row r="12" ht="54" customHeight="1">
      <c r="A12" s="848" t="s">
        <v>1966</v>
      </c>
      <c r="B12" s="848"/>
      <c r="C12" s="848" t="s">
        <v>1967</v>
      </c>
      <c r="D12" s="848"/>
      <c r="E12" s="848"/>
      <c r="F12" s="988"/>
      <c r="G12" s="988"/>
      <c r="H12" s="988"/>
    </row>
    <row r="13" ht="45" customHeight="1">
      <c r="A13" s="848" t="s">
        <v>1968</v>
      </c>
      <c r="B13" s="848"/>
      <c r="C13" s="848" t="s">
        <v>1969</v>
      </c>
      <c r="D13" s="848"/>
      <c r="E13" s="848"/>
      <c r="F13" s="988"/>
      <c r="G13" s="988"/>
      <c r="H13" s="988"/>
    </row>
    <row r="14" ht="117" customHeight="1">
      <c r="A14" s="848" t="s">
        <v>1970</v>
      </c>
      <c r="B14" s="848"/>
      <c r="C14" s="848" t="s">
        <v>1971</v>
      </c>
      <c r="D14" s="848"/>
      <c r="E14" s="848"/>
      <c r="F14" s="988"/>
      <c r="G14" s="988"/>
      <c r="H14" s="988"/>
    </row>
    <row r="15" ht="117" customHeight="1">
      <c r="A15" s="848" t="s">
        <v>1972</v>
      </c>
      <c r="B15" s="848"/>
      <c r="C15" s="848" t="s">
        <v>1973</v>
      </c>
      <c r="D15" s="848"/>
      <c r="E15" s="848"/>
      <c r="F15" s="988"/>
      <c r="G15" s="988"/>
      <c r="H15" s="988"/>
    </row>
    <row r="16" ht="63" customHeight="1">
      <c r="A16" s="848" t="s">
        <v>1974</v>
      </c>
      <c r="B16" s="848"/>
      <c r="C16" s="848" t="s">
        <v>1975</v>
      </c>
      <c r="D16" s="848"/>
      <c r="E16" s="848"/>
      <c r="F16" s="988"/>
      <c r="G16" s="988"/>
      <c r="H16" s="988"/>
    </row>
    <row r="17" ht="54" customHeight="1">
      <c r="A17" s="848" t="s">
        <v>1976</v>
      </c>
      <c r="B17" s="848"/>
      <c r="C17" s="986" t="s">
        <v>1977</v>
      </c>
      <c r="D17" s="848"/>
      <c r="E17" s="848"/>
      <c r="F17" s="988"/>
      <c r="G17" s="988"/>
      <c r="H17" s="988"/>
    </row>
    <row r="18" ht="27" customHeight="1">
      <c r="A18" s="848" t="s">
        <v>1978</v>
      </c>
      <c r="B18" s="848"/>
      <c r="C18" s="986" t="s">
        <v>1979</v>
      </c>
      <c r="D18" s="848"/>
      <c r="E18" s="848"/>
      <c r="F18" s="988"/>
      <c r="G18" s="988"/>
      <c r="H18" s="988"/>
    </row>
    <row r="19" ht="54" customHeight="1">
      <c r="A19" s="848" t="s">
        <v>1980</v>
      </c>
      <c r="B19" s="848"/>
      <c r="C19" s="986" t="s">
        <v>1981</v>
      </c>
      <c r="D19" s="848"/>
      <c r="E19" s="848"/>
      <c r="F19" s="988"/>
      <c r="G19" s="988"/>
      <c r="H19" s="988"/>
    </row>
    <row r="20" ht="36" customHeight="1">
      <c r="A20" s="848" t="s">
        <v>1982</v>
      </c>
      <c r="B20" s="848"/>
      <c r="C20" s="986" t="s">
        <v>1983</v>
      </c>
      <c r="D20" s="848"/>
      <c r="E20" s="848"/>
      <c r="F20" s="988"/>
      <c r="G20" s="988"/>
      <c r="H20" s="988"/>
    </row>
    <row r="21" ht="36" customHeight="1">
      <c r="A21" s="848" t="s">
        <v>1984</v>
      </c>
      <c r="B21" s="848"/>
      <c r="C21" s="986" t="s">
        <v>1985</v>
      </c>
      <c r="D21" s="848"/>
      <c r="E21" s="848"/>
      <c r="F21" s="988"/>
      <c r="G21" s="988"/>
      <c r="H21" s="988"/>
    </row>
    <row r="22" ht="27" customHeight="1">
      <c r="A22" s="848" t="s">
        <v>1986</v>
      </c>
      <c r="B22" s="848"/>
      <c r="C22" s="986" t="s">
        <v>1987</v>
      </c>
      <c r="D22" s="848"/>
      <c r="E22" s="848"/>
      <c r="F22" s="988"/>
      <c r="G22" s="988"/>
      <c r="H22" s="988"/>
    </row>
    <row r="23" ht="36" customHeight="1">
      <c r="A23" s="848" t="s">
        <v>1988</v>
      </c>
      <c r="B23" s="848"/>
      <c r="C23" s="986" t="s">
        <v>1989</v>
      </c>
      <c r="D23" s="848"/>
      <c r="E23" s="848"/>
      <c r="F23" s="988"/>
      <c r="G23" s="988"/>
      <c r="H23" s="988"/>
    </row>
    <row r="24" ht="28.5" customHeight="1">
      <c r="A24" s="848" t="s">
        <v>1990</v>
      </c>
      <c r="B24" s="848"/>
      <c r="C24" s="986" t="s">
        <v>1991</v>
      </c>
      <c r="D24" s="848"/>
      <c r="E24" s="848"/>
      <c r="F24" s="988"/>
      <c r="G24" s="988"/>
      <c r="H24" s="988"/>
    </row>
    <row r="25" ht="36" customHeight="1">
      <c r="A25" s="848" t="s">
        <v>1992</v>
      </c>
      <c r="B25" s="848"/>
      <c r="C25" s="986" t="s">
        <v>1993</v>
      </c>
      <c r="D25" s="848"/>
      <c r="E25" s="848"/>
      <c r="F25" s="988"/>
      <c r="G25" s="988"/>
      <c r="H25" s="988"/>
    </row>
    <row r="26" ht="27" customHeight="1">
      <c r="A26" s="848" t="s">
        <v>1994</v>
      </c>
      <c r="B26" s="848"/>
      <c r="C26" s="986" t="s">
        <v>1995</v>
      </c>
      <c r="D26" s="848"/>
      <c r="E26" s="848"/>
      <c r="F26" s="988"/>
      <c r="G26" s="988"/>
      <c r="H26" s="988"/>
    </row>
    <row r="27" ht="36" customHeight="1">
      <c r="A27" s="848" t="s">
        <v>1996</v>
      </c>
      <c r="B27" s="848"/>
      <c r="C27" s="986" t="s">
        <v>1997</v>
      </c>
      <c r="D27" s="848"/>
      <c r="E27" s="848"/>
      <c r="F27" s="988"/>
      <c r="G27" s="988"/>
      <c r="H27" s="988"/>
    </row>
    <row r="28" ht="28.5" customHeight="1">
      <c r="A28" s="848" t="s">
        <v>1998</v>
      </c>
      <c r="B28" s="848"/>
      <c r="C28" s="986" t="s">
        <v>1999</v>
      </c>
      <c r="D28" s="848"/>
      <c r="E28" s="848"/>
      <c r="F28" s="988"/>
      <c r="G28" s="988"/>
      <c r="H28" s="988"/>
    </row>
    <row r="29" ht="126" customHeight="1">
      <c r="A29" s="848" t="s">
        <v>2000</v>
      </c>
      <c r="B29" s="848" t="s">
        <v>1571</v>
      </c>
      <c r="C29" s="986" t="str">
        <f>IF(TEMPLATE_SPHERE="HEAT",D29,IF(TEMPLATE_SPHERE="TKO",H29,E29))</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2002</v>
      </c>
    </row>
    <row r="30" ht="36" customHeight="1">
      <c r="A30" s="848" t="s">
        <v>2003</v>
      </c>
      <c r="B30" s="848"/>
      <c r="C30" s="986" t="str">
        <f>IF(TEMPLATE_SPHERE="HEAT",D30,IF(TEMPLATE_SPHERE="TKO",H30,E30))</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r="31" ht="54" customHeight="1">
      <c r="A31" s="848" t="s">
        <v>2005</v>
      </c>
      <c r="B31" s="848"/>
      <c r="C31" s="986" t="str">
        <f>IF(TEMPLATE_SPHERE="HEAT",D31,IF(TEMPLATE_SPHERE="TKO",H31,E31))</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2006</v>
      </c>
      <c r="E31" s="851"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31" s="988"/>
      <c r="G31" s="988"/>
      <c r="H31" s="988"/>
    </row>
    <row r="32" ht="198" customHeight="1">
      <c r="A32" s="848" t="s">
        <v>2007</v>
      </c>
      <c r="B32" s="848"/>
      <c r="C32" s="986" t="str">
        <f>IF(TEMPLATE_SPHERE="HEAT",D32,IF(TEMPLATE_SPHERE="TKO",H32,E32))</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2008</v>
      </c>
      <c r="E32" s="851"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теплоснабжения и отчетах об их исполнении</v>
      </c>
      <c r="F32" s="988"/>
      <c r="G32" s="988"/>
      <c r="H32" s="848" t="s">
        <v>2009</v>
      </c>
    </row>
    <row r="33" ht="9" customHeight="1">
      <c r="A33" s="848"/>
      <c r="B33" s="848"/>
      <c r="C33" s="986"/>
      <c r="D33" s="848"/>
      <c r="E33" s="848"/>
      <c r="F33" s="988"/>
      <c r="G33" s="988"/>
      <c r="H33" s="988"/>
    </row>
    <row r="34" ht="9" customHeight="1">
      <c r="A34" s="848"/>
      <c r="B34" s="848" t="s">
        <v>1507</v>
      </c>
      <c r="C34" s="986">
        <f>INDEX(TEMPLATE_NAME_FORM_LIST,B34,MATCH(TEMPLATE_SPHERE,TEMPLATE_SPHERE_LIST,0))</f>
        <v>0</v>
      </c>
      <c r="D34" s="848"/>
      <c r="E34" s="848"/>
      <c r="F34" s="988"/>
      <c r="G34" s="988"/>
      <c r="H34" s="988"/>
    </row>
  </sheetData>
  <sheetProtection autoFilter="0" deleteColumns="0" deleteRows="0" insertColumns="1" insertRows="0" sort="0"/>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9" customHeight="1"/>
  <cols>
    <col min="1" max="2" style="842" width="9.140625"/>
    <col customWidth="1" min="3" max="7" style="844" width="8.00390625"/>
    <col customWidth="1" min="8" max="12" style="844" width="8.57421875"/>
    <col customWidth="1" min="13" max="14" style="844" width="27.7109375"/>
    <col customWidth="1" min="15" max="19" style="844" width="5.140625"/>
    <col customWidth="1" min="20" max="24" style="844" width="27.7109375"/>
    <col customWidth="1" min="25" max="25" style="1003" width="1.8515625"/>
    <col customWidth="1" min="26" max="26" style="842" width="27.7109375"/>
    <col customWidth="1" min="27" max="27" style="853" width="27.7109375"/>
    <col customWidth="1" min="28" max="29" style="842" width="27.7109375"/>
    <col customWidth="1" min="30" max="30" style="842" width="3.8515625"/>
    <col min="31" max="34" style="842" width="9.140625"/>
  </cols>
  <sheetData>
    <row r="1" s="841" customFormat="1" ht="18" customHeight="1">
      <c r="A1" s="900"/>
      <c r="B1" s="900"/>
      <c r="C1" s="900" t="s">
        <v>2010</v>
      </c>
      <c r="D1" s="900"/>
      <c r="E1" s="900"/>
      <c r="F1" s="900"/>
      <c r="G1" s="900"/>
      <c r="H1" s="900" t="s">
        <v>2011</v>
      </c>
      <c r="I1" s="900"/>
      <c r="J1" s="900"/>
      <c r="K1" s="900"/>
      <c r="L1" s="900"/>
      <c r="M1" s="900" t="s">
        <v>2012</v>
      </c>
      <c r="N1" s="900" t="s">
        <v>2013</v>
      </c>
      <c r="O1" s="2594" t="s">
        <v>2014</v>
      </c>
      <c r="P1" s="2594"/>
      <c r="Q1" s="2594"/>
      <c r="R1" s="2594"/>
      <c r="S1" s="2594"/>
      <c r="T1" s="2594" t="s">
        <v>2012</v>
      </c>
      <c r="U1" s="2594"/>
      <c r="V1" s="2594"/>
      <c r="W1" s="2594"/>
      <c r="X1" s="2594"/>
      <c r="Y1" s="1001"/>
      <c r="Z1" s="2594" t="s">
        <v>2015</v>
      </c>
      <c r="AA1" s="2594"/>
      <c r="AB1" s="2594"/>
      <c r="AC1" s="2594"/>
      <c r="AD1" s="2594"/>
    </row>
    <row r="2" ht="18" customHeight="1">
      <c r="A2" s="848"/>
      <c r="B2" s="848"/>
      <c r="C2" s="843" t="s">
        <v>808</v>
      </c>
      <c r="D2" s="843" t="s">
        <v>854</v>
      </c>
      <c r="E2" s="843" t="s">
        <v>907</v>
      </c>
      <c r="F2" s="843" t="s">
        <v>894</v>
      </c>
      <c r="G2" s="843" t="s">
        <v>1620</v>
      </c>
      <c r="H2" s="845"/>
      <c r="I2" s="845"/>
      <c r="J2" s="845"/>
      <c r="K2" s="845"/>
      <c r="L2" s="845"/>
      <c r="M2" s="845"/>
      <c r="N2" s="845"/>
      <c r="O2" s="843" t="s">
        <v>808</v>
      </c>
      <c r="P2" s="843" t="s">
        <v>854</v>
      </c>
      <c r="Q2" s="843" t="s">
        <v>894</v>
      </c>
      <c r="R2" s="843" t="s">
        <v>907</v>
      </c>
      <c r="S2" s="843" t="s">
        <v>1620</v>
      </c>
      <c r="T2" s="843" t="s">
        <v>808</v>
      </c>
      <c r="U2" s="843" t="s">
        <v>854</v>
      </c>
      <c r="V2" s="843" t="s">
        <v>894</v>
      </c>
      <c r="W2" s="843" t="s">
        <v>907</v>
      </c>
      <c r="X2" s="843" t="s">
        <v>1620</v>
      </c>
      <c r="Y2" s="843"/>
      <c r="Z2" s="843" t="s">
        <v>808</v>
      </c>
      <c r="AA2" s="852" t="s">
        <v>854</v>
      </c>
      <c r="AB2" s="843" t="s">
        <v>894</v>
      </c>
      <c r="AC2" s="843" t="s">
        <v>907</v>
      </c>
      <c r="AD2" s="843" t="s">
        <v>1620</v>
      </c>
    </row>
    <row r="3" ht="162" customHeight="1">
      <c r="A3" s="847" t="s">
        <v>27</v>
      </c>
      <c r="B3" s="847"/>
      <c r="C3" s="2598" t="s">
        <v>2016</v>
      </c>
      <c r="D3" s="2599"/>
      <c r="E3" s="2599"/>
      <c r="F3" s="2600"/>
      <c r="G3" s="845"/>
      <c r="H3" s="845"/>
      <c r="I3" s="845"/>
      <c r="J3" s="845"/>
      <c r="K3" s="845"/>
      <c r="L3" s="845"/>
      <c r="M3" s="845"/>
      <c r="N3" s="846" t="str">
        <f>INDEX(TEMPLATE_ORG_DATA_POINT,1,MATCH(TEMPLATE_SPHERE,TEMPLATE_SPHERE_LIST_FOR_NOTE,0))</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2017</v>
      </c>
      <c r="AA3" s="845" t="s">
        <v>2018</v>
      </c>
      <c r="AB3" s="848" t="s">
        <v>2019</v>
      </c>
      <c r="AC3" s="848" t="s">
        <v>2020</v>
      </c>
      <c r="AD3" s="848"/>
      <c r="AG3" s="848"/>
      <c r="AH3" s="848"/>
    </row>
    <row r="4" ht="9" customHeight="1">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r="5" ht="9" customHeight="1">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r="6" ht="9" customHeight="1">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r="7" ht="9" customHeight="1">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r="8" ht="9" customHeight="1">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r="9" ht="9" customHeight="1">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r="10" ht="9" customHeight="1">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r="11" ht="45" customHeight="1">
      <c r="A11" s="2595" t="s">
        <v>33</v>
      </c>
      <c r="B11" s="901">
        <v>1</v>
      </c>
      <c r="C11" s="2601" t="s">
        <v>1558</v>
      </c>
      <c r="D11" s="2601" t="s">
        <v>1554</v>
      </c>
      <c r="E11" s="2601" t="s">
        <v>1652</v>
      </c>
      <c r="F11" s="2601" t="s">
        <v>2021</v>
      </c>
      <c r="G11" s="2601"/>
      <c r="H11" s="900" t="s">
        <v>2022</v>
      </c>
      <c r="I11" s="900"/>
      <c r="J11" s="900"/>
      <c r="K11" s="900"/>
      <c r="L11" s="900"/>
      <c r="M11" s="846" t="str">
        <f>IF(TEMPLATE_SPHERE="HEAT",T11,U11)</f>
        <v xml:space="preserve">Количество поданных заявок</v>
      </c>
      <c r="N11" s="846" t="str">
        <f>IF(TEMPLATE_SPHERE="HEAT",Z11,AA11)</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2023</v>
      </c>
      <c r="U11" s="845" t="s">
        <v>2024</v>
      </c>
      <c r="V11" s="845"/>
      <c r="W11" s="845"/>
      <c r="X11" s="845"/>
      <c r="Y11" s="1002"/>
      <c r="Z11" s="848" t="s">
        <v>2025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r="12" ht="45" customHeight="1">
      <c r="A12" s="2595"/>
      <c r="B12" s="901">
        <v>2</v>
      </c>
      <c r="C12" s="2602"/>
      <c r="D12" s="2602"/>
      <c r="E12" s="2602"/>
      <c r="F12" s="2602"/>
      <c r="G12" s="2602"/>
      <c r="H12" s="900" t="s">
        <v>2026</v>
      </c>
      <c r="I12" s="900"/>
      <c r="J12" s="900"/>
      <c r="K12" s="900"/>
      <c r="L12" s="900"/>
      <c r="M12" s="846" t="str">
        <f>IF(TEMPLATE_SPHERE="HEAT",T12,U12)</f>
        <v xml:space="preserve">Количество рассмотренных заявок</v>
      </c>
      <c r="N12" s="846" t="str">
        <f>IF(TEMPLATE_SPHERE="HEAT",Z12,AA12)</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2027</v>
      </c>
      <c r="U12" s="845" t="s">
        <v>2028</v>
      </c>
      <c r="V12" s="845"/>
      <c r="W12" s="845"/>
      <c r="X12" s="845"/>
      <c r="Y12" s="1002"/>
      <c r="Z12" s="848" t="s">
        <v>2029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r="13" ht="72" customHeight="1">
      <c r="A13" s="2595"/>
      <c r="B13" s="901">
        <v>3</v>
      </c>
      <c r="C13" s="2602"/>
      <c r="D13" s="2602"/>
      <c r="E13" s="2602"/>
      <c r="F13" s="2602"/>
      <c r="G13" s="2602"/>
      <c r="H13" s="2594" t="s">
        <v>2030</v>
      </c>
      <c r="I13" s="900"/>
      <c r="J13" s="900"/>
      <c r="K13" s="900"/>
      <c r="L13" s="900"/>
      <c r="M13" s="846" t="str">
        <f>IF(TEMPLATE_SPHERE="HEAT",T13,U13)</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 xml:space="preserve">Указывается количество заявок с решением об отказе в течение отчетного квартала.</v>
      </c>
      <c r="O13" s="845"/>
      <c r="P13" s="846"/>
      <c r="Q13" s="846"/>
      <c r="R13" s="846"/>
      <c r="S13" s="845"/>
      <c r="T13" s="845" t="s">
        <v>2031</v>
      </c>
      <c r="U13" s="846" t="s">
        <v>2032</v>
      </c>
      <c r="V13" s="846"/>
      <c r="W13" s="846"/>
      <c r="X13" s="845"/>
      <c r="Y13" s="1002"/>
      <c r="Z13" s="848" t="s">
        <v>2033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r="14" ht="45" customHeight="1">
      <c r="A14" s="2595"/>
      <c r="B14" s="901">
        <v>4</v>
      </c>
      <c r="C14" s="2602"/>
      <c r="D14" s="2602"/>
      <c r="E14" s="2602"/>
      <c r="F14" s="2602"/>
      <c r="G14" s="2602"/>
      <c r="H14" s="2594"/>
      <c r="I14" s="903"/>
      <c r="J14" s="903"/>
      <c r="K14" s="903"/>
      <c r="L14" s="903"/>
      <c r="M14" s="849" t="str">
        <f>IF(TEMPLATE_SPHERE="HEAT",T14,U14)</f>
        <v xml:space="preserve">Причины отказа в заключении договора о подключении (технологическом присоединении) к системе теплоснабжения</v>
      </c>
      <c r="N14" s="846" t="str">
        <f>IF(TEMPLATE_SPHERE="HEAT",Z14,AA14)</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2034</v>
      </c>
      <c r="U14" s="846"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2035</v>
      </c>
      <c r="AA14" s="851" t="s">
        <v>2035</v>
      </c>
      <c r="AB14" s="848"/>
      <c r="AC14" s="848"/>
      <c r="AD14" s="848"/>
    </row>
    <row r="15" ht="108" customHeight="1">
      <c r="A15" s="2595"/>
      <c r="B15" s="901">
        <v>5</v>
      </c>
      <c r="C15" s="2602"/>
      <c r="D15" s="2602"/>
      <c r="E15" s="2602"/>
      <c r="F15" s="2602"/>
      <c r="G15" s="2602"/>
      <c r="H15" s="2596" t="s">
        <v>2036</v>
      </c>
      <c r="I15" s="902"/>
      <c r="J15" s="902"/>
      <c r="K15" s="902"/>
      <c r="L15" s="902"/>
      <c r="M15" s="851" t="str">
        <f>IF(TEMPLATE_SPHERE="HEAT",T15,U15)</f>
        <v xml:space="preserve">Резерв мощности источников тепловой энергии, входящих в систему теплоснабжения, в течение одного квартала, в том числе:</v>
      </c>
      <c r="N15" s="850" t="str">
        <f>IF(TEMPLATE_SPHERE="HEAT",Z15,AA15)</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O15" s="845"/>
      <c r="P15" s="846"/>
      <c r="Q15" s="846"/>
      <c r="R15" s="846"/>
      <c r="S15" s="845"/>
      <c r="T15" s="845" t="s">
        <v>2037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r="16" ht="108" customHeight="1">
      <c r="A16" s="901"/>
      <c r="B16" s="901">
        <v>6</v>
      </c>
      <c r="C16" s="2603"/>
      <c r="D16" s="2603"/>
      <c r="E16" s="2603"/>
      <c r="F16" s="2603"/>
      <c r="G16" s="2603"/>
      <c r="H16" s="2597"/>
      <c r="I16" s="964"/>
      <c r="J16" s="964"/>
      <c r="K16" s="964"/>
      <c r="L16" s="964"/>
      <c r="M16" s="894"/>
      <c r="N16" s="850" t="str">
        <f>IF(TEMPLATE_SPHERE="HEAT",Z16,AA16)</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O16" s="845"/>
      <c r="P16" s="846"/>
      <c r="Q16" s="846"/>
      <c r="R16" s="846"/>
      <c r="S16" s="845"/>
      <c r="T16" s="845"/>
      <c r="U16" s="846"/>
      <c r="V16" s="846"/>
      <c r="W16" s="846"/>
      <c r="X16" s="845"/>
      <c r="Y16" s="1002"/>
      <c r="Z16" s="848" t="s">
        <v>2038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r="17" ht="9" customHeight="1">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r="18" ht="27" customHeight="1">
      <c r="A18" s="847" t="s">
        <v>1655</v>
      </c>
      <c r="B18" s="901">
        <v>1</v>
      </c>
      <c r="C18" s="845" t="s">
        <v>2022</v>
      </c>
      <c r="D18" s="969" t="s">
        <v>2022</v>
      </c>
      <c r="E18" s="845" t="s">
        <v>2022</v>
      </c>
      <c r="F18" s="845" t="s">
        <v>2022</v>
      </c>
      <c r="G18" s="845"/>
      <c r="H18" s="1004"/>
      <c r="I18" s="1007">
        <f>INDEX(TEMPLATE_NUMBER_POINT_FHD,B18,MATCH(TEMPLATE_SPHERE,TEMPLATE_SPHERE_LIST_FOR_NOTE,0))</f>
        <v>1</v>
      </c>
      <c r="J18" s="1007" t="str">
        <f>INDEX(TEMPLATE_DATA_POINT_FHD,B18,MATCH(TEMPLATE_SPHERE,TEMPLATE_SPHERE_LIST_FOR_NOTE,0))</f>
        <v xml:space="preserve">Выручка от регулируемого вида деятельности с распределением по видам деятельности</v>
      </c>
      <c r="K18" s="1007" t="str">
        <f>INDEX(TEMPLATE_NOTE_POINT_FHD,B18,MATCH(TEMPLATE_SPHERE,TEMPLATE_SPHERE_LIST_FOR_NOTE,0))</f>
        <v xml:space="preserve">Указывается выручка от регулируемого вида деятельности с распределением по видам деятельности.</v>
      </c>
      <c r="L18" s="846">
        <f>IF(I18=0,"",I18)</f>
        <v>1</v>
      </c>
      <c r="M18" s="846" t="str">
        <f>IF(J18=0,"",J18)</f>
        <v xml:space="preserve">Выручка от регулируемого вида деятельности с распределением по видам деятельности</v>
      </c>
      <c r="N18" s="846" t="str">
        <f>IF(K18=0,"",K18)</f>
        <v xml:space="preserve">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2039</v>
      </c>
      <c r="U18" s="848" t="s">
        <v>2040</v>
      </c>
      <c r="V18" s="848" t="s">
        <v>2041</v>
      </c>
      <c r="W18" s="848" t="s">
        <v>2042</v>
      </c>
      <c r="X18" s="845"/>
      <c r="Y18" s="1002"/>
      <c r="Z18" s="848" t="s">
        <v>2043</v>
      </c>
      <c r="AA18" s="851" t="s">
        <v>2044</v>
      </c>
      <c r="AB18" s="851" t="s">
        <v>2044</v>
      </c>
      <c r="AC18" s="851" t="s">
        <v>2044</v>
      </c>
      <c r="AD18" s="848"/>
    </row>
    <row r="19" ht="36" customHeight="1">
      <c r="A19" s="847"/>
      <c r="B19" s="901">
        <v>2</v>
      </c>
      <c r="C19" s="845" t="s">
        <v>2026</v>
      </c>
      <c r="D19" s="969" t="s">
        <v>2026</v>
      </c>
      <c r="E19" s="845" t="s">
        <v>2026</v>
      </c>
      <c r="F19" s="845" t="s">
        <v>2026</v>
      </c>
      <c r="G19" s="845"/>
      <c r="H19" s="1004"/>
      <c r="I19" s="1007">
        <f>INDEX(TEMPLATE_NUMBER_POINT_FHD,B19,MATCH(TEMPLATE_SPHERE,TEMPLATE_SPHERE_LIST_FOR_NOTE,0))</f>
        <v>2</v>
      </c>
      <c r="J19" s="1007" t="str">
        <f>INDEX(TEMPLATE_DATA_POINT_FHD,B19,MATCH(TEMPLATE_SPHERE,TEMPLATE_SPHERE_LIST_FOR_NOTE,0))</f>
        <v xml:space="preserve">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 xml:space="preserve">Указывается суммарная себестоимость производимых товаров.</v>
      </c>
      <c r="L19" s="846">
        <f>IF(I19=0,"",I19)</f>
        <v>2</v>
      </c>
      <c r="M19" s="846" t="str">
        <f>IF(J19=0,"",J19)</f>
        <v xml:space="preserve">Себестоимость производимых товаров (оказываемых услуг) по регулируемому виду деятельности, включая:</v>
      </c>
      <c r="N19" s="846" t="str">
        <f>IF(K19=0,"",K19)</f>
        <v xml:space="preserve">Указывается суммарная себестоимость производимых товаров.</v>
      </c>
      <c r="O19" s="959">
        <v>2</v>
      </c>
      <c r="P19" s="959">
        <v>2</v>
      </c>
      <c r="Q19" s="959">
        <v>2</v>
      </c>
      <c r="R19" s="959">
        <v>2</v>
      </c>
      <c r="S19" s="959"/>
      <c r="T19" s="966" t="s">
        <v>2045</v>
      </c>
      <c r="U19" s="848" t="s">
        <v>2046</v>
      </c>
      <c r="V19" s="848" t="s">
        <v>2047</v>
      </c>
      <c r="W19" s="848" t="s">
        <v>2048</v>
      </c>
      <c r="X19" s="845"/>
      <c r="Y19" s="1002"/>
      <c r="Z19" s="848" t="s">
        <v>2049</v>
      </c>
      <c r="AA19" s="851" t="s">
        <v>2049</v>
      </c>
      <c r="AB19" s="851" t="s">
        <v>2049</v>
      </c>
      <c r="AC19" s="851" t="s">
        <v>2049</v>
      </c>
      <c r="AD19" s="848"/>
    </row>
    <row r="20" ht="27" customHeight="1">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 xml:space="preserve">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 xml:space="preserve">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2050</v>
      </c>
      <c r="U20" s="848" t="s">
        <v>2051</v>
      </c>
      <c r="V20" s="848" t="s">
        <v>2052</v>
      </c>
      <c r="W20" s="848" t="s">
        <v>2053</v>
      </c>
      <c r="X20" s="845"/>
      <c r="Y20" s="1002"/>
      <c r="Z20" s="848"/>
      <c r="AA20" s="851"/>
      <c r="AB20" s="848"/>
      <c r="AC20" s="848"/>
      <c r="AD20" s="848"/>
    </row>
    <row r="21" ht="36" customHeight="1">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 xml:space="preserve">Указываются суммарные расходы на приобретение топлива всех видов.</v>
      </c>
      <c r="L21" s="846" t="str">
        <f>IF(I21=0,"",I21)</f>
        <v>2.2</v>
      </c>
      <c r="M21" s="846" t="str">
        <f>IF(J21=0,"",J21)</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 xml:space="preserve">Указываются суммарные расходы на приобретение топлива всех видов.</v>
      </c>
      <c r="O21" s="959" t="s">
        <v>307</v>
      </c>
      <c r="P21" s="959"/>
      <c r="Q21" s="959"/>
      <c r="R21" s="959"/>
      <c r="S21" s="959"/>
      <c r="T21" s="966" t="s">
        <v>2054</v>
      </c>
      <c r="U21" s="848"/>
      <c r="V21" s="848"/>
      <c r="W21" s="848"/>
      <c r="X21" s="845"/>
      <c r="Y21" s="1002"/>
      <c r="Z21" s="848" t="s">
        <v>2055</v>
      </c>
      <c r="AA21" s="851"/>
      <c r="AB21" s="848"/>
      <c r="AC21" s="848"/>
      <c r="AD21" s="848"/>
    </row>
    <row r="22" ht="36" customHeight="1">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2056</v>
      </c>
      <c r="W22" s="848"/>
      <c r="X22" s="845"/>
      <c r="Y22" s="1002"/>
      <c r="Z22" s="848"/>
      <c r="AA22" s="851"/>
      <c r="AB22" s="848"/>
      <c r="AC22" s="848"/>
      <c r="AD22" s="848"/>
    </row>
    <row r="23" ht="27" customHeight="1">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2057</v>
      </c>
      <c r="W23" s="848"/>
      <c r="X23" s="845"/>
      <c r="Y23" s="1002"/>
      <c r="Z23" s="848"/>
      <c r="AA23" s="851"/>
      <c r="AB23" s="848"/>
      <c r="AC23" s="848"/>
      <c r="AD23" s="848"/>
    </row>
    <row r="24" ht="36" customHeight="1">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2058</v>
      </c>
      <c r="W24" s="848"/>
      <c r="X24" s="845"/>
      <c r="Y24" s="1002"/>
      <c r="Z24" s="848"/>
      <c r="AA24" s="851"/>
      <c r="AB24" s="848"/>
      <c r="AC24" s="848"/>
      <c r="AD24" s="848"/>
    </row>
    <row r="25" ht="36" customHeight="1">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 xml:space="preserve">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 xml:space="preserve">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2059</v>
      </c>
      <c r="U25" s="848" t="s">
        <v>2059</v>
      </c>
      <c r="V25" s="848" t="s">
        <v>2059</v>
      </c>
      <c r="W25" s="848" t="s">
        <v>2059</v>
      </c>
      <c r="X25" s="845"/>
      <c r="Y25" s="1002"/>
      <c r="Z25" s="848"/>
      <c r="AA25" s="851"/>
      <c r="AB25" s="848"/>
      <c r="AC25" s="848"/>
      <c r="AD25" s="848"/>
    </row>
    <row r="26" ht="18" customHeight="1">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 xml:space="preserve">Средневзвешенная стоимость 1 кВт.ч (с учетом мощности)</v>
      </c>
      <c r="K26" s="1007">
        <f>INDEX(TEMPLATE_NOTE_POINT_FHD,B26,MATCH(TEMPLATE_SPHERE,TEMPLATE_SPHERE_LIST_FOR_NOTE,0))</f>
        <v>0</v>
      </c>
      <c r="L26" s="846" t="str">
        <f>IF(I26=0,"",I26)</f>
        <v>2.3.1</v>
      </c>
      <c r="M26" s="846" t="str">
        <f>IF(J26=0,"",J26)</f>
        <v xml:space="preserve">Средневзвешенная стоимость 1 кВт.ч (с учетом мощности)</v>
      </c>
      <c r="N26" s="846" t="str">
        <f>IF(K26=0,"",K26)</f>
        <v/>
      </c>
      <c r="O26" s="959" t="s">
        <v>725</v>
      </c>
      <c r="P26" s="959" t="s">
        <v>719</v>
      </c>
      <c r="Q26" s="959" t="s">
        <v>2060</v>
      </c>
      <c r="R26" s="959" t="s">
        <v>719</v>
      </c>
      <c r="S26" s="959"/>
      <c r="T26" s="966" t="str">
        <f>"Средневзвешенная стоимость 1 кВт.ч"&amp;IF(TITLE_TYPE_ORG="Регулируемая организация"," (с учетом мощности)","")</f>
        <v xml:space="preserve">Средневзвешенная стоимость 1 кВт.ч (с учетом мощности)</v>
      </c>
      <c r="U26" s="966" t="s">
        <v>2061</v>
      </c>
      <c r="V26" s="966" t="s">
        <v>2061</v>
      </c>
      <c r="W26" s="966" t="s">
        <v>2061</v>
      </c>
      <c r="X26" s="845"/>
      <c r="Y26" s="1002"/>
      <c r="Z26" s="848"/>
      <c r="AA26" s="851"/>
      <c r="AB26" s="848"/>
      <c r="AC26" s="848"/>
      <c r="AD26" s="848"/>
    </row>
    <row r="27" ht="18" customHeight="1">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 xml:space="preserve">Объём приобретения электрической энергии</v>
      </c>
      <c r="K27" s="1007">
        <f>INDEX(TEMPLATE_NOTE_POINT_FHD,B27,MATCH(TEMPLATE_SPHERE,TEMPLATE_SPHERE_LIST_FOR_NOTE,0))</f>
        <v>0</v>
      </c>
      <c r="L27" s="846" t="str">
        <f>IF(I27=0,"",I27)</f>
        <v>2.3.2</v>
      </c>
      <c r="M27" s="846" t="str">
        <f>IF(J27=0,"",J27)</f>
        <v xml:space="preserve">Объём приобретения электрической энергии</v>
      </c>
      <c r="N27" s="846" t="str">
        <f>IF(K27=0,"",K27)</f>
        <v/>
      </c>
      <c r="O27" s="959" t="s">
        <v>727</v>
      </c>
      <c r="P27" s="959" t="s">
        <v>721</v>
      </c>
      <c r="Q27" s="959" t="s">
        <v>2062</v>
      </c>
      <c r="R27" s="959" t="s">
        <v>721</v>
      </c>
      <c r="S27" s="959"/>
      <c r="T27" s="966" t="s">
        <v>2063</v>
      </c>
      <c r="U27" s="966" t="s">
        <v>2063</v>
      </c>
      <c r="V27" s="966" t="s">
        <v>2063</v>
      </c>
      <c r="W27" s="966" t="s">
        <v>2063</v>
      </c>
      <c r="X27" s="845"/>
      <c r="Y27" s="1002"/>
      <c r="Z27" s="848"/>
      <c r="AA27" s="851"/>
      <c r="AB27" s="848"/>
      <c r="AC27" s="848"/>
      <c r="AD27" s="848"/>
    </row>
    <row r="28" ht="27" customHeight="1">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 xml:space="preserve">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 xml:space="preserve">Расходы на приобретение холодной воды, используемой в технологическом процессе</v>
      </c>
      <c r="N28" s="846" t="str">
        <f>IF(K28=0,"",K28)</f>
        <v/>
      </c>
      <c r="O28" s="959" t="s">
        <v>729</v>
      </c>
      <c r="P28" s="959"/>
      <c r="Q28" s="959"/>
      <c r="R28" s="959"/>
      <c r="S28" s="959"/>
      <c r="T28" s="966" t="s">
        <v>2064</v>
      </c>
      <c r="U28" s="848"/>
      <c r="V28" s="848"/>
      <c r="W28" s="848"/>
      <c r="X28" s="845"/>
      <c r="Y28" s="1002"/>
      <c r="Z28" s="848"/>
      <c r="AA28" s="851"/>
      <c r="AB28" s="848"/>
      <c r="AC28" s="848"/>
      <c r="AD28" s="848"/>
    </row>
    <row r="29" ht="27" customHeight="1">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 xml:space="preserve">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 xml:space="preserve">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 xml:space="preserve">Расходы на  химические реагенты, используемые в технологическом процессе</v>
      </c>
      <c r="U29" s="848" t="s">
        <v>2065</v>
      </c>
      <c r="V29" s="848"/>
      <c r="W29" s="848" t="s">
        <v>2065</v>
      </c>
      <c r="X29" s="845"/>
      <c r="Y29" s="1002"/>
      <c r="Z29" s="848"/>
      <c r="AA29" s="851"/>
      <c r="AB29" s="848"/>
      <c r="AC29" s="848"/>
      <c r="AD29" s="848"/>
    </row>
    <row r="30" ht="54" customHeight="1">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2066</v>
      </c>
      <c r="U30" s="848" t="s">
        <v>2066</v>
      </c>
      <c r="V30" s="848" t="s">
        <v>2066</v>
      </c>
      <c r="W30" s="848" t="s">
        <v>2066</v>
      </c>
      <c r="X30" s="845"/>
      <c r="Y30" s="1002"/>
      <c r="Z30" s="848"/>
      <c r="AA30" s="851" t="s">
        <v>2067</v>
      </c>
      <c r="AB30" s="851" t="s">
        <v>2067</v>
      </c>
      <c r="AC30" s="851" t="s">
        <v>2067</v>
      </c>
      <c r="AD30" s="848"/>
    </row>
    <row r="31" ht="18" customHeight="1">
      <c r="A31" s="847"/>
      <c r="B31" s="901">
        <v>14</v>
      </c>
      <c r="C31" s="845" t="s">
        <v>2068</v>
      </c>
      <c r="D31" s="969"/>
      <c r="E31" s="845"/>
      <c r="F31" s="845"/>
      <c r="G31" s="893"/>
      <c r="H31" s="960"/>
      <c r="I31" s="1007" t="str">
        <f>INDEX(TEMPLATE_NUMBER_POINT_FHD,B31,MATCH(TEMPLATE_SPHERE,TEMPLATE_SPHERE_LIST_FOR_NOTE,0))</f>
        <v>2.6.1</v>
      </c>
      <c r="J31" s="1007" t="str">
        <f>INDEX(TEMPLATE_DATA_POINT_FHD,B31,MATCH(TEMPLATE_SPHERE,TEMPLATE_SPHERE_LIST_FOR_NOTE,0))</f>
        <v xml:space="preserve">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 xml:space="preserve">Расходы на оплату труда основного производственного персонала</v>
      </c>
      <c r="N31" s="846" t="str">
        <f>IF(K31=0,"",K31)</f>
        <v/>
      </c>
      <c r="O31" s="959" t="s">
        <v>2069</v>
      </c>
      <c r="P31" s="959" t="s">
        <v>732</v>
      </c>
      <c r="Q31" s="959" t="s">
        <v>2069</v>
      </c>
      <c r="R31" s="959" t="s">
        <v>732</v>
      </c>
      <c r="S31" s="959"/>
      <c r="T31" s="967" t="s">
        <v>2070</v>
      </c>
      <c r="U31" s="848" t="s">
        <v>2070</v>
      </c>
      <c r="V31" s="848" t="s">
        <v>2070</v>
      </c>
      <c r="W31" s="848" t="s">
        <v>2070</v>
      </c>
      <c r="X31" s="845"/>
      <c r="Y31" s="1002"/>
      <c r="Z31" s="848"/>
      <c r="AA31" s="851"/>
      <c r="AB31" s="851"/>
      <c r="AC31" s="851"/>
      <c r="AD31" s="848"/>
    </row>
    <row r="32" ht="36" customHeight="1">
      <c r="A32" s="847"/>
      <c r="B32" s="901">
        <v>15</v>
      </c>
      <c r="C32" s="845" t="s">
        <v>2071</v>
      </c>
      <c r="D32" s="969"/>
      <c r="E32" s="845"/>
      <c r="F32" s="845"/>
      <c r="G32" s="893"/>
      <c r="H32" s="960"/>
      <c r="I32" s="1007" t="str">
        <f>INDEX(TEMPLATE_NUMBER_POINT_FHD,B32,MATCH(TEMPLATE_SPHERE,TEMPLATE_SPHERE_LIST_FOR_NOTE,0))</f>
        <v>2.6.2</v>
      </c>
      <c r="J32" s="1007" t="str">
        <f>INDEX(TEMPLATE_DATA_POINT_FHD,B32,MATCH(TEMPLATE_SPHERE,TEMPLATE_SPHERE_LIST_FOR_NOTE,0))</f>
        <v xml:space="preserve">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 xml:space="preserve">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2072</v>
      </c>
      <c r="P32" s="959" t="s">
        <v>734</v>
      </c>
      <c r="Q32" s="959" t="s">
        <v>2072</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Страховые взносы на обязательное социальное страхование, выплачиваемые из фонда оплаты труда основного производственного персонала</v>
      </c>
      <c r="U32" s="848" t="s">
        <v>2073</v>
      </c>
      <c r="V32" s="848" t="s">
        <v>2073</v>
      </c>
      <c r="W32" s="848" t="s">
        <v>2073</v>
      </c>
      <c r="X32" s="845"/>
      <c r="Y32" s="1002"/>
      <c r="Z32" s="848"/>
      <c r="AA32" s="851"/>
      <c r="AB32" s="851"/>
      <c r="AC32" s="851"/>
      <c r="AD32" s="848"/>
    </row>
    <row r="33" ht="45" customHeight="1">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2074</v>
      </c>
      <c r="V33" s="848" t="s">
        <v>2074</v>
      </c>
      <c r="W33" s="848" t="s">
        <v>2075</v>
      </c>
      <c r="X33" s="845"/>
      <c r="Y33" s="1002"/>
      <c r="Z33" s="848"/>
      <c r="AA33" s="851" t="s">
        <v>2076</v>
      </c>
      <c r="AB33" s="851" t="s">
        <v>2076</v>
      </c>
      <c r="AC33" s="851" t="s">
        <v>2076</v>
      </c>
      <c r="AD33" s="848"/>
    </row>
    <row r="34" ht="27" customHeight="1">
      <c r="A34" s="847"/>
      <c r="B34" s="901">
        <v>17</v>
      </c>
      <c r="C34" s="845" t="s">
        <v>2077</v>
      </c>
      <c r="D34" s="969"/>
      <c r="E34" s="845"/>
      <c r="F34" s="845"/>
      <c r="G34" s="893"/>
      <c r="H34" s="960"/>
      <c r="I34" s="1007" t="str">
        <f>INDEX(TEMPLATE_NUMBER_POINT_FHD,B34,MATCH(TEMPLATE_SPHERE,TEMPLATE_SPHERE_LIST_FOR_NOTE,0))</f>
        <v>2.7.1</v>
      </c>
      <c r="J34" s="1007" t="str">
        <f>INDEX(TEMPLATE_DATA_POINT_FHD,B34,MATCH(TEMPLATE_SPHERE,TEMPLATE_SPHERE_LIST_FOR_NOTE,0))</f>
        <v xml:space="preserve">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 xml:space="preserve">Расходы на оплату труда административно-управленческого персонала</v>
      </c>
      <c r="N34" s="846" t="str">
        <f>IF(K34=0,"",K34)</f>
        <v/>
      </c>
      <c r="O34" s="959" t="s">
        <v>2078</v>
      </c>
      <c r="P34" s="959" t="s">
        <v>2060</v>
      </c>
      <c r="Q34" s="959" t="s">
        <v>2078</v>
      </c>
      <c r="R34" s="959" t="s">
        <v>2060</v>
      </c>
      <c r="S34" s="959"/>
      <c r="T34" s="968" t="s">
        <v>2079</v>
      </c>
      <c r="U34" s="848" t="s">
        <v>2079</v>
      </c>
      <c r="V34" s="848" t="s">
        <v>2079</v>
      </c>
      <c r="W34" s="848" t="s">
        <v>2080</v>
      </c>
      <c r="X34" s="845"/>
      <c r="Y34" s="1002"/>
      <c r="Z34" s="848"/>
      <c r="AA34" s="851"/>
      <c r="AB34" s="848"/>
      <c r="AC34" s="848"/>
      <c r="AD34" s="848"/>
    </row>
    <row r="35" ht="45" customHeight="1">
      <c r="A35" s="847"/>
      <c r="B35" s="901">
        <v>18</v>
      </c>
      <c r="C35" s="845" t="s">
        <v>2081</v>
      </c>
      <c r="D35" s="969"/>
      <c r="E35" s="845"/>
      <c r="F35" s="845"/>
      <c r="G35" s="893"/>
      <c r="H35" s="960"/>
      <c r="I35" s="1007" t="str">
        <f>INDEX(TEMPLATE_NUMBER_POINT_FHD,B35,MATCH(TEMPLATE_SPHERE,TEMPLATE_SPHERE_LIST_FOR_NOTE,0))</f>
        <v>2.7.2</v>
      </c>
      <c r="J35" s="1007" t="str">
        <f>INDEX(TEMPLATE_DATA_POINT_FHD,B35,MATCH(TEMPLATE_SPHERE,TEMPLATE_SPHERE_LIST_FOR_NOTE,0))</f>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2082</v>
      </c>
      <c r="P35" s="959" t="s">
        <v>2062</v>
      </c>
      <c r="Q35" s="959" t="s">
        <v>2082</v>
      </c>
      <c r="R35" s="959" t="s">
        <v>2062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Страховые взносы на обязательное социальное страхование, выплачиваемые из фонда оплаты труда административно-управленческого персонала</v>
      </c>
      <c r="U35" s="848" t="s">
        <v>2083</v>
      </c>
      <c r="V35" s="848" t="s">
        <v>2083</v>
      </c>
      <c r="W35" s="848" t="s">
        <v>2083</v>
      </c>
      <c r="X35" s="845"/>
      <c r="Y35" s="1002"/>
      <c r="Z35" s="848"/>
      <c r="AA35" s="851"/>
      <c r="AB35" s="848"/>
      <c r="AC35" s="848"/>
      <c r="AD35" s="848"/>
    </row>
    <row r="36" ht="18" customHeight="1">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 xml:space="preserve">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 xml:space="preserve">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2084</v>
      </c>
      <c r="U36" s="848" t="s">
        <v>2084</v>
      </c>
      <c r="V36" s="848" t="s">
        <v>2084</v>
      </c>
      <c r="W36" s="848" t="s">
        <v>2084</v>
      </c>
      <c r="X36" s="845"/>
      <c r="Y36" s="1002"/>
      <c r="Z36" s="848"/>
      <c r="AA36" s="851"/>
      <c r="AB36" s="848"/>
      <c r="AC36" s="848"/>
      <c r="AD36" s="848"/>
    </row>
    <row r="37" ht="18" customHeight="1">
      <c r="A37" s="847"/>
      <c r="B37" s="901">
        <v>20</v>
      </c>
      <c r="C37" s="845" t="s">
        <v>2085</v>
      </c>
      <c r="D37" s="969"/>
      <c r="E37" s="845"/>
      <c r="F37" s="845"/>
      <c r="G37" s="893"/>
      <c r="H37" s="960"/>
      <c r="I37" s="1007" t="str">
        <f>INDEX(TEMPLATE_NUMBER_POINT_FHD,B37,MATCH(TEMPLATE_SPHERE,TEMPLATE_SPHERE_LIST_FOR_NOTE,0))</f>
        <v>2.8.1</v>
      </c>
      <c r="J37" s="1007" t="str">
        <f>INDEX(TEMPLATE_DATA_POINT_FHD,B37,MATCH(TEMPLATE_SPHERE,TEMPLATE_SPHERE_LIST_FOR_NOTE,0))</f>
        <v xml:space="preserve">Расходы на амортизацию основных средств</v>
      </c>
      <c r="K37" s="1007">
        <f>INDEX(TEMPLATE_NOTE_POINT_FHD,B37,MATCH(TEMPLATE_SPHERE,TEMPLATE_SPHERE_LIST_FOR_NOTE,0))</f>
        <v>0</v>
      </c>
      <c r="L37" s="846" t="str">
        <f>IF(I37=0,"",I37)</f>
        <v>2.8.1</v>
      </c>
      <c r="M37" s="846" t="str">
        <f>IF(J37=0,"",J37)</f>
        <v xml:space="preserve">Расходы на амортизацию основных средств</v>
      </c>
      <c r="N37" s="846" t="str">
        <f>IF(K37=0,"",K37)</f>
        <v/>
      </c>
      <c r="O37" s="959" t="s">
        <v>2086</v>
      </c>
      <c r="P37" s="959" t="s">
        <v>2069</v>
      </c>
      <c r="Q37" s="959" t="s">
        <v>2086</v>
      </c>
      <c r="R37" s="959" t="s">
        <v>2069</v>
      </c>
      <c r="S37" s="959"/>
      <c r="T37" s="966" t="s">
        <v>2087</v>
      </c>
      <c r="U37" s="848" t="s">
        <v>2087</v>
      </c>
      <c r="V37" s="848" t="s">
        <v>2087</v>
      </c>
      <c r="W37" s="848" t="s">
        <v>2087</v>
      </c>
      <c r="X37" s="845"/>
      <c r="Y37" s="1002"/>
      <c r="Z37" s="848"/>
      <c r="AA37" s="851"/>
      <c r="AB37" s="848"/>
      <c r="AC37" s="848"/>
      <c r="AD37" s="848"/>
    </row>
    <row r="38" ht="18" customHeight="1">
      <c r="A38" s="847"/>
      <c r="B38" s="901">
        <v>21</v>
      </c>
      <c r="C38" s="845" t="s">
        <v>2088</v>
      </c>
      <c r="D38" s="969"/>
      <c r="E38" s="845"/>
      <c r="F38" s="845"/>
      <c r="G38" s="893"/>
      <c r="H38" s="960"/>
      <c r="I38" s="1007" t="str">
        <f>INDEX(TEMPLATE_NUMBER_POINT_FHD,B38,MATCH(TEMPLATE_SPHERE,TEMPLATE_SPHERE_LIST_FOR_NOTE,0))</f>
        <v>2.8.2</v>
      </c>
      <c r="J38" s="1007" t="str">
        <f>INDEX(TEMPLATE_DATA_POINT_FHD,B38,MATCH(TEMPLATE_SPHERE,TEMPLATE_SPHERE_LIST_FOR_NOTE,0))</f>
        <v xml:space="preserve">Расходы на амортизацию нематериальных активов</v>
      </c>
      <c r="K38" s="1007">
        <f>INDEX(TEMPLATE_NOTE_POINT_FHD,B38,MATCH(TEMPLATE_SPHERE,TEMPLATE_SPHERE_LIST_FOR_NOTE,0))</f>
        <v>0</v>
      </c>
      <c r="L38" s="846" t="str">
        <f>IF(I38=0,"",I38)</f>
        <v>2.8.2</v>
      </c>
      <c r="M38" s="846" t="str">
        <f>IF(J38=0,"",J38)</f>
        <v xml:space="preserve">Расходы на амортизацию нематериальных активов</v>
      </c>
      <c r="N38" s="846" t="str">
        <f>IF(K38=0,"",K38)</f>
        <v/>
      </c>
      <c r="O38" s="959" t="s">
        <v>2089</v>
      </c>
      <c r="P38" s="959" t="s">
        <v>2072</v>
      </c>
      <c r="Q38" s="959" t="s">
        <v>2089</v>
      </c>
      <c r="R38" s="959" t="s">
        <v>2072</v>
      </c>
      <c r="S38" s="959"/>
      <c r="T38" s="966" t="s">
        <v>2090</v>
      </c>
      <c r="U38" s="848" t="s">
        <v>2090</v>
      </c>
      <c r="V38" s="848" t="s">
        <v>2090</v>
      </c>
      <c r="W38" s="848" t="s">
        <v>2090</v>
      </c>
      <c r="X38" s="845"/>
      <c r="Y38" s="1002"/>
      <c r="Z38" s="848"/>
      <c r="AA38" s="851"/>
      <c r="AB38" s="848"/>
      <c r="AC38" s="848"/>
      <c r="AD38" s="848"/>
    </row>
    <row r="39" ht="36" customHeight="1">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 xml:space="preserve">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 xml:space="preserve">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2091</v>
      </c>
      <c r="U39" s="848" t="s">
        <v>2092</v>
      </c>
      <c r="V39" s="848" t="s">
        <v>2093</v>
      </c>
      <c r="W39" s="848" t="s">
        <v>2094</v>
      </c>
      <c r="X39" s="845"/>
      <c r="Y39" s="1002"/>
      <c r="Z39" s="848"/>
      <c r="AA39" s="851"/>
      <c r="AB39" s="848"/>
      <c r="AC39" s="848"/>
      <c r="AD39" s="848"/>
    </row>
    <row r="40" ht="18" customHeight="1">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 xml:space="preserve">Общепроизводственные расходы, в том числе:</v>
      </c>
      <c r="K40" s="1007" t="str">
        <f>INDEX(TEMPLATE_NOTE_POINT_FHD,B40,MATCH(TEMPLATE_SPHERE,TEMPLATE_SPHERE_LIST_FOR_NOTE,0))</f>
        <v xml:space="preserve">Указывается общая сумма общепроизводственных расходов.</v>
      </c>
      <c r="L40" s="846" t="str">
        <f>IF(I40=0,"",I40)</f>
        <v>2.10</v>
      </c>
      <c r="M40" s="846" t="str">
        <f>IF(J40=0,"",J40)</f>
        <v xml:space="preserve">Общепроизводственные расходы, в том числе:</v>
      </c>
      <c r="N40" s="846" t="str">
        <f>IF(K40=0,"",K40)</f>
        <v xml:space="preserve">Указывается общая сумма общепроизводственных расходов.</v>
      </c>
      <c r="O40" s="959" t="s">
        <v>2095</v>
      </c>
      <c r="P40" s="959" t="s">
        <v>742</v>
      </c>
      <c r="Q40" s="959" t="s">
        <v>2095</v>
      </c>
      <c r="R40" s="959" t="s">
        <v>742</v>
      </c>
      <c r="S40" s="959"/>
      <c r="T40" s="845" t="s">
        <v>2096</v>
      </c>
      <c r="U40" s="845" t="s">
        <v>2096</v>
      </c>
      <c r="V40" s="845" t="s">
        <v>2096</v>
      </c>
      <c r="W40" s="845" t="s">
        <v>2096</v>
      </c>
      <c r="X40" s="845"/>
      <c r="Y40" s="1002"/>
      <c r="Z40" s="848" t="s">
        <v>2097</v>
      </c>
      <c r="AA40" s="851" t="s">
        <v>2097</v>
      </c>
      <c r="AB40" s="851" t="s">
        <v>2097</v>
      </c>
      <c r="AC40" s="851" t="s">
        <v>2097</v>
      </c>
      <c r="AD40" s="848"/>
    </row>
    <row r="41" ht="27" customHeight="1">
      <c r="A41" s="847"/>
      <c r="B41" s="901">
        <v>24</v>
      </c>
      <c r="C41" s="845" t="s">
        <v>2098</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 xml:space="preserve">Расходы на текущий ремонт</v>
      </c>
      <c r="K41" s="1007" t="str">
        <f>INDEX(TEMPLATE_NOTE_POINT_FHD,B41,MATCH(TEMPLATE_SPHERE,TEMPLATE_SPHERE_LIST_FOR_NOTE,0))</f>
        <v xml:space="preserve">Указываются расходы на текущий ремонт, отнесенные к общепроизводственным расходам.</v>
      </c>
      <c r="L41" s="846" t="str">
        <f>IF(I41=0,"",I41)</f>
        <v>2.10.1</v>
      </c>
      <c r="M41" s="846" t="str">
        <f>IF(J41=0,"",J41)</f>
        <v xml:space="preserve">Расходы на текущий ремонт</v>
      </c>
      <c r="N41" s="846" t="str">
        <f>IF(K41=0,"",K41)</f>
        <v xml:space="preserve">Указываются расходы на текущий ремонт, отнесенные к общепроизводственным расходам.</v>
      </c>
      <c r="O41" s="959" t="s">
        <v>2099</v>
      </c>
      <c r="P41" s="959" t="s">
        <v>2086</v>
      </c>
      <c r="Q41" s="959" t="s">
        <v>2099</v>
      </c>
      <c r="R41" s="959" t="s">
        <v>2086</v>
      </c>
      <c r="S41" s="959"/>
      <c r="T41" s="845" t="s">
        <v>2100</v>
      </c>
      <c r="U41" s="845" t="s">
        <v>2100</v>
      </c>
      <c r="V41" s="845" t="s">
        <v>2100</v>
      </c>
      <c r="W41" s="845" t="s">
        <v>2100</v>
      </c>
      <c r="X41" s="845"/>
      <c r="Y41" s="1002"/>
      <c r="Z41" s="848" t="s">
        <v>2101</v>
      </c>
      <c r="AA41" s="848" t="s">
        <v>2101</v>
      </c>
      <c r="AB41" s="848" t="s">
        <v>2101</v>
      </c>
      <c r="AC41" s="848" t="s">
        <v>2101</v>
      </c>
      <c r="AD41" s="848"/>
    </row>
    <row r="42" ht="27" customHeight="1">
      <c r="A42" s="847"/>
      <c r="B42" s="901">
        <v>25</v>
      </c>
      <c r="C42" s="845" t="s">
        <v>2102</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 xml:space="preserve">Расходы на капитальный ремонт</v>
      </c>
      <c r="K42" s="1007" t="str">
        <f>INDEX(TEMPLATE_NOTE_POINT_FHD,B42,MATCH(TEMPLATE_SPHERE,TEMPLATE_SPHERE_LIST_FOR_NOTE,0))</f>
        <v xml:space="preserve">Указываются расходы на капитальный ремонт, отнесенные к общепроизводственным расходам.</v>
      </c>
      <c r="L42" s="846" t="str">
        <f>IF(I42=0,"",I42)</f>
        <v>2.10.2</v>
      </c>
      <c r="M42" s="846" t="str">
        <f>IF(J42=0,"",J42)</f>
        <v xml:space="preserve">Расходы на капитальный ремонт</v>
      </c>
      <c r="N42" s="846" t="str">
        <f>IF(K42=0,"",K42)</f>
        <v xml:space="preserve">Указываются расходы на капитальный ремонт, отнесенные к общепроизводственным расходам.</v>
      </c>
      <c r="O42" s="959" t="s">
        <v>2103</v>
      </c>
      <c r="P42" s="959" t="s">
        <v>2089</v>
      </c>
      <c r="Q42" s="959" t="s">
        <v>2103</v>
      </c>
      <c r="R42" s="959" t="s">
        <v>2089</v>
      </c>
      <c r="S42" s="959"/>
      <c r="T42" s="845" t="s">
        <v>2104</v>
      </c>
      <c r="U42" s="845" t="s">
        <v>2104</v>
      </c>
      <c r="V42" s="845" t="s">
        <v>2104</v>
      </c>
      <c r="W42" s="845" t="s">
        <v>2104</v>
      </c>
      <c r="X42" s="845"/>
      <c r="Y42" s="1002"/>
      <c r="Z42" s="848" t="s">
        <v>2105</v>
      </c>
      <c r="AA42" s="848" t="s">
        <v>2105</v>
      </c>
      <c r="AB42" s="848" t="s">
        <v>2105</v>
      </c>
      <c r="AC42" s="848" t="s">
        <v>2105</v>
      </c>
      <c r="AD42" s="848"/>
    </row>
    <row r="43" ht="18" customHeight="1">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 xml:space="preserve">Общехозяйственные расходы, в том числе:</v>
      </c>
      <c r="K43" s="1007" t="str">
        <f>INDEX(TEMPLATE_NOTE_POINT_FHD,B43,MATCH(TEMPLATE_SPHERE,TEMPLATE_SPHERE_LIST_FOR_NOTE,0))</f>
        <v xml:space="preserve">Указывается общая сумма общехозяйственных расходов.</v>
      </c>
      <c r="L43" s="846" t="str">
        <f>IF(I43=0,"",I43)</f>
        <v>2.11</v>
      </c>
      <c r="M43" s="846" t="str">
        <f>IF(J43=0,"",J43)</f>
        <v xml:space="preserve">Общехозяйственные расходы, в том числе:</v>
      </c>
      <c r="N43" s="846" t="str">
        <f>IF(K43=0,"",K43)</f>
        <v xml:space="preserve">Указывается общая сумма общехозяйственных расходов.</v>
      </c>
      <c r="O43" s="959" t="s">
        <v>2106</v>
      </c>
      <c r="P43" s="959" t="s">
        <v>746</v>
      </c>
      <c r="Q43" s="959" t="s">
        <v>2106</v>
      </c>
      <c r="R43" s="959" t="s">
        <v>746</v>
      </c>
      <c r="S43" s="959"/>
      <c r="T43" s="845" t="s">
        <v>2107</v>
      </c>
      <c r="U43" s="845" t="s">
        <v>2107</v>
      </c>
      <c r="V43" s="845" t="s">
        <v>2107</v>
      </c>
      <c r="W43" s="845" t="s">
        <v>2107</v>
      </c>
      <c r="X43" s="845"/>
      <c r="Y43" s="1002"/>
      <c r="Z43" s="848" t="s">
        <v>2108</v>
      </c>
      <c r="AA43" s="848" t="s">
        <v>2108</v>
      </c>
      <c r="AB43" s="848" t="s">
        <v>2108</v>
      </c>
      <c r="AC43" s="848" t="s">
        <v>2108</v>
      </c>
      <c r="AD43" s="848"/>
    </row>
    <row r="44" ht="27" customHeight="1">
      <c r="A44" s="847"/>
      <c r="B44" s="901">
        <v>27</v>
      </c>
      <c r="C44" s="845" t="s">
        <v>2109</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 xml:space="preserve">Расходы на текущий ремонт</v>
      </c>
      <c r="K44" s="1007" t="str">
        <f>INDEX(TEMPLATE_NOTE_POINT_FHD,B44,MATCH(TEMPLATE_SPHERE,TEMPLATE_SPHERE_LIST_FOR_NOTE,0))</f>
        <v xml:space="preserve">Указываются расходы на текущий ремонт, отнесенные к общехозяйственным расходам.</v>
      </c>
      <c r="L44" s="846" t="str">
        <f>IF(I44=0,"",I44)</f>
        <v>2.11.1</v>
      </c>
      <c r="M44" s="846" t="str">
        <f>IF(J44=0,"",J44)</f>
        <v xml:space="preserve">Расходы на текущий ремонт</v>
      </c>
      <c r="N44" s="846" t="str">
        <f>IF(K44=0,"",K44)</f>
        <v xml:space="preserve">Указываются расходы на текущий ремонт, отнесенные к общехозяйственным расходам.</v>
      </c>
      <c r="O44" s="959" t="s">
        <v>2110</v>
      </c>
      <c r="P44" s="959" t="s">
        <v>2111</v>
      </c>
      <c r="Q44" s="959" t="s">
        <v>2110</v>
      </c>
      <c r="R44" s="959" t="s">
        <v>2111</v>
      </c>
      <c r="S44" s="959"/>
      <c r="T44" s="845" t="s">
        <v>2100</v>
      </c>
      <c r="U44" s="845" t="s">
        <v>2100</v>
      </c>
      <c r="V44" s="845" t="s">
        <v>2100</v>
      </c>
      <c r="W44" s="845" t="s">
        <v>2100</v>
      </c>
      <c r="X44" s="845"/>
      <c r="Y44" s="1002"/>
      <c r="Z44" s="848" t="s">
        <v>2112</v>
      </c>
      <c r="AA44" s="848" t="s">
        <v>2112</v>
      </c>
      <c r="AB44" s="848" t="s">
        <v>2112</v>
      </c>
      <c r="AC44" s="848" t="s">
        <v>2112</v>
      </c>
      <c r="AD44" s="848"/>
    </row>
    <row r="45" ht="27" customHeight="1">
      <c r="A45" s="847"/>
      <c r="B45" s="901">
        <v>28</v>
      </c>
      <c r="C45" s="845" t="s">
        <v>2113</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 xml:space="preserve">Расходы на капитальный ремонт</v>
      </c>
      <c r="K45" s="1007" t="str">
        <f>INDEX(TEMPLATE_NOTE_POINT_FHD,B45,MATCH(TEMPLATE_SPHERE,TEMPLATE_SPHERE_LIST_FOR_NOTE,0))</f>
        <v xml:space="preserve">Указываются расходы на капитальный ремонт, отнесенные к общехозяйственным расходам.</v>
      </c>
      <c r="L45" s="846" t="str">
        <f>IF(I45=0,"",I45)</f>
        <v>2.11.2</v>
      </c>
      <c r="M45" s="846" t="str">
        <f>IF(J45=0,"",J45)</f>
        <v xml:space="preserve">Расходы на капитальный ремонт</v>
      </c>
      <c r="N45" s="846" t="str">
        <f>IF(K45=0,"",K45)</f>
        <v xml:space="preserve">Указываются расходы на капитальный ремонт, отнесенные к общехозяйственным расходам.</v>
      </c>
      <c r="O45" s="959" t="s">
        <v>2114</v>
      </c>
      <c r="P45" s="959" t="s">
        <v>2115</v>
      </c>
      <c r="Q45" s="959" t="s">
        <v>2114</v>
      </c>
      <c r="R45" s="959" t="s">
        <v>2115</v>
      </c>
      <c r="S45" s="959"/>
      <c r="T45" s="845" t="s">
        <v>2104</v>
      </c>
      <c r="U45" s="845" t="s">
        <v>2104</v>
      </c>
      <c r="V45" s="845" t="s">
        <v>2104</v>
      </c>
      <c r="W45" s="845" t="s">
        <v>2104</v>
      </c>
      <c r="X45" s="845"/>
      <c r="Y45" s="1002"/>
      <c r="Z45" s="848" t="s">
        <v>2116</v>
      </c>
      <c r="AA45" s="848" t="s">
        <v>2116</v>
      </c>
      <c r="AB45" s="848" t="s">
        <v>2116</v>
      </c>
      <c r="AC45" s="848" t="s">
        <v>2116</v>
      </c>
      <c r="AD45" s="848"/>
    </row>
    <row r="46" ht="54" customHeight="1">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 xml:space="preserve">Расходы на капитальный и текущий ремонт основных средств</v>
      </c>
      <c r="K46" s="1007" t="str">
        <f>INDEX(TEMPLATE_NOTE_POINT_FHD,B46,MATCH(TEMPLATE_SPHERE,TEMPLATE_SPHERE_LIST_FOR_NOTE,0))</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 xml:space="preserve">Расходы на капитальный и текущий ремонт основных средств</v>
      </c>
      <c r="N46" s="846" t="str">
        <f>IF(K46=0,"",K46)</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2117</v>
      </c>
      <c r="P46" s="959" t="s">
        <v>2095</v>
      </c>
      <c r="Q46" s="959" t="s">
        <v>2117</v>
      </c>
      <c r="R46" s="959" t="s">
        <v>2095</v>
      </c>
      <c r="S46" s="959"/>
      <c r="T46" s="846"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средств</v>
      </c>
      <c r="U46" s="845" t="s">
        <v>2118</v>
      </c>
      <c r="V46" s="845" t="s">
        <v>2118</v>
      </c>
      <c r="W46" s="845" t="s">
        <v>2118</v>
      </c>
      <c r="X46" s="845"/>
      <c r="Y46" s="1002"/>
      <c r="Z46" s="848" t="s">
        <v>2119</v>
      </c>
      <c r="AA46" s="848" t="s">
        <v>2120</v>
      </c>
      <c r="AB46" s="848" t="s">
        <v>2120</v>
      </c>
      <c r="AC46" s="848" t="s">
        <v>2120</v>
      </c>
      <c r="AD46" s="848"/>
    </row>
    <row r="47" ht="54" customHeight="1">
      <c r="A47" s="847"/>
      <c r="B47" s="901">
        <v>30</v>
      </c>
      <c r="C47" s="845" t="s">
        <v>2121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2122</v>
      </c>
      <c r="P47" s="959" t="s">
        <v>2099</v>
      </c>
      <c r="Q47" s="959" t="s">
        <v>2122</v>
      </c>
      <c r="R47" s="959" t="s">
        <v>2099</v>
      </c>
      <c r="S47" s="959"/>
      <c r="T47" s="845" t="s">
        <v>2123</v>
      </c>
      <c r="U47" s="845" t="s">
        <v>2123</v>
      </c>
      <c r="V47" s="845" t="s">
        <v>2123</v>
      </c>
      <c r="W47" s="845" t="s">
        <v>2123</v>
      </c>
      <c r="X47" s="845"/>
      <c r="Y47" s="1002"/>
      <c r="Z47" s="848"/>
      <c r="AA47" s="851"/>
      <c r="AB47" s="851"/>
      <c r="AC47" s="851"/>
      <c r="AD47" s="848"/>
    </row>
    <row r="48" ht="54" customHeight="1">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2106</v>
      </c>
      <c r="Q48" s="959" t="s">
        <v>2124</v>
      </c>
      <c r="R48" s="959" t="s">
        <v>2106</v>
      </c>
      <c r="S48" s="959"/>
      <c r="T48" s="845"/>
      <c r="U48" s="845" t="s">
        <v>2125</v>
      </c>
      <c r="V48" s="845" t="s">
        <v>2126</v>
      </c>
      <c r="W48" s="845" t="s">
        <v>2126</v>
      </c>
      <c r="X48" s="845"/>
      <c r="Y48" s="1002"/>
      <c r="Z48" s="848"/>
      <c r="AA48" s="851" t="s">
        <v>2120</v>
      </c>
      <c r="AB48" s="851" t="s">
        <v>2120</v>
      </c>
      <c r="AC48" s="851" t="s">
        <v>2120</v>
      </c>
      <c r="AD48" s="848"/>
    </row>
    <row r="49" ht="54" customHeight="1">
      <c r="A49" s="847"/>
      <c r="B49" s="901">
        <v>32</v>
      </c>
      <c r="C49" s="845" t="s">
        <v>2127</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2110</v>
      </c>
      <c r="Q49" s="959" t="s">
        <v>2128</v>
      </c>
      <c r="R49" s="959" t="s">
        <v>2110</v>
      </c>
      <c r="S49" s="959"/>
      <c r="T49" s="845"/>
      <c r="U49" s="845" t="s">
        <v>2123</v>
      </c>
      <c r="V49" s="845" t="s">
        <v>2123</v>
      </c>
      <c r="W49" s="845" t="s">
        <v>2123</v>
      </c>
      <c r="X49" s="845"/>
      <c r="Y49" s="1002"/>
      <c r="Z49" s="848"/>
      <c r="AA49" s="851"/>
      <c r="AB49" s="851"/>
      <c r="AC49" s="851"/>
      <c r="AD49" s="848"/>
    </row>
    <row r="50" ht="126" customHeight="1">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 xml:space="preserve">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 xml:space="preserve">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2124</v>
      </c>
      <c r="P50" s="959" t="s">
        <v>2117</v>
      </c>
      <c r="Q50" s="959" t="s">
        <v>2129</v>
      </c>
      <c r="R50" s="959" t="s">
        <v>2117</v>
      </c>
      <c r="S50" s="959"/>
      <c r="T50" s="845" t="s">
        <v>2130</v>
      </c>
      <c r="U50" s="845" t="s">
        <v>2131</v>
      </c>
      <c r="V50" s="845" t="s">
        <v>2132</v>
      </c>
      <c r="W50" s="845" t="s">
        <v>2133</v>
      </c>
      <c r="X50" s="845"/>
      <c r="Y50" s="1002"/>
      <c r="Z50" s="848" t="s">
        <v>2134</v>
      </c>
      <c r="AA50" s="851" t="s">
        <v>2135</v>
      </c>
      <c r="AB50" s="851" t="s">
        <v>2135</v>
      </c>
      <c r="AC50" s="851" t="s">
        <v>2135</v>
      </c>
      <c r="AD50" s="848"/>
    </row>
    <row r="51" ht="27" customHeight="1">
      <c r="A51" s="847"/>
      <c r="B51" s="901">
        <v>34</v>
      </c>
      <c r="C51" s="845" t="s">
        <v>2136</v>
      </c>
      <c r="D51" s="969"/>
      <c r="E51" s="845"/>
      <c r="F51" s="845"/>
      <c r="G51" s="845"/>
      <c r="H51" s="893"/>
      <c r="I51" s="1007" t="str">
        <f>INDEX(TEMPLATE_NUMBER_POINT_FHD,B51,MATCH(TEMPLATE_SPHERE,TEMPLATE_SPHERE_LIST_FOR_NOTE,0))</f>
        <v>3</v>
      </c>
      <c r="J51" s="1007" t="str">
        <f>INDEX(TEMPLATE_DATA_POINT_FHD,B51,MATCH(TEMPLATE_SPHERE,TEMPLATE_SPHERE_LIST_FOR_NOTE,0))</f>
        <v xml:space="preserve">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 xml:space="preserve">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2137</v>
      </c>
      <c r="U51" s="845"/>
      <c r="V51" s="845"/>
      <c r="W51" s="845"/>
      <c r="X51" s="845"/>
      <c r="Y51" s="1002"/>
      <c r="Z51" s="848"/>
      <c r="AA51" s="851"/>
      <c r="AB51" s="851"/>
      <c r="AC51" s="851"/>
      <c r="AD51" s="848"/>
    </row>
    <row r="52" ht="36" customHeight="1">
      <c r="A52" s="847"/>
      <c r="B52" s="901">
        <v>35</v>
      </c>
      <c r="C52" s="845" t="s">
        <v>2030</v>
      </c>
      <c r="D52" s="969" t="s">
        <v>2030</v>
      </c>
      <c r="E52" s="845" t="s">
        <v>2030</v>
      </c>
      <c r="F52" s="845" t="s">
        <v>2030</v>
      </c>
      <c r="G52" s="845"/>
      <c r="H52" s="893"/>
      <c r="I52" s="1007" t="str">
        <f>INDEX(TEMPLATE_NUMBER_POINT_FHD,B52,MATCH(TEMPLATE_SPHERE,TEMPLATE_SPHERE_LIST_FOR_NOTE,0))</f>
        <v>4</v>
      </c>
      <c r="J52" s="1007" t="str">
        <f>INDEX(TEMPLATE_DATA_POINT_FHD,B52,MATCH(TEMPLATE_SPHERE,TEMPLATE_SPHERE_LIST_FOR_NOTE,0))</f>
        <v xml:space="preserve">Чистая прибыль, полученная от регулируемого вида деятельности, в том числе:</v>
      </c>
      <c r="K52" s="1007" t="str">
        <f>INDEX(TEMPLATE_NOTE_POINT_FHD,B52,MATCH(TEMPLATE_SPHERE,TEMPLATE_SPHERE_LIST_FOR_NOTE,0))</f>
        <v xml:space="preserve">Указывается общая сумма чистой прибыли, полученной от регулируемого вида деятельности.</v>
      </c>
      <c r="L52" s="846" t="str">
        <f>IF(I52=0,"",I52)</f>
        <v>4</v>
      </c>
      <c r="M52" s="846" t="str">
        <f>IF(J52=0,"",J52)</f>
        <v xml:space="preserve">Чистая прибыль, полученная от регулируемого вида деятельности, в том числе:</v>
      </c>
      <c r="N52" s="846" t="str">
        <f>IF(K52=0,"",K52)</f>
        <v xml:space="preserve">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2138</v>
      </c>
      <c r="U52" s="845" t="s">
        <v>2139</v>
      </c>
      <c r="V52" s="845" t="s">
        <v>2140</v>
      </c>
      <c r="W52" s="845" t="s">
        <v>2141</v>
      </c>
      <c r="X52" s="845"/>
      <c r="Y52" s="1002"/>
      <c r="Z52" s="848" t="s">
        <v>750</v>
      </c>
      <c r="AA52" s="851" t="s">
        <v>750</v>
      </c>
      <c r="AB52" s="851" t="s">
        <v>750</v>
      </c>
      <c r="AC52" s="851" t="s">
        <v>750</v>
      </c>
      <c r="AD52" s="848"/>
    </row>
    <row r="53" ht="36" customHeight="1">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2142</v>
      </c>
      <c r="U53" s="845" t="s">
        <v>2142</v>
      </c>
      <c r="V53" s="845" t="s">
        <v>2142</v>
      </c>
      <c r="W53" s="845" t="s">
        <v>2142</v>
      </c>
      <c r="X53" s="845"/>
      <c r="Y53" s="1002"/>
      <c r="Z53" s="848"/>
      <c r="AA53" s="851"/>
      <c r="AB53" s="848"/>
      <c r="AC53" s="848"/>
      <c r="AD53" s="848"/>
    </row>
    <row r="54" ht="18" customHeight="1">
      <c r="A54" s="847"/>
      <c r="B54" s="901">
        <v>37</v>
      </c>
      <c r="C54" s="845" t="s">
        <v>2036</v>
      </c>
      <c r="D54" s="969" t="s">
        <v>2036</v>
      </c>
      <c r="E54" s="845" t="s">
        <v>2036</v>
      </c>
      <c r="F54" s="845" t="s">
        <v>2036</v>
      </c>
      <c r="G54" s="845"/>
      <c r="H54" s="893"/>
      <c r="I54" s="1007" t="str">
        <f>INDEX(TEMPLATE_NUMBER_POINT_FHD,B54,MATCH(TEMPLATE_SPHERE,TEMPLATE_SPHERE_LIST_FOR_NOTE,0))</f>
        <v>5</v>
      </c>
      <c r="J54" s="1007" t="str">
        <f>INDEX(TEMPLATE_DATA_POINT_FHD,B54,MATCH(TEMPLATE_SPHERE,TEMPLATE_SPHERE_LIST_FOR_NOTE,0))</f>
        <v xml:space="preserve">Изменение стоимости основных фондов, в том числе:</v>
      </c>
      <c r="K54" s="1007" t="str">
        <f>INDEX(TEMPLATE_NOTE_POINT_FHD,B54,MATCH(TEMPLATE_SPHERE,TEMPLATE_SPHERE_LIST_FOR_NOTE,0))</f>
        <v xml:space="preserve">Указывается общее изменение стоимости основных фондов.</v>
      </c>
      <c r="L54" s="846" t="str">
        <f>IF(I54=0,"",I54)</f>
        <v>5</v>
      </c>
      <c r="M54" s="846" t="str">
        <f>IF(J54=0,"",J54)</f>
        <v xml:space="preserve">Изменение стоимости основных фондов, в том числе:</v>
      </c>
      <c r="N54" s="846" t="str">
        <f>IF(K54=0,"",K54)</f>
        <v xml:space="preserve">Указывается общее изменение стоимости основных фондов.</v>
      </c>
      <c r="O54" s="959" t="s">
        <v>112</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r="55" ht="36" customHeight="1">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 xml:space="preserve">Изменение стоимости основных фондов за счет:</v>
      </c>
      <c r="K55" s="1007" t="str">
        <f>INDEX(TEMPLATE_NOTE_POINT_FHD,B55,MATCH(TEMPLATE_SPHERE,TEMPLATE_SPHERE_LIST_FOR_NOTE,0))</f>
        <v xml:space="preserve">Указываются общее изменение стоимости основных фондов за счет их ввода в эксплуатацию и вывода из эксплуатации.</v>
      </c>
      <c r="L55" s="846" t="str">
        <f>IF(I55=0,"",I55)</f>
        <v>5.1</v>
      </c>
      <c r="M55" s="846" t="str">
        <f>IF(J55=0,"",J55)</f>
        <v xml:space="preserve">Изменение стоимости основных фондов за счет:</v>
      </c>
      <c r="N55" s="846" t="str">
        <f>IF(K55=0,"",K55)</f>
        <v xml:space="preserve">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 xml:space="preserve">Изменение стоимости основных фондов за счет:</v>
      </c>
      <c r="U55" s="845" t="s">
        <v>2143</v>
      </c>
      <c r="V55" s="845" t="s">
        <v>2143</v>
      </c>
      <c r="W55" s="845" t="s">
        <v>2143</v>
      </c>
      <c r="X55" s="845"/>
      <c r="Y55" s="1002"/>
      <c r="Z55" s="848" t="s">
        <v>2144</v>
      </c>
      <c r="AA55" s="848" t="s">
        <v>2144</v>
      </c>
      <c r="AB55" s="848" t="s">
        <v>2144</v>
      </c>
      <c r="AC55" s="848" t="s">
        <v>2144</v>
      </c>
      <c r="AD55" s="848"/>
    </row>
    <row r="56" ht="27" customHeight="1">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 xml:space="preserve">Изменения стоимости основных фондов за счет их ввода в эксплуатацию</v>
      </c>
      <c r="K56" s="1007" t="str">
        <f>INDEX(TEMPLATE_NOTE_POINT_FHD,B56,MATCH(TEMPLATE_SPHERE,TEMPLATE_SPHERE_LIST_FOR_NOTE,0))</f>
        <v xml:space="preserve">Указываются изменение стоимости основных фондов за счет их ввода в эксплуатацию.</v>
      </c>
      <c r="L56" s="846" t="str">
        <f>IF(I56=0,"",I56)</f>
        <v>5.1.1</v>
      </c>
      <c r="M56" s="846" t="str">
        <f>IF(J56=0,"",J56)</f>
        <v xml:space="preserve">Изменения стоимости основных фондов за счет их ввода в эксплуатацию</v>
      </c>
      <c r="N56" s="846" t="str">
        <f>IF(K56=0,"",K56)</f>
        <v xml:space="preserve">Указываются изменение стоимости основных фондов за счет их ввода в эксплуатацию.</v>
      </c>
      <c r="O56" s="959" t="s">
        <v>1141</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 xml:space="preserve">Изменения стоимости основных фондов за счет их ввода в эксплуатацию</v>
      </c>
      <c r="U56" s="845" t="s">
        <v>2145</v>
      </c>
      <c r="V56" s="845" t="s">
        <v>2145</v>
      </c>
      <c r="W56" s="845" t="s">
        <v>2145</v>
      </c>
      <c r="X56" s="845"/>
      <c r="Y56" s="1002"/>
      <c r="Z56" s="848" t="s">
        <v>759</v>
      </c>
      <c r="AA56" s="848" t="s">
        <v>759</v>
      </c>
      <c r="AB56" s="848" t="s">
        <v>759</v>
      </c>
      <c r="AC56" s="848" t="s">
        <v>759</v>
      </c>
      <c r="AD56" s="848"/>
    </row>
    <row r="57" ht="27" customHeight="1">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 xml:space="preserve">Изменения стоимости основных фондов за счет их вывода в эксплуатацию</v>
      </c>
      <c r="K57" s="1007" t="str">
        <f>INDEX(TEMPLATE_NOTE_POINT_FHD,B57,MATCH(TEMPLATE_SPHERE,TEMPLATE_SPHERE_LIST_FOR_NOTE,0))</f>
        <v xml:space="preserve">Указываются изменение стоимости основных фондов за счет их вывода из эксплуатации.</v>
      </c>
      <c r="L57" s="846" t="str">
        <f>IF(I57=0,"",I57)</f>
        <v>5.1.2</v>
      </c>
      <c r="M57" s="846" t="str">
        <f>IF(J57=0,"",J57)</f>
        <v xml:space="preserve">Изменения стоимости основных фондов за счет их вывода в эксплуатацию</v>
      </c>
      <c r="N57" s="846" t="str">
        <f>IF(K57=0,"",K57)</f>
        <v xml:space="preserve">Указываются изменение стоимости основных фондов за счет их вывода из эксплуатации.</v>
      </c>
      <c r="O57" s="959" t="s">
        <v>2146</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 xml:space="preserve">Изменения стоимости основных фондов за счет их вывода в эксплуатацию</v>
      </c>
      <c r="U57" s="845" t="s">
        <v>2147</v>
      </c>
      <c r="V57" s="845" t="s">
        <v>2147</v>
      </c>
      <c r="W57" s="845" t="s">
        <v>2147</v>
      </c>
      <c r="X57" s="845"/>
      <c r="Y57" s="1002"/>
      <c r="Z57" s="848" t="s">
        <v>762</v>
      </c>
      <c r="AA57" s="848" t="s">
        <v>762</v>
      </c>
      <c r="AB57" s="848" t="s">
        <v>762</v>
      </c>
      <c r="AC57" s="848" t="s">
        <v>762</v>
      </c>
      <c r="AD57" s="848"/>
    </row>
    <row r="58" ht="18" customHeight="1">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 xml:space="preserve">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 xml:space="preserve">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 xml:space="preserve">Изменение стоимости основных фондов за счет их переоценки</v>
      </c>
      <c r="U58" s="845" t="s">
        <v>2148</v>
      </c>
      <c r="V58" s="845" t="s">
        <v>2148</v>
      </c>
      <c r="W58" s="845" t="s">
        <v>2148</v>
      </c>
      <c r="X58" s="845"/>
      <c r="Y58" s="1002"/>
      <c r="Z58" s="848"/>
      <c r="AA58" s="851"/>
      <c r="AB58" s="848"/>
      <c r="AC58" s="848"/>
      <c r="AD58" s="848"/>
    </row>
    <row r="59" ht="36" customHeight="1">
      <c r="A59" s="847"/>
      <c r="B59" s="901">
        <v>42</v>
      </c>
      <c r="C59" s="845">
        <v>3</v>
      </c>
      <c r="D59" s="969" t="s">
        <v>2136</v>
      </c>
      <c r="E59" s="845" t="s">
        <v>2136</v>
      </c>
      <c r="F59" s="845" t="s">
        <v>2136</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112</v>
      </c>
      <c r="Q59" s="959" t="s">
        <v>112</v>
      </c>
      <c r="R59" s="959" t="s">
        <v>112</v>
      </c>
      <c r="S59" s="959"/>
      <c r="T59" s="845"/>
      <c r="U59" s="845" t="s">
        <v>2149</v>
      </c>
      <c r="V59" s="845" t="s">
        <v>2150</v>
      </c>
      <c r="W59" s="845" t="s">
        <v>2151</v>
      </c>
      <c r="X59" s="845"/>
      <c r="Y59" s="1002"/>
      <c r="Z59" s="848"/>
      <c r="AA59" s="851"/>
      <c r="AB59" s="848"/>
      <c r="AC59" s="848"/>
      <c r="AD59" s="848"/>
    </row>
    <row r="60" ht="81" customHeight="1">
      <c r="A60" s="847"/>
      <c r="B60" s="901">
        <v>43</v>
      </c>
      <c r="C60" s="845" t="s">
        <v>2152</v>
      </c>
      <c r="D60" s="969" t="s">
        <v>2152</v>
      </c>
      <c r="E60" s="845" t="s">
        <v>2152</v>
      </c>
      <c r="F60" s="845" t="s">
        <v>2152</v>
      </c>
      <c r="G60" s="845"/>
      <c r="H60" s="893"/>
      <c r="I60" s="1007" t="str">
        <f>INDEX(TEMPLATE_NUMBER_POINT_FHD,B60,MATCH(TEMPLATE_SPHERE,TEMPLATE_SPHERE_LIST_FOR_NOTE,0))</f>
        <v>6</v>
      </c>
      <c r="J60" s="1007" t="str">
        <f>INDEX(TEMPLATE_DATA_POINT_FHD,B60,MATCH(TEMPLATE_SPHERE,TEMPLATE_SPHERE_LIST_FOR_NOTE,0))</f>
        <v xml:space="preserve">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 xml:space="preserve">Годовая бухгалтерская (финансовая) отчетность, включая бухгалтерский баланс и приложения к нему</v>
      </c>
      <c r="N60" s="846" t="str">
        <f>IF(K60=0,"",K60)</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2153</v>
      </c>
      <c r="AA60" s="851" t="s">
        <v>2154</v>
      </c>
      <c r="AB60" s="848" t="s">
        <v>2155</v>
      </c>
      <c r="AC60" s="848" t="s">
        <v>2154</v>
      </c>
      <c r="AD60" s="848"/>
    </row>
    <row r="61" ht="9" customHeight="1">
      <c r="A61" s="847"/>
      <c r="B61" s="901">
        <v>44</v>
      </c>
      <c r="C61" s="845"/>
      <c r="D61" s="969" t="s">
        <v>2156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2157</v>
      </c>
      <c r="V61" s="845"/>
      <c r="W61" s="845"/>
      <c r="X61" s="845"/>
      <c r="Y61" s="1002"/>
      <c r="Z61" s="848"/>
      <c r="AA61" s="851"/>
      <c r="AB61" s="848"/>
      <c r="AC61" s="848"/>
      <c r="AD61" s="848"/>
    </row>
    <row r="62" ht="9" customHeight="1">
      <c r="A62" s="847"/>
      <c r="B62" s="901">
        <v>45</v>
      </c>
      <c r="C62" s="845"/>
      <c r="D62" s="969" t="s">
        <v>2158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113</v>
      </c>
      <c r="Q62" s="959"/>
      <c r="R62" s="959"/>
      <c r="S62" s="959"/>
      <c r="T62" s="845"/>
      <c r="U62" s="845" t="s">
        <v>2159</v>
      </c>
      <c r="V62" s="845"/>
      <c r="W62" s="845"/>
      <c r="X62" s="845"/>
      <c r="Y62" s="1002"/>
      <c r="Z62" s="848"/>
      <c r="AA62" s="851"/>
      <c r="AB62" s="848"/>
      <c r="AC62" s="848"/>
      <c r="AD62" s="848"/>
    </row>
    <row r="63" ht="18" customHeight="1">
      <c r="A63" s="847"/>
      <c r="B63" s="901">
        <v>46</v>
      </c>
      <c r="C63" s="845"/>
      <c r="D63" s="969" t="s">
        <v>2160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2161</v>
      </c>
      <c r="V63" s="845"/>
      <c r="W63" s="845"/>
      <c r="X63" s="845"/>
      <c r="Y63" s="1002"/>
      <c r="Z63" s="848"/>
      <c r="AA63" s="851"/>
      <c r="AB63" s="848"/>
      <c r="AC63" s="848"/>
      <c r="AD63" s="848"/>
    </row>
    <row r="64" ht="18" customHeight="1">
      <c r="A64" s="847"/>
      <c r="B64" s="901">
        <v>47</v>
      </c>
      <c r="C64" s="845"/>
      <c r="D64" s="969" t="s">
        <v>2162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2163</v>
      </c>
      <c r="V64" s="845"/>
      <c r="W64" s="845"/>
      <c r="X64" s="845"/>
      <c r="Y64" s="1002"/>
      <c r="Z64" s="848"/>
      <c r="AA64" s="851" t="s">
        <v>2164</v>
      </c>
      <c r="AB64" s="848"/>
      <c r="AC64" s="848"/>
      <c r="AD64" s="848"/>
    </row>
    <row r="65" ht="18" customHeight="1">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2077</v>
      </c>
      <c r="Q65" s="959"/>
      <c r="R65" s="959"/>
      <c r="S65" s="959"/>
      <c r="T65" s="845"/>
      <c r="U65" s="845" t="s">
        <v>2165</v>
      </c>
      <c r="V65" s="845"/>
      <c r="W65" s="845"/>
      <c r="X65" s="845"/>
      <c r="Y65" s="1002"/>
      <c r="Z65" s="848"/>
      <c r="AA65" s="851"/>
      <c r="AB65" s="848"/>
      <c r="AC65" s="848"/>
      <c r="AD65" s="848"/>
    </row>
    <row r="66" ht="18" customHeight="1">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2081</v>
      </c>
      <c r="Q66" s="959"/>
      <c r="R66" s="959"/>
      <c r="S66" s="959"/>
      <c r="T66" s="845"/>
      <c r="U66" s="845" t="s">
        <v>2166</v>
      </c>
      <c r="V66" s="845"/>
      <c r="W66" s="845"/>
      <c r="X66" s="845"/>
      <c r="Y66" s="1002"/>
      <c r="Z66" s="848"/>
      <c r="AA66" s="851"/>
      <c r="AB66" s="848"/>
      <c r="AC66" s="848"/>
      <c r="AD66" s="848"/>
    </row>
    <row r="67" ht="27" customHeight="1">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2167</v>
      </c>
      <c r="Q67" s="959"/>
      <c r="R67" s="959"/>
      <c r="S67" s="959"/>
      <c r="T67" s="845"/>
      <c r="U67" s="845" t="s">
        <v>2168</v>
      </c>
      <c r="V67" s="845"/>
      <c r="W67" s="845"/>
      <c r="X67" s="845"/>
      <c r="Y67" s="1002"/>
      <c r="Z67" s="848"/>
      <c r="AA67" s="851"/>
      <c r="AB67" s="848"/>
      <c r="AC67" s="848"/>
      <c r="AD67" s="848"/>
    </row>
    <row r="68" ht="27" customHeight="1">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2169</v>
      </c>
      <c r="Q68" s="959"/>
      <c r="R68" s="959"/>
      <c r="S68" s="959"/>
      <c r="T68" s="845"/>
      <c r="U68" s="845" t="s">
        <v>2170</v>
      </c>
      <c r="V68" s="845"/>
      <c r="W68" s="845"/>
      <c r="X68" s="845"/>
      <c r="Y68" s="1002"/>
      <c r="Z68" s="848"/>
      <c r="AA68" s="851"/>
      <c r="AB68" s="848"/>
      <c r="AC68" s="848"/>
      <c r="AD68" s="848"/>
    </row>
    <row r="69" ht="9" customHeight="1">
      <c r="A69" s="847"/>
      <c r="B69" s="901">
        <v>52</v>
      </c>
      <c r="C69" s="845"/>
      <c r="D69" s="969" t="s">
        <v>2171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2172</v>
      </c>
      <c r="V69" s="845"/>
      <c r="W69" s="845"/>
      <c r="X69" s="845"/>
      <c r="Y69" s="1002"/>
      <c r="Z69" s="848"/>
      <c r="AA69" s="851"/>
      <c r="AB69" s="848"/>
      <c r="AC69" s="848"/>
      <c r="AD69" s="848"/>
    </row>
    <row r="70" ht="27" customHeight="1">
      <c r="A70" s="847"/>
      <c r="B70" s="901">
        <v>53</v>
      </c>
      <c r="C70" s="845"/>
      <c r="D70" s="969"/>
      <c r="E70" s="845" t="s">
        <v>2156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2173</v>
      </c>
      <c r="W70" s="845"/>
      <c r="X70" s="845"/>
      <c r="Y70" s="1002"/>
      <c r="Z70" s="848"/>
      <c r="AA70" s="851"/>
      <c r="AB70" s="848"/>
      <c r="AC70" s="848"/>
      <c r="AD70" s="848"/>
    </row>
    <row r="71" ht="36" customHeight="1">
      <c r="A71" s="847"/>
      <c r="B71" s="901">
        <v>54</v>
      </c>
      <c r="C71" s="845"/>
      <c r="D71" s="969"/>
      <c r="E71" s="845" t="s">
        <v>2158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113</v>
      </c>
      <c r="R71" s="959"/>
      <c r="S71" s="959"/>
      <c r="T71" s="845"/>
      <c r="U71" s="845"/>
      <c r="V71" s="845" t="s">
        <v>2174</v>
      </c>
      <c r="W71" s="845"/>
      <c r="X71" s="845"/>
      <c r="Y71" s="1002"/>
      <c r="Z71" s="848"/>
      <c r="AA71" s="851"/>
      <c r="AB71" s="848"/>
      <c r="AC71" s="848"/>
      <c r="AD71" s="848"/>
    </row>
    <row r="72" ht="27" customHeight="1">
      <c r="A72" s="847"/>
      <c r="B72" s="901">
        <v>55</v>
      </c>
      <c r="C72" s="845"/>
      <c r="D72" s="969"/>
      <c r="E72" s="845" t="s">
        <v>2160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2175</v>
      </c>
      <c r="W72" s="845"/>
      <c r="X72" s="845"/>
      <c r="Y72" s="1002"/>
      <c r="Z72" s="848"/>
      <c r="AA72" s="851"/>
      <c r="AB72" s="848"/>
      <c r="AC72" s="848"/>
      <c r="AD72" s="848"/>
    </row>
    <row r="73" ht="36" customHeight="1">
      <c r="A73" s="847"/>
      <c r="B73" s="901">
        <v>56</v>
      </c>
      <c r="C73" s="845"/>
      <c r="D73" s="969"/>
      <c r="E73" s="845" t="s">
        <v>2162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2176</v>
      </c>
      <c r="W73" s="845"/>
      <c r="X73" s="845"/>
      <c r="Y73" s="1002"/>
      <c r="Z73" s="848"/>
      <c r="AA73" s="851"/>
      <c r="AB73" s="848"/>
      <c r="AC73" s="848"/>
      <c r="AD73" s="848"/>
    </row>
    <row r="74" ht="18" customHeight="1">
      <c r="A74" s="847"/>
      <c r="B74" s="901">
        <v>57</v>
      </c>
      <c r="C74" s="845"/>
      <c r="D74" s="969"/>
      <c r="E74" s="845" t="s">
        <v>2171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2177</v>
      </c>
      <c r="W74" s="845"/>
      <c r="X74" s="845"/>
      <c r="Y74" s="1002"/>
      <c r="Z74" s="848"/>
      <c r="AA74" s="851"/>
      <c r="AB74" s="848"/>
      <c r="AC74" s="848"/>
      <c r="AD74" s="848"/>
    </row>
    <row r="75" ht="18" customHeight="1">
      <c r="A75" s="847"/>
      <c r="B75" s="901">
        <v>58</v>
      </c>
      <c r="C75" s="845"/>
      <c r="D75" s="969"/>
      <c r="E75" s="845"/>
      <c r="F75" s="845" t="s">
        <v>2156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2178</v>
      </c>
      <c r="X75" s="845"/>
      <c r="Y75" s="1002"/>
      <c r="Z75" s="848"/>
      <c r="AA75" s="851"/>
      <c r="AB75" s="848"/>
      <c r="AC75" s="848"/>
      <c r="AD75" s="848"/>
    </row>
    <row r="76" ht="36" customHeight="1">
      <c r="A76" s="847"/>
      <c r="B76" s="901">
        <v>59</v>
      </c>
      <c r="C76" s="845"/>
      <c r="D76" s="969"/>
      <c r="E76" s="845"/>
      <c r="F76" s="845" t="s">
        <v>2158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113</v>
      </c>
      <c r="S76" s="959"/>
      <c r="T76" s="845"/>
      <c r="U76" s="845"/>
      <c r="V76" s="845"/>
      <c r="W76" s="845" t="s">
        <v>2179</v>
      </c>
      <c r="X76" s="845"/>
      <c r="Y76" s="1002"/>
      <c r="Z76" s="848"/>
      <c r="AA76" s="851"/>
      <c r="AB76" s="848"/>
      <c r="AC76" s="848"/>
      <c r="AD76" s="848"/>
    </row>
    <row r="77" ht="18" customHeight="1">
      <c r="A77" s="847"/>
      <c r="B77" s="901">
        <v>60</v>
      </c>
      <c r="C77" s="845"/>
      <c r="D77" s="969"/>
      <c r="E77" s="845"/>
      <c r="F77" s="845" t="s">
        <v>2160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2180</v>
      </c>
      <c r="X77" s="845"/>
      <c r="Y77" s="1002"/>
      <c r="Z77" s="848"/>
      <c r="AA77" s="851"/>
      <c r="AB77" s="848"/>
      <c r="AC77" s="848"/>
      <c r="AD77" s="848"/>
    </row>
    <row r="78" ht="72" customHeight="1">
      <c r="A78" s="847"/>
      <c r="B78" s="901">
        <v>61</v>
      </c>
      <c r="C78" s="845" t="s">
        <v>2156</v>
      </c>
      <c r="D78" s="969"/>
      <c r="E78" s="845"/>
      <c r="F78" s="845"/>
      <c r="G78" s="845"/>
      <c r="H78" s="893"/>
      <c r="I78" s="1007" t="str">
        <f>INDEX(TEMPLATE_NUMBER_POINT_FHD,B78,MATCH(TEMPLATE_SPHERE,TEMPLATE_SPHERE_LIST_FOR_NOTE,0))</f>
        <v>7</v>
      </c>
      <c r="J78" s="1007" t="str">
        <f>INDEX(TEMPLATE_DATA_POINT_FHD,B78,MATCH(TEMPLATE_SPHERE,TEMPLATE_SPHERE_LIST_FOR_NOTE,0))</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2181</v>
      </c>
      <c r="AA78" s="851"/>
      <c r="AB78" s="848"/>
      <c r="AC78" s="848"/>
      <c r="AD78" s="848"/>
    </row>
    <row r="79" ht="36" customHeight="1">
      <c r="A79" s="847"/>
      <c r="B79" s="901">
        <v>62</v>
      </c>
      <c r="C79" s="845" t="s">
        <v>2158</v>
      </c>
      <c r="D79" s="969"/>
      <c r="E79" s="845"/>
      <c r="F79" s="845"/>
      <c r="G79" s="845"/>
      <c r="H79" s="893"/>
      <c r="I79" s="1007" t="str">
        <f>INDEX(TEMPLATE_NUMBER_POINT_FHD,B79,MATCH(TEMPLATE_SPHERE,TEMPLATE_SPHERE_LIST_FOR_NOTE,0))</f>
        <v>8</v>
      </c>
      <c r="J79" s="1007" t="str">
        <f>INDEX(TEMPLATE_DATA_POINT_FHD,B79,MATCH(TEMPLATE_SPHERE,TEMPLATE_SPHERE_LIST_FOR_NOTE,0))</f>
        <v xml:space="preserve">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 xml:space="preserve">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 xml:space="preserve">Тепловая нагрузка по договорам, заключенным в рамках осуществления регулируемых видов деятельности</v>
      </c>
      <c r="N79" s="846" t="str">
        <f>IF(K79=0,"",K79)</f>
        <v xml:space="preserve">Регулируемыми организациями указывается информация по договорам, заключенным в рамках осуществления регулируемых видов деятельности</v>
      </c>
      <c r="O79" s="959" t="s">
        <v>113</v>
      </c>
      <c r="P79" s="959"/>
      <c r="Q79" s="959"/>
      <c r="R79" s="959"/>
      <c r="S79" s="959"/>
      <c r="T79" s="845" t="s">
        <v>2182</v>
      </c>
      <c r="U79" s="845"/>
      <c r="V79" s="845"/>
      <c r="W79" s="845"/>
      <c r="X79" s="845"/>
      <c r="Y79" s="1002"/>
      <c r="Z79" s="848" t="s">
        <v>2183</v>
      </c>
      <c r="AA79" s="851"/>
      <c r="AB79" s="848"/>
      <c r="AC79" s="848"/>
      <c r="AD79" s="848"/>
    </row>
    <row r="80" ht="45" customHeight="1">
      <c r="A80" s="847"/>
      <c r="B80" s="901">
        <v>63</v>
      </c>
      <c r="C80" s="845" t="s">
        <v>2160</v>
      </c>
      <c r="D80" s="969"/>
      <c r="E80" s="845"/>
      <c r="F80" s="845"/>
      <c r="G80" s="845"/>
      <c r="H80" s="893"/>
      <c r="I80" s="1007" t="str">
        <f>INDEX(TEMPLATE_NUMBER_POINT_FHD,B80,MATCH(TEMPLATE_SPHERE,TEMPLATE_SPHERE_LIST_FOR_NOTE,0))</f>
        <v>9</v>
      </c>
      <c r="J80" s="1007" t="str">
        <f>INDEX(TEMPLATE_DATA_POINT_FHD,B80,MATCH(TEMPLATE_SPHERE,TEMPLATE_SPHERE_LIST_FOR_NOTE,0))</f>
        <v xml:space="preserve">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 xml:space="preserve">Объем вырабатываемой регулируемой организацией тепловой энергии в рамках осуществления регулируемых видов деятельности</v>
      </c>
      <c r="N80" s="846" t="str">
        <f>IF(K80=0,"",K80)</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2184</v>
      </c>
      <c r="U80" s="845"/>
      <c r="V80" s="845"/>
      <c r="W80" s="845"/>
      <c r="X80" s="845"/>
      <c r="Y80" s="1002"/>
      <c r="Z80" s="848" t="s">
        <v>2185</v>
      </c>
      <c r="AA80" s="851"/>
      <c r="AB80" s="848"/>
      <c r="AC80" s="848"/>
      <c r="AD80" s="848"/>
    </row>
    <row r="81" ht="36" customHeight="1">
      <c r="A81" s="847"/>
      <c r="B81" s="901">
        <v>64</v>
      </c>
      <c r="C81" s="845" t="s">
        <v>2162</v>
      </c>
      <c r="D81" s="969"/>
      <c r="E81" s="845"/>
      <c r="F81" s="845"/>
      <c r="G81" s="845"/>
      <c r="H81" s="893"/>
      <c r="I81" s="1007" t="str">
        <f>INDEX(TEMPLATE_NUMBER_POINT_FHD,B81,MATCH(TEMPLATE_SPHERE,TEMPLATE_SPHERE_LIST_FOR_NOTE,0))</f>
        <v>9.1</v>
      </c>
      <c r="J81" s="1007" t="str">
        <f>INDEX(TEMPLATE_DATA_POINT_FHD,B81,MATCH(TEMPLATE_SPHERE,TEMPLATE_SPHERE_LIST_FOR_NOTE,0))</f>
        <v xml:space="preserve">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 xml:space="preserve">Информация указывается только едиными теплоснабжающими организациями.</v>
      </c>
      <c r="L81" s="846" t="str">
        <f>IF(I81=0,"",I81)</f>
        <v>9.1</v>
      </c>
      <c r="M81" s="846" t="str">
        <f>IF(J81=0,"",J81)</f>
        <v xml:space="preserve">Объем приобретаемой регулируемой организацией тепловой энергии в рамках осуществления регулируемых видов деятельности</v>
      </c>
      <c r="N81" s="846" t="str">
        <f>IF(K81=0,"",K81)</f>
        <v xml:space="preserve">Информация указывается только едиными теплоснабжающими организациями.</v>
      </c>
      <c r="O81" s="959" t="s">
        <v>2068</v>
      </c>
      <c r="P81" s="959"/>
      <c r="Q81" s="959"/>
      <c r="R81" s="959"/>
      <c r="S81" s="959"/>
      <c r="T81" s="845" t="s">
        <v>2186</v>
      </c>
      <c r="U81" s="845"/>
      <c r="V81" s="845"/>
      <c r="W81" s="845"/>
      <c r="X81" s="845"/>
      <c r="Y81" s="1002"/>
      <c r="Z81" s="848" t="s">
        <v>2187</v>
      </c>
      <c r="AA81" s="851"/>
      <c r="AB81" s="848"/>
      <c r="AC81" s="848"/>
      <c r="AD81" s="848"/>
    </row>
    <row r="82" ht="90" customHeight="1">
      <c r="A82" s="847"/>
      <c r="B82" s="901">
        <v>65</v>
      </c>
      <c r="C82" s="845" t="s">
        <v>2171</v>
      </c>
      <c r="D82" s="969"/>
      <c r="E82" s="845"/>
      <c r="F82" s="845"/>
      <c r="G82" s="845"/>
      <c r="H82" s="893"/>
      <c r="I82" s="1007" t="str">
        <f>INDEX(TEMPLATE_NUMBER_POINT_FHD,B82,MATCH(TEMPLATE_SPHERE,TEMPLATE_SPHERE_LIST_FOR_NOTE,0))</f>
        <v>10</v>
      </c>
      <c r="J82" s="1007" t="str">
        <f>INDEX(TEMPLATE_DATA_POINT_FHD,B82,MATCH(TEMPLATE_SPHERE,TEMPLATE_SPHERE_LIST_FOR_NOTE,0))</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2188</v>
      </c>
      <c r="U82" s="845"/>
      <c r="V82" s="845"/>
      <c r="W82" s="845"/>
      <c r="X82" s="845"/>
      <c r="Y82" s="1002"/>
      <c r="Z82" s="848" t="s">
        <v>2189</v>
      </c>
      <c r="AA82" s="851"/>
      <c r="AB82" s="848"/>
      <c r="AC82" s="848"/>
      <c r="AD82" s="848"/>
    </row>
    <row r="83" ht="9" customHeight="1">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 xml:space="preserve">По приборам учёта</v>
      </c>
      <c r="K83" s="1007">
        <f>INDEX(TEMPLATE_NOTE_POINT_FHD,B83,MATCH(TEMPLATE_SPHERE,TEMPLATE_SPHERE_LIST_FOR_NOTE,0))</f>
        <v>0</v>
      </c>
      <c r="L83" s="846" t="str">
        <f>IF(I83=0,"",I83)</f>
        <v>10.1</v>
      </c>
      <c r="M83" s="846" t="str">
        <f>IF(J83=0,"",J83)</f>
        <v xml:space="preserve">По приборам учёта</v>
      </c>
      <c r="N83" s="846" t="str">
        <f>IF(K83=0,"",K83)</f>
        <v/>
      </c>
      <c r="O83" s="959" t="s">
        <v>2077</v>
      </c>
      <c r="P83" s="959"/>
      <c r="Q83" s="959"/>
      <c r="R83" s="959"/>
      <c r="S83" s="959"/>
      <c r="T83" s="845" t="s">
        <v>2190</v>
      </c>
      <c r="U83" s="845"/>
      <c r="V83" s="845"/>
      <c r="W83" s="845"/>
      <c r="X83" s="845"/>
      <c r="Y83" s="1002"/>
      <c r="Z83" s="848"/>
      <c r="AA83" s="851"/>
      <c r="AB83" s="848"/>
      <c r="AC83" s="848"/>
      <c r="AD83" s="848"/>
    </row>
    <row r="84" ht="54" customHeight="1">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2191</v>
      </c>
      <c r="P84" s="959"/>
      <c r="Q84" s="959"/>
      <c r="R84" s="959"/>
      <c r="S84" s="959"/>
      <c r="T84" s="845" t="s">
        <v>2192</v>
      </c>
      <c r="U84" s="845"/>
      <c r="V84" s="845"/>
      <c r="W84" s="845"/>
      <c r="X84" s="845"/>
      <c r="Y84" s="1002"/>
      <c r="Z84" s="848"/>
      <c r="AA84" s="851"/>
      <c r="AB84" s="848"/>
      <c r="AC84" s="848"/>
      <c r="AD84" s="848"/>
    </row>
    <row r="85" ht="9" customHeight="1">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 xml:space="preserve">Расчётным путём</v>
      </c>
      <c r="K85" s="1007">
        <f>INDEX(TEMPLATE_NOTE_POINT_FHD,B85,MATCH(TEMPLATE_SPHERE,TEMPLATE_SPHERE_LIST_FOR_NOTE,0))</f>
        <v>0</v>
      </c>
      <c r="L85" s="846" t="str">
        <f>IF(I85=0,"",I85)</f>
        <v>10.2</v>
      </c>
      <c r="M85" s="846" t="str">
        <f>IF(J85=0,"",J85)</f>
        <v xml:space="preserve">Расчётным путём</v>
      </c>
      <c r="N85" s="846" t="str">
        <f>IF(K85=0,"",K85)</f>
        <v/>
      </c>
      <c r="O85" s="959" t="s">
        <v>2081</v>
      </c>
      <c r="P85" s="959"/>
      <c r="Q85" s="959"/>
      <c r="R85" s="959"/>
      <c r="S85" s="959"/>
      <c r="T85" s="845" t="s">
        <v>2193</v>
      </c>
      <c r="U85" s="845"/>
      <c r="V85" s="845"/>
      <c r="W85" s="845"/>
      <c r="X85" s="845"/>
      <c r="Y85" s="1002"/>
      <c r="Z85" s="848"/>
      <c r="AA85" s="851"/>
      <c r="AB85" s="848"/>
      <c r="AC85" s="848"/>
      <c r="AD85" s="848"/>
    </row>
    <row r="86" ht="27" customHeight="1">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 xml:space="preserve">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 xml:space="preserve">По нормативам потребления коммунальных услуг и нормативам потребления коммунальных ресурсов</v>
      </c>
      <c r="N86" s="846" t="str">
        <f>IF(K86=0,"",K86)</f>
        <v/>
      </c>
      <c r="O86" s="959" t="s">
        <v>2194</v>
      </c>
      <c r="P86" s="959"/>
      <c r="Q86" s="959"/>
      <c r="R86" s="959"/>
      <c r="S86" s="959"/>
      <c r="T86" s="845" t="s">
        <v>2195</v>
      </c>
      <c r="U86" s="845"/>
      <c r="V86" s="845"/>
      <c r="W86" s="845"/>
      <c r="X86" s="845"/>
      <c r="Y86" s="1002"/>
      <c r="Z86" s="848"/>
      <c r="AA86" s="851"/>
      <c r="AB86" s="848"/>
      <c r="AC86" s="848"/>
      <c r="AD86" s="848"/>
    </row>
    <row r="87" ht="36" customHeight="1">
      <c r="A87" s="847"/>
      <c r="B87" s="901">
        <v>70</v>
      </c>
      <c r="C87" s="845" t="s">
        <v>2196</v>
      </c>
      <c r="D87" s="969"/>
      <c r="E87" s="845"/>
      <c r="F87" s="845"/>
      <c r="G87" s="845"/>
      <c r="H87" s="893"/>
      <c r="I87" s="1007" t="str">
        <f>INDEX(TEMPLATE_NUMBER_POINT_FHD,B87,MATCH(TEMPLATE_SPHERE,TEMPLATE_SPHERE_LIST_FOR_NOTE,0))</f>
        <v>11</v>
      </c>
      <c r="J87" s="1007" t="str">
        <f>INDEX(TEMPLATE_DATA_POINT_FHD,B87,MATCH(TEMPLATE_SPHERE,TEMPLATE_SPHERE_LIST_FOR_NOTE,0))</f>
        <v xml:space="preserve">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 xml:space="preserve">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2197</v>
      </c>
      <c r="U87" s="845"/>
      <c r="V87" s="845"/>
      <c r="W87" s="845"/>
      <c r="X87" s="845"/>
      <c r="Y87" s="1002"/>
      <c r="Z87" s="848"/>
      <c r="AA87" s="851"/>
      <c r="AB87" s="848"/>
      <c r="AC87" s="848"/>
      <c r="AD87" s="848"/>
    </row>
    <row r="88" ht="18" customHeight="1">
      <c r="A88" s="847"/>
      <c r="B88" s="901">
        <v>71</v>
      </c>
      <c r="C88" s="845" t="s">
        <v>2198</v>
      </c>
      <c r="D88" s="969"/>
      <c r="E88" s="845"/>
      <c r="F88" s="845"/>
      <c r="G88" s="845"/>
      <c r="H88" s="893"/>
      <c r="I88" s="1007" t="str">
        <f>INDEX(TEMPLATE_NUMBER_POINT_FHD,B88,MATCH(TEMPLATE_SPHERE,TEMPLATE_SPHERE_LIST_FOR_NOTE,0))</f>
        <v>12</v>
      </c>
      <c r="J88" s="1007" t="str">
        <f>INDEX(TEMPLATE_DATA_POINT_FHD,B88,MATCH(TEMPLATE_SPHERE,TEMPLATE_SPHERE_LIST_FOR_NOTE,0))</f>
        <v xml:space="preserve">Фактический объем потерь при передаче тепловой энергии</v>
      </c>
      <c r="K88" s="1007">
        <f>INDEX(TEMPLATE_NOTE_POINT_FHD,B88,MATCH(TEMPLATE_SPHERE,TEMPLATE_SPHERE_LIST_FOR_NOTE,0))</f>
        <v>0</v>
      </c>
      <c r="L88" s="846" t="str">
        <f>IF(I88=0,"",I88)</f>
        <v>12</v>
      </c>
      <c r="M88" s="846" t="str">
        <f>IF(J88=0,"",J88)</f>
        <v xml:space="preserve">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r="89" ht="18" customHeight="1">
      <c r="A89" s="847"/>
      <c r="B89" s="901">
        <v>72</v>
      </c>
      <c r="C89" s="845" t="s">
        <v>2199</v>
      </c>
      <c r="D89" s="969" t="s">
        <v>2196</v>
      </c>
      <c r="E89" s="845" t="s">
        <v>2196</v>
      </c>
      <c r="F89" s="845" t="s">
        <v>2162</v>
      </c>
      <c r="G89" s="845"/>
      <c r="H89" s="893"/>
      <c r="I89" s="1007" t="str">
        <f>INDEX(TEMPLATE_NUMBER_POINT_FHD,B89,MATCH(TEMPLATE_SPHERE,TEMPLATE_SPHERE_LIST_FOR_NOTE,0))</f>
        <v>13</v>
      </c>
      <c r="J89" s="1007" t="str">
        <f>INDEX(TEMPLATE_DATA_POINT_FHD,B89,MATCH(TEMPLATE_SPHERE,TEMPLATE_SPHERE_LIST_FOR_NOTE,0))</f>
        <v xml:space="preserve">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 xml:space="preserve">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r="90" ht="27" customHeight="1">
      <c r="A90" s="847"/>
      <c r="B90" s="901">
        <v>73</v>
      </c>
      <c r="C90" s="845" t="s">
        <v>2200</v>
      </c>
      <c r="D90" s="969"/>
      <c r="E90" s="845"/>
      <c r="F90" s="845"/>
      <c r="G90" s="845"/>
      <c r="H90" s="893"/>
      <c r="I90" s="1007" t="str">
        <f>INDEX(TEMPLATE_NUMBER_POINT_FHD,B90,MATCH(TEMPLATE_SPHERE,TEMPLATE_SPHERE_LIST_FOR_NOTE,0))</f>
        <v>14</v>
      </c>
      <c r="J90" s="1007" t="str">
        <f>INDEX(TEMPLATE_DATA_POINT_FHD,B90,MATCH(TEMPLATE_SPHERE,TEMPLATE_SPHERE_LIST_FOR_NOTE,0))</f>
        <v xml:space="preserve">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 xml:space="preserve">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r="91" ht="18" customHeight="1">
      <c r="A91" s="847"/>
      <c r="B91" s="901">
        <v>74</v>
      </c>
      <c r="C91" s="845"/>
      <c r="D91" s="969" t="s">
        <v>2198</v>
      </c>
      <c r="E91" s="845" t="s">
        <v>2198</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2201</v>
      </c>
      <c r="V91" s="845" t="s">
        <v>2201</v>
      </c>
      <c r="W91" s="845"/>
      <c r="X91" s="845"/>
      <c r="Y91" s="1002"/>
      <c r="Z91" s="848"/>
      <c r="AA91" s="851"/>
      <c r="AB91" s="848"/>
      <c r="AC91" s="848"/>
      <c r="AD91" s="848"/>
    </row>
    <row r="92" ht="27" customHeight="1">
      <c r="A92" s="847"/>
      <c r="B92" s="901">
        <v>75</v>
      </c>
      <c r="C92" s="845"/>
      <c r="D92" s="969" t="s">
        <v>2199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2202</v>
      </c>
      <c r="V92" s="845"/>
      <c r="W92" s="845"/>
      <c r="X92" s="845"/>
      <c r="Y92" s="1002"/>
      <c r="Z92" s="848"/>
      <c r="AA92" s="851" t="s">
        <v>2203</v>
      </c>
      <c r="AB92" s="848"/>
      <c r="AC92" s="848"/>
      <c r="AD92" s="848"/>
    </row>
    <row r="93" ht="27" customHeight="1">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2109</v>
      </c>
      <c r="Q93" s="959"/>
      <c r="R93" s="959"/>
      <c r="S93" s="959"/>
      <c r="T93" s="845"/>
      <c r="U93" s="845" t="s">
        <v>2204</v>
      </c>
      <c r="V93" s="845"/>
      <c r="W93" s="845"/>
      <c r="X93" s="845"/>
      <c r="Y93" s="1002"/>
      <c r="Z93" s="848"/>
      <c r="AA93" s="851" t="s">
        <v>2205</v>
      </c>
      <c r="AB93" s="848"/>
      <c r="AC93" s="848"/>
      <c r="AD93" s="848"/>
    </row>
    <row r="94" ht="45" customHeight="1">
      <c r="A94" s="847"/>
      <c r="B94" s="901">
        <v>77</v>
      </c>
      <c r="C94" s="845"/>
      <c r="D94" s="969" t="s">
        <v>2200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1463</v>
      </c>
      <c r="Q94" s="959"/>
      <c r="R94" s="959"/>
      <c r="S94" s="959"/>
      <c r="T94" s="845"/>
      <c r="U94" s="845" t="s">
        <v>2206</v>
      </c>
      <c r="V94" s="845"/>
      <c r="W94" s="845"/>
      <c r="X94" s="845"/>
      <c r="Y94" s="1002"/>
      <c r="Z94" s="848"/>
      <c r="AA94" s="851" t="s">
        <v>2207</v>
      </c>
      <c r="AB94" s="848"/>
      <c r="AC94" s="848"/>
      <c r="AD94" s="848"/>
    </row>
    <row r="95" ht="99" customHeight="1">
      <c r="A95" s="847"/>
      <c r="B95" s="901">
        <v>78</v>
      </c>
      <c r="C95" s="845" t="s">
        <v>2208</v>
      </c>
      <c r="D95" s="969"/>
      <c r="E95" s="845"/>
      <c r="F95" s="845"/>
      <c r="G95" s="845"/>
      <c r="H95" s="893"/>
      <c r="I95" s="1007" t="str">
        <f>INDEX(TEMPLATE_NUMBER_POINT_FHD,B95,MATCH(TEMPLATE_SPHERE,TEMPLATE_SPHERE_LIST_FOR_NOTE,0))</f>
        <v>15</v>
      </c>
      <c r="J95" s="1007" t="str">
        <f>INDEX(TEMPLATE_DATA_POINT_FHD,B95,MATCH(TEMPLATE_SPHERE,TEMPLATE_SPHERE_LIST_FOR_NOTE,0))</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1463</v>
      </c>
      <c r="P95" s="959"/>
      <c r="Q95" s="959"/>
      <c r="R95" s="959"/>
      <c r="S95" s="959"/>
      <c r="T95" s="845" t="s">
        <v>2209</v>
      </c>
      <c r="U95" s="845"/>
      <c r="V95" s="845"/>
      <c r="W95" s="845"/>
      <c r="X95" s="845"/>
      <c r="Y95" s="1002"/>
      <c r="Z95" s="848"/>
      <c r="AA95" s="851"/>
      <c r="AB95" s="848"/>
      <c r="AC95" s="848"/>
      <c r="AD95" s="848"/>
    </row>
    <row r="96" ht="99" customHeight="1">
      <c r="A96" s="847"/>
      <c r="B96" s="901">
        <v>79</v>
      </c>
      <c r="C96" s="845" t="s">
        <v>1150</v>
      </c>
      <c r="D96" s="969"/>
      <c r="E96" s="845"/>
      <c r="F96" s="845"/>
      <c r="G96" s="845"/>
      <c r="H96" s="893"/>
      <c r="I96" s="1007" t="str">
        <f>INDEX(TEMPLATE_NUMBER_POINT_FHD,B96,MATCH(TEMPLATE_SPHERE,TEMPLATE_SPHERE_LIST_FOR_NOTE,0))</f>
        <v>16</v>
      </c>
      <c r="J96" s="1007" t="str">
        <f>INDEX(TEMPLATE_DATA_POINT_FHD,B96,MATCH(TEMPLATE_SPHERE,TEMPLATE_SPHERE_LIST_FOR_NOTE,0))</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1469</v>
      </c>
      <c r="P96" s="959"/>
      <c r="Q96" s="959"/>
      <c r="R96" s="959"/>
      <c r="S96" s="959"/>
      <c r="T96" s="845" t="s">
        <v>2210</v>
      </c>
      <c r="U96" s="845"/>
      <c r="V96" s="845"/>
      <c r="W96" s="845"/>
      <c r="X96" s="845"/>
      <c r="Y96" s="1002"/>
      <c r="Z96" s="848" t="s">
        <v>2211</v>
      </c>
      <c r="AA96" s="851"/>
      <c r="AB96" s="848"/>
      <c r="AC96" s="848"/>
      <c r="AD96" s="848"/>
    </row>
    <row r="97" ht="63" customHeight="1">
      <c r="A97" s="847"/>
      <c r="B97" s="901">
        <v>80</v>
      </c>
      <c r="C97" s="845" t="s">
        <v>2212</v>
      </c>
      <c r="D97" s="969"/>
      <c r="E97" s="845"/>
      <c r="F97" s="845"/>
      <c r="G97" s="845"/>
      <c r="H97" s="893"/>
      <c r="I97" s="1007" t="str">
        <f>INDEX(TEMPLATE_NUMBER_POINT_FHD,B97,MATCH(TEMPLATE_SPHERE,TEMPLATE_SPHERE_LIST_FOR_NOTE,0))</f>
        <v>17</v>
      </c>
      <c r="J97" s="1007" t="str">
        <f>INDEX(TEMPLATE_DATA_POINT_FHD,B97,MATCH(TEMPLATE_SPHERE,TEMPLATE_SPHERE_LIST_FOR_NOTE,0))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 xml:space="preserve">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 xml:space="preserve">Регулируемыми организациями указывается информация с по договорам, заключенным в рамках осуществления регулируемой деятельности.</v>
      </c>
      <c r="O97" s="959" t="s">
        <v>1481</v>
      </c>
      <c r="P97" s="959"/>
      <c r="Q97" s="959"/>
      <c r="R97" s="959"/>
      <c r="S97" s="959"/>
      <c r="T97" s="845" t="s">
        <v>2213</v>
      </c>
      <c r="U97" s="845"/>
      <c r="V97" s="845"/>
      <c r="W97" s="845"/>
      <c r="X97" s="845"/>
      <c r="Y97" s="1002"/>
      <c r="Z97" s="848" t="s">
        <v>2214</v>
      </c>
      <c r="AA97" s="851"/>
      <c r="AB97" s="848"/>
      <c r="AC97" s="848"/>
      <c r="AD97" s="848"/>
    </row>
    <row r="98" ht="63" customHeight="1">
      <c r="A98" s="847"/>
      <c r="B98" s="901">
        <v>81</v>
      </c>
      <c r="C98" s="845" t="s">
        <v>2215</v>
      </c>
      <c r="D98" s="969"/>
      <c r="E98" s="845"/>
      <c r="F98" s="845"/>
      <c r="G98" s="845"/>
      <c r="H98" s="893"/>
      <c r="I98" s="1007" t="str">
        <f>INDEX(TEMPLATE_NUMBER_POINT_FHD,B98,MATCH(TEMPLATE_SPHERE,TEMPLATE_SPHERE_LIST_FOR_NOTE,0))</f>
        <v>18</v>
      </c>
      <c r="J98" s="1007" t="str">
        <f>INDEX(TEMPLATE_DATA_POINT_FHD,B98,MATCH(TEMPLATE_SPHERE,TEMPLATE_SPHERE_LIST_FOR_NOTE,0))</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 xml:space="preserve">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 xml:space="preserve">Регулируемыми организациями указывается информация с по договорам, заключенным в рамках осуществления регулируемой деятельности.</v>
      </c>
      <c r="O98" s="959" t="s">
        <v>1495</v>
      </c>
      <c r="P98" s="959"/>
      <c r="Q98" s="959"/>
      <c r="R98" s="959"/>
      <c r="S98" s="959"/>
      <c r="T98" s="845" t="s">
        <v>2216</v>
      </c>
      <c r="U98" s="845"/>
      <c r="V98" s="845"/>
      <c r="W98" s="845"/>
      <c r="X98" s="845"/>
      <c r="Y98" s="1002"/>
      <c r="Z98" s="848" t="s">
        <v>2214</v>
      </c>
      <c r="AA98" s="851"/>
      <c r="AB98" s="848"/>
      <c r="AC98" s="848"/>
      <c r="AD98" s="848"/>
    </row>
    <row r="99" ht="90" customHeight="1">
      <c r="A99" s="847"/>
      <c r="B99" s="901">
        <v>82</v>
      </c>
      <c r="C99" s="845" t="s">
        <v>2217</v>
      </c>
      <c r="D99" s="969"/>
      <c r="E99" s="845"/>
      <c r="F99" s="845"/>
      <c r="G99" s="845"/>
      <c r="H99" s="893"/>
      <c r="I99" s="1007" t="str">
        <f>INDEX(TEMPLATE_NUMBER_POINT_FHD,B99,MATCH(TEMPLATE_SPHERE,TEMPLATE_SPHERE_LIST_FOR_NOTE,0))</f>
        <v>19</v>
      </c>
      <c r="J99" s="1007" t="str">
        <f>INDEX(TEMPLATE_DATA_POINT_FHD,B99,MATCH(TEMPLATE_SPHERE,TEMPLATE_SPHERE_LIST_FOR_NOTE,0))</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 xml:space="preserve">Указывается ссылка на документ, предварительно загруженный в хранилище файлов ФГИС ЕИАС.</v>
      </c>
      <c r="L99" s="846" t="str">
        <f>IF(I99=0,"",I99)</f>
        <v>19</v>
      </c>
      <c r="M99" s="846" t="str">
        <f>IF(J99=0,"",J99)</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 xml:space="preserve">Указывается ссылка на документ, предварительно загруженный в хранилище файлов ФГИС ЕИАС.</v>
      </c>
      <c r="O99" s="959" t="s">
        <v>1507</v>
      </c>
      <c r="P99" s="959"/>
      <c r="Q99" s="959"/>
      <c r="R99" s="959"/>
      <c r="S99" s="959"/>
      <c r="T99" s="845" t="s">
        <v>2218</v>
      </c>
      <c r="U99" s="845"/>
      <c r="V99" s="845"/>
      <c r="W99" s="845"/>
      <c r="X99" s="845"/>
      <c r="Y99" s="1002"/>
      <c r="Z99" s="848" t="s">
        <v>631</v>
      </c>
      <c r="AA99" s="851"/>
      <c r="AB99" s="848"/>
      <c r="AC99" s="848"/>
      <c r="AD99" s="848"/>
    </row>
    <row r="100" ht="27" customHeight="1">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 xml:space="preserve">Информация о показателях физического износа объектов теплоснабжения</v>
      </c>
      <c r="K100" s="1007" t="str">
        <f>INDEX(TEMPLATE_NOTE_POINT_FHD,B100,MATCH(TEMPLATE_SPHERE,TEMPLATE_SPHERE_LIST_FOR_NOTE,0))</f>
        <v xml:space="preserve">Указывается ссылка на документ, предварительно загруженный в хранилище файлов ФГИС ЕИАС.</v>
      </c>
      <c r="L100" s="846" t="str">
        <f>IF(I100=0,"",I100)</f>
        <v>19.1</v>
      </c>
      <c r="M100" s="846" t="str">
        <f>IF(J100=0,"",J100)</f>
        <v xml:space="preserve">Информация о показателях физического износа объектов теплоснабжения</v>
      </c>
      <c r="N100" s="846" t="str">
        <f>IF(K100=0,"",K100)</f>
        <v xml:space="preserve">Указывается ссылка на документ, предварительно загруженный в хранилище файлов ФГИС ЕИАС.</v>
      </c>
      <c r="O100" s="959" t="s">
        <v>2219</v>
      </c>
      <c r="P100" s="959"/>
      <c r="Q100" s="959"/>
      <c r="R100" s="959"/>
      <c r="S100" s="959"/>
      <c r="T100" s="845" t="s">
        <v>2220</v>
      </c>
      <c r="U100" s="845"/>
      <c r="V100" s="845"/>
      <c r="W100" s="845"/>
      <c r="X100" s="845"/>
      <c r="Y100" s="1002"/>
      <c r="Z100" s="848" t="s">
        <v>631</v>
      </c>
      <c r="AA100" s="851"/>
      <c r="AB100" s="848"/>
      <c r="AC100" s="848"/>
      <c r="AD100" s="848"/>
    </row>
    <row r="101" ht="27" customHeight="1">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 xml:space="preserve">Информация о показателях энергетической эффективности объектов теплоснабжения</v>
      </c>
      <c r="K101" s="1007" t="str">
        <f>INDEX(TEMPLATE_NOTE_POINT_FHD,B101,MATCH(TEMPLATE_SPHERE,TEMPLATE_SPHERE_LIST_FOR_NOTE,0))</f>
        <v xml:space="preserve">Указывается ссылка на документ, предварительно загруженный в хранилище файлов ФГИС ЕИАС.</v>
      </c>
      <c r="L101" s="846" t="str">
        <f>IF(I101=0,"",I101)</f>
        <v>19.2</v>
      </c>
      <c r="M101" s="846" t="str">
        <f>IF(J101=0,"",J101)</f>
        <v xml:space="preserve">Информация о показателях энергетической эффективности объектов теплоснабжения</v>
      </c>
      <c r="N101" s="846" t="str">
        <f>IF(K101=0,"",K101)</f>
        <v xml:space="preserve">Указывается ссылка на документ, предварительно загруженный в хранилище файлов ФГИС ЕИАС.</v>
      </c>
      <c r="O101" s="959" t="s">
        <v>2221</v>
      </c>
      <c r="P101" s="959"/>
      <c r="Q101" s="959"/>
      <c r="R101" s="959"/>
      <c r="S101" s="959"/>
      <c r="T101" s="845" t="s">
        <v>2222</v>
      </c>
      <c r="U101" s="845"/>
      <c r="V101" s="845"/>
      <c r="W101" s="845"/>
      <c r="X101" s="845"/>
      <c r="Y101" s="1002"/>
      <c r="Z101" s="848" t="s">
        <v>631</v>
      </c>
      <c r="AA101" s="851"/>
      <c r="AB101" s="848"/>
      <c r="AC101" s="848"/>
      <c r="AD101" s="848"/>
    </row>
    <row r="102" ht="9" customHeight="1">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r="103" ht="9" customHeight="1">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r="104" ht="9" customHeight="1">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r="105" ht="9" customHeight="1">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r="106" ht="9" customHeight="1">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r="107" ht="9" customHeight="1">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r="108" ht="9" customHeight="1">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r="109" ht="9" customHeight="1">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r="110" ht="9" customHeight="1">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r="111" ht="9" customHeight="1">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r="112" ht="9" customHeight="1">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r="113" ht="9" customHeight="1">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r="114" ht="9" customHeight="1">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r="115" ht="9" customHeight="1">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r="116" ht="9" customHeight="1">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r="117" ht="9" customHeight="1">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r="118" ht="9" customHeight="1">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r="119" ht="9" customHeight="1">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r="120" ht="9" customHeight="1">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r="121" ht="9" customHeight="1">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r="122" ht="9" customHeight="1">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r="123" ht="9" customHeight="1">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r="124" ht="9" customHeight="1">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r="125" ht="9" customHeight="1">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r="126" ht="9" customHeight="1">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r="127" ht="9" customHeight="1">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r="128" ht="9" customHeight="1">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r="129" ht="9" customHeight="1">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r="130" ht="9" customHeight="1">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r="131" ht="9" customHeight="1">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r="132" ht="9" customHeight="1">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r="133" ht="9" customHeight="1">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r="134" ht="9" customHeight="1">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r="135" ht="9" customHeight="1">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r="136" ht="9" customHeight="1">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r="137" ht="9" customHeight="1">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r="138" ht="9" customHeight="1">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r="139" ht="9" customHeight="1">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r="140" ht="9" customHeight="1">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r="141" ht="9" customHeight="1">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r="142" ht="9" customHeight="1">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r="143" ht="9" customHeight="1">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r="144" ht="9" customHeight="1">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r="145" ht="9" customHeight="1">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r="146" ht="9" customHeight="1">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r="147" ht="9" customHeight="1">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r="148" ht="90" customHeight="1">
      <c r="A148" s="847" t="s">
        <v>1661</v>
      </c>
      <c r="B148" s="847"/>
      <c r="C148" s="845" t="s">
        <v>2223</v>
      </c>
      <c r="D148" s="845" t="s">
        <v>1563</v>
      </c>
      <c r="E148" s="845" t="s">
        <v>1663</v>
      </c>
      <c r="F148" s="845" t="s">
        <v>2224</v>
      </c>
      <c r="G148" s="845"/>
      <c r="H148" s="845"/>
      <c r="I148" s="965"/>
      <c r="J148" s="965"/>
      <c r="K148" s="965"/>
      <c r="L148" s="965"/>
      <c r="M148" s="895" t="str">
        <f>IF(TEMPLATE_SPHERE="HEAT",T148,IF(TEMPLATE_SPHERE="TKO",X148,U148))</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2226</v>
      </c>
      <c r="Y148" s="1002"/>
      <c r="Z148" s="848"/>
      <c r="AA148" s="851"/>
      <c r="AB148" s="848"/>
      <c r="AC148" s="848"/>
      <c r="AD148" s="848"/>
    </row>
    <row r="149" ht="9" customHeight="1">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r="150" ht="9" customHeight="1">
      <c r="A150" s="847" t="s">
        <v>1665</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r="151" ht="9" customHeight="1">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r="152" ht="9" customHeight="1">
      <c r="A152" s="847" t="s">
        <v>1668</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r="153" ht="9" customHeight="1">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r="154" ht="9" customHeight="1">
      <c r="A154" s="847" t="s">
        <v>1673</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autoFilter="0" deleteColumns="0" deleteRows="0" insertColumns="1" insertRows="0" sort="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2.28125"/>
    <col customWidth="1" hidden="1" min="6" max="8" style="1778" width="12.28125"/>
    <col customWidth="1" min="9" max="9" style="2399" width="3.00390625"/>
    <col customWidth="1" min="10" max="11" style="346" width="3.00390625"/>
    <col customWidth="1" min="12" max="12" style="2409" width="12.00390625"/>
    <col customWidth="1" min="13" max="13" style="1637" width="31.00390625"/>
    <col customWidth="1" min="14" max="14" style="1637" width="1.00390625"/>
    <col customWidth="1" min="15" max="18" style="1637" width="24.00390625"/>
    <col customWidth="1" min="19" max="19" style="1637" width="11.00390625"/>
    <col customWidth="1" min="20" max="20" style="1637" width="3.7109375"/>
    <col customWidth="1" min="21" max="21" style="1637" width="11.00390625"/>
    <col customWidth="1" min="22" max="22" style="1637" width="8.57421875"/>
    <col customWidth="1" min="23" max="23" style="1637" width="4.00390625"/>
    <col customWidth="1" min="24" max="24" style="1637" width="115.00390625"/>
    <col customWidth="1" min="25" max="29" style="1644" width="10.00390625"/>
    <col hidden="1" min="30" max="30" style="1637" width="10.57421875"/>
  </cols>
  <sheetData>
    <row r="1" ht="22.5" hidden="1" customHeight="1">
      <c r="R1" s="329"/>
      <c r="S1" s="329"/>
      <c r="AD1" s="1157" t="s">
        <v>14</v>
      </c>
    </row>
    <row r="2" ht="14.25" hidden="1" customHeight="1">
      <c r="V2" s="329"/>
      <c r="AD2" s="1157">
        <v>0</v>
      </c>
    </row>
    <row r="3" ht="14.25" hidden="1" customHeight="1">
      <c r="AD3" s="1157">
        <v>0</v>
      </c>
    </row>
    <row r="4" ht="14.65" customHeight="1">
      <c r="J4" s="378"/>
      <c r="K4" s="378"/>
      <c r="L4" s="1277"/>
      <c r="M4" s="365"/>
      <c r="N4" s="365"/>
      <c r="O4" s="511"/>
      <c r="P4" s="511"/>
      <c r="Q4" s="511"/>
      <c r="R4" s="511"/>
      <c r="S4" s="511"/>
      <c r="T4" s="511"/>
      <c r="U4" s="511"/>
      <c r="V4" s="511"/>
      <c r="AD4" s="1157">
        <v>14</v>
      </c>
    </row>
    <row r="5" ht="67.200000000000003" customHeight="1">
      <c r="J5" s="378"/>
      <c r="K5" s="378"/>
      <c r="L5" s="2605" t="s">
        <v>2227</v>
      </c>
      <c r="M5" s="2605"/>
      <c r="N5" s="2605"/>
      <c r="O5" s="2605"/>
      <c r="P5" s="2605"/>
      <c r="Q5" s="2605"/>
      <c r="R5" s="2605"/>
      <c r="S5" s="2605"/>
      <c r="T5" s="2605"/>
      <c r="U5" s="2605"/>
      <c r="V5" s="1245"/>
      <c r="AD5" s="1157">
        <v>64</v>
      </c>
    </row>
    <row r="6" ht="14.65" customHeight="1">
      <c r="J6" s="378"/>
      <c r="K6" s="378"/>
      <c r="L6" s="2606" t="str">
        <f>IF(org=0,"Не определено",org)</f>
        <v xml:space="preserve">филиал ПАО "ОГК-2" - Рязанская ГРЭС</v>
      </c>
      <c r="M6" s="2606"/>
      <c r="N6" s="2606"/>
      <c r="O6" s="2606"/>
      <c r="P6" s="2606"/>
      <c r="Q6" s="2606"/>
      <c r="R6" s="2606"/>
      <c r="S6" s="2606"/>
      <c r="T6" s="2606"/>
      <c r="U6" s="2606"/>
      <c r="V6" s="1245"/>
      <c r="AD6" s="1157">
        <v>14</v>
      </c>
    </row>
    <row r="7" ht="14.65" customHeight="1">
      <c r="J7" s="378"/>
      <c r="K7" s="378"/>
      <c r="L7" s="1277"/>
      <c r="M7" s="365"/>
      <c r="N7" s="365"/>
      <c r="O7" s="324"/>
      <c r="P7" s="324"/>
      <c r="Q7" s="324"/>
      <c r="R7" s="324"/>
      <c r="S7" s="324"/>
      <c r="T7" s="324"/>
      <c r="U7" s="324"/>
      <c r="V7" s="324"/>
      <c r="W7" s="511"/>
      <c r="AD7" s="1157">
        <v>14</v>
      </c>
    </row>
    <row r="8" s="1855" customFormat="1" ht="48.25" customHeight="1">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r="9" s="1855" customFormat="1" ht="24" customHeight="1">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r="10" s="1855" customFormat="1" ht="24" customHeight="1">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r="11" s="1855" customFormat="1" ht="24" customHeight="1">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r="12" s="1855" customFormat="1" ht="11.25" hidden="1" customHeight="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r="13" ht="14.65" customHeight="1">
      <c r="J13" s="378"/>
      <c r="K13" s="378"/>
      <c r="L13" s="1277"/>
      <c r="M13" s="365"/>
      <c r="N13" s="1246"/>
      <c r="O13" s="2254"/>
      <c r="P13" s="2254"/>
      <c r="Q13" s="2254"/>
      <c r="R13" s="2254"/>
      <c r="S13" s="2254"/>
      <c r="T13" s="2254"/>
      <c r="U13" s="2254"/>
      <c r="V13" s="2254"/>
      <c r="AD13" s="1157">
        <v>14</v>
      </c>
    </row>
    <row r="14" ht="14.65" customHeight="1">
      <c r="J14" s="378"/>
      <c r="K14" s="378"/>
      <c r="L14" s="2129" t="s">
        <v>300</v>
      </c>
      <c r="M14" s="2129"/>
      <c r="N14" s="2129"/>
      <c r="O14" s="2129"/>
      <c r="P14" s="2129"/>
      <c r="Q14" s="2129"/>
      <c r="R14" s="2129"/>
      <c r="S14" s="2129"/>
      <c r="T14" s="2129"/>
      <c r="U14" s="2129"/>
      <c r="V14" s="2129"/>
      <c r="W14" s="2129"/>
      <c r="X14" s="2129" t="s">
        <v>301</v>
      </c>
      <c r="AD14" s="1157">
        <v>14</v>
      </c>
    </row>
    <row r="15" ht="14.65" customHeight="1">
      <c r="J15" s="378"/>
      <c r="K15" s="378"/>
      <c r="L15" s="2275" t="s">
        <v>88</v>
      </c>
      <c r="M15" s="2211" t="s">
        <v>428</v>
      </c>
      <c r="N15" s="303"/>
      <c r="O15" s="2276" t="s">
        <v>2228</v>
      </c>
      <c r="P15" s="2277"/>
      <c r="Q15" s="2277"/>
      <c r="R15" s="2277"/>
      <c r="S15" s="2277"/>
      <c r="T15" s="2277"/>
      <c r="U15" s="2278"/>
      <c r="V15" s="2279" t="s">
        <v>430</v>
      </c>
      <c r="W15" s="2282" t="s">
        <v>1147</v>
      </c>
      <c r="X15" s="2129"/>
      <c r="AD15" s="1157">
        <v>14</v>
      </c>
    </row>
    <row r="16" ht="35.649999999999999" customHeight="1">
      <c r="J16" s="378"/>
      <c r="K16" s="378"/>
      <c r="L16" s="2275"/>
      <c r="M16" s="2211"/>
      <c r="N16" s="1033"/>
      <c r="O16" s="2262" t="s">
        <v>433</v>
      </c>
      <c r="P16" s="2262" t="s">
        <v>434</v>
      </c>
      <c r="Q16" s="2264" t="s">
        <v>435</v>
      </c>
      <c r="R16" s="2265"/>
      <c r="S16" s="2264" t="s">
        <v>449</v>
      </c>
      <c r="T16" s="2271"/>
      <c r="U16" s="2265"/>
      <c r="V16" s="2280"/>
      <c r="W16" s="2283"/>
      <c r="X16" s="2129"/>
      <c r="AD16" s="1157">
        <v>34</v>
      </c>
    </row>
    <row r="17" ht="35.649999999999999" customHeight="1">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r="18" s="1643" customFormat="1" ht="11.5" customHeight="1">
      <c r="A18" s="1372"/>
      <c r="B18" s="1372"/>
      <c r="C18" s="1372"/>
      <c r="D18" s="1372"/>
      <c r="E18" s="1372"/>
      <c r="F18" s="1364"/>
      <c r="G18" s="1364"/>
      <c r="H18" s="1364"/>
      <c r="I18" s="1248"/>
      <c r="J18" s="1249"/>
      <c r="K18" s="1256">
        <v>1</v>
      </c>
      <c r="L18" s="1279" t="s">
        <v>110</v>
      </c>
      <c r="M18" s="1257" t="s">
        <v>111</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r="19" ht="21" customHeight="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 xml:space="preserve">Наименование тарифа</v>
      </c>
      <c r="AB19" s="502"/>
      <c r="AC19" s="502"/>
      <c r="AD19" s="1157">
        <v>20</v>
      </c>
    </row>
    <row r="20" ht="21" customHeight="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 xml:space="preserve">Территория действия тарифа</v>
      </c>
      <c r="AB20" s="502"/>
      <c r="AC20" s="502"/>
      <c r="AD20" s="1157">
        <v>20</v>
      </c>
    </row>
    <row r="21" ht="24" customHeight="1">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 xml:space="preserve">Наименование системы теплоснабжения</v>
      </c>
      <c r="AB21" s="502"/>
      <c r="AC21" s="502"/>
      <c r="AD21" s="1157">
        <v>23</v>
      </c>
    </row>
    <row r="22" ht="21" customHeight="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 xml:space="preserve">Источник тепловой энергии</v>
      </c>
      <c r="AB22" s="502"/>
      <c r="AC22" s="502"/>
      <c r="AD22" s="1157">
        <v>20</v>
      </c>
    </row>
    <row r="23" ht="96.75" customHeight="1">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 xml:space="preserve">Схема подключения теплопотребляющей установки к коллектору источника тепловой энергии</v>
      </c>
      <c r="AB23" s="502"/>
      <c r="AC23" s="502"/>
      <c r="AD23" s="1157">
        <v>92</v>
      </c>
    </row>
    <row r="24" ht="86.25" customHeight="1">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 xml:space="preserve">Группа потребителей</v>
      </c>
      <c r="AB24" s="502"/>
      <c r="AC24" s="502"/>
      <c r="AD24" s="1157">
        <v>82</v>
      </c>
    </row>
    <row r="25" ht="11.5" customHeight="1">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r="26" ht="11.5" customHeight="1">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r="27" ht="15.75" customHeight="1">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 xml:space="preserve">Добавить вид теплоносителя (параметры теплоносителя)</v>
      </c>
      <c r="AB27" s="502"/>
      <c r="AC27" s="502"/>
      <c r="AD27" s="1157">
        <v>15</v>
      </c>
    </row>
    <row r="28" ht="15.75" customHeight="1">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 xml:space="preserve">Добавить группу потребителей</v>
      </c>
      <c r="AB28" s="502"/>
      <c r="AC28" s="502"/>
      <c r="AD28" s="1157">
        <v>15</v>
      </c>
    </row>
    <row r="29" ht="14.65" customHeight="1">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 xml:space="preserve">Добавить схему подключения</v>
      </c>
      <c r="AB29" s="502"/>
      <c r="AC29" s="502"/>
      <c r="AD29" s="1157">
        <v>14</v>
      </c>
    </row>
    <row r="30" ht="14.65" customHeight="1">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r="31" ht="14.65" customHeight="1">
      <c r="A31" s="1365" t="s">
        <v>170</v>
      </c>
      <c r="B31" s="1365" t="s">
        <v>171</v>
      </c>
      <c r="C31" s="1365"/>
      <c r="D31" s="1365"/>
      <c r="E31" s="1365" t="s">
        <v>2229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r="32" ht="14.65" customHeight="1">
      <c r="A32" s="1365" t="s">
        <v>2230</v>
      </c>
      <c r="B32" s="1365"/>
      <c r="C32" s="1365"/>
      <c r="D32" s="1365"/>
      <c r="E32" s="1365" t="s">
        <v>105</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r="33" s="1852" customFormat="1" ht="11.5" customHeight="1">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r="34" ht="11.5" customHeight="1">
      <c r="F34" s="1162"/>
      <c r="G34" s="1162"/>
      <c r="H34" s="539"/>
      <c r="I34" s="1157"/>
      <c r="J34" s="1157"/>
      <c r="K34" s="1157"/>
      <c r="Y34" s="1157"/>
      <c r="Z34" s="1157"/>
      <c r="AA34" s="1157"/>
      <c r="AB34" s="1157"/>
      <c r="AC34" s="1157"/>
      <c r="AD34" s="1157">
        <v>11</v>
      </c>
    </row>
    <row r="35" ht="28.5" customHeight="1">
      <c r="H35" s="539"/>
      <c r="L35" s="1290" t="s">
        <v>804</v>
      </c>
      <c r="M35" s="2287" t="s">
        <v>2231</v>
      </c>
      <c r="N35" s="2287"/>
      <c r="O35" s="2287"/>
      <c r="P35" s="2287"/>
      <c r="Q35" s="2287"/>
      <c r="R35" s="2287"/>
      <c r="S35" s="2287"/>
      <c r="T35" s="2287"/>
      <c r="U35" s="2287"/>
      <c r="V35" s="2287"/>
      <c r="W35" s="2287"/>
      <c r="X35" s="2287"/>
      <c r="AD35" s="1157">
        <v>27</v>
      </c>
    </row>
    <row r="36" ht="109.2" customHeight="1">
      <c r="H36" s="539"/>
      <c r="I36" s="1305"/>
      <c r="M36" s="2287" t="s">
        <v>2232</v>
      </c>
      <c r="N36" s="2287"/>
      <c r="O36" s="2287"/>
      <c r="P36" s="2287"/>
      <c r="Q36" s="2287"/>
      <c r="R36" s="2287"/>
      <c r="S36" s="2287"/>
      <c r="T36" s="2287"/>
      <c r="U36" s="2287"/>
      <c r="V36" s="2287"/>
      <c r="W36" s="2287"/>
      <c r="X36" s="2287"/>
      <c r="AD36" s="1157">
        <v>104</v>
      </c>
    </row>
    <row r="37" ht="14.65" customHeight="1">
      <c r="H37" s="539"/>
      <c r="AD37" s="1157">
        <v>14</v>
      </c>
    </row>
    <row r="38" ht="14.65" customHeight="1">
      <c r="H38" s="539"/>
      <c r="AD38" s="1157">
        <v>14</v>
      </c>
    </row>
    <row r="39" ht="14.65" customHeight="1">
      <c r="H39" s="539"/>
      <c r="AD39" s="1157">
        <v>14</v>
      </c>
    </row>
    <row r="40" ht="14.65" customHeight="1">
      <c r="H40" s="539"/>
      <c r="AD40" s="1157">
        <v>14</v>
      </c>
    </row>
    <row r="41" ht="22.5" hidden="1" customHeight="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autoFilter="0" deleteColumns="0" deleteRows="0" formatColumns="0" formatRows="0" insertColumns="1" insertRows="0" sort="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4">
    <dataValidation sqref="S65561 S131097 S196633 S262169 S327705 S393241 S458777 S524313 S589849 S655385 S720921 S786457 S851993 S917529 S983065 U65561 U131097 U196633 U262169 U327705 U393241 U458777 U524313 U589849 U655385 U720921 U786457 U851993 U917529 U983065 U25 S25"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T65561 T131097 T196633 T262169 T327705 T393241 T458777 T524313 T589849 T655385 T720921 T786457 T851993 T917529 T983065 V589849 V655385 V720921 V786457 V851993 V917529 V983065 V65561 V131097 V458777 V196633 V262169 V327705 V393241 V25 T25 V524313" allowBlank="1" prompt="Для выбора выполните двойной щелчок левой клавиши мыши по соответствующей ячейке." showErrorMessage="1" showInputMessage="1"/>
    <dataValidation sqref="R26 R65562 R131098 R196634 R262170 R327706 R393242 R458778 R524314 R589850 R655386 R720922 R786458 R851994 R917530 R983066" allowBlank="1" promptTitle="checkPeriodRange"/>
    <dataValidation sqref="L131099:X131105 L196635:X196641 L262171:X262177 L327707:X327713 L393243:X393249 L458779:X458785 L524315:X524321 L589851:X589857 L655387:X655393 L720923:X720929 L786459:X786465 L851995:X852001 L917531:X917537 L983067:X983073 L65563:X65569"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2004F-00F1-448E-B510-0006003200E0}" type="list" allowBlank="1" error="Выберите значение из списка" errorTitle="Ошибка"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 xr:uid="{009B00EA-0036-4A90-AD6A-001D00D200D6}" type="textLength" allowBlank="1" error="Допускается ввод не более 900 символов!" errorTitle="Ошибка" operator="lessThanOrEqual"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3700B9-00B6-427A-8083-009E0049003E}" type="list" allowBlank="1" error="Выберите значение из списка" errorTitle="Ошибка" prompt="Выберите значение из списка"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AB0038-005E-42CB-B398-00CF003C008D}" type="list" allowBlank="1" error="Выберите значение из списка" errorTitle="Ошибка" showErrorMessage="1" showInputMessage="1">
          <x14:formula1>
            <xm:f>kind_of_heat_transfer</xm:f>
          </x14:formula1>
          <xm:sqref>M65561 M131097 M196633 M262169 M327705 M393241 M458777 M524313 M589849 M655385 M720921 M786457 M851993 M917529 M983065</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9.140625" defaultRowHeight="11.25" customHeight="1"/>
  <cols>
    <col customWidth="1" hidden="1" min="1" max="1" style="1688" width="15.00390625"/>
    <col customWidth="1" hidden="1" min="2" max="2" style="503" width="15.00390625"/>
    <col customWidth="1" min="3" max="3" style="457" width="3.00390625"/>
    <col customWidth="1" min="4" max="4" style="458" width="6.00390625"/>
    <col customWidth="1" min="5" max="5" style="457" width="52.00390625"/>
    <col customWidth="1" min="6" max="6" style="457" width="48.00390625"/>
    <col customWidth="1" min="7" max="7" style="457" width="121.00390625"/>
    <col customWidth="1" min="8" max="8" style="457" width="8.00390625"/>
    <col customWidth="1" min="9" max="9" style="457" width="64.00390625"/>
    <col hidden="1" min="10" max="10" style="457" width="9.140625"/>
  </cols>
  <sheetData>
    <row r="1" ht="11.25" hidden="1" customHeight="1">
      <c r="A1" s="1688" t="s">
        <v>299</v>
      </c>
      <c r="J1" s="457" t="s">
        <v>14</v>
      </c>
    </row>
    <row r="2" ht="11.25" hidden="1" customHeight="1">
      <c r="J2" s="457">
        <v>0</v>
      </c>
    </row>
    <row r="3" s="479" customFormat="1" ht="11.5" customHeight="1">
      <c r="A3" s="1688"/>
      <c r="B3" s="503"/>
      <c r="D3" s="480"/>
      <c r="J3" s="479">
        <v>11</v>
      </c>
    </row>
    <row r="4" ht="27.300000000000001" customHeight="1">
      <c r="D4" s="2159" t="str">
        <f>ORG_INFO_NAME_FORM</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r="5" ht="18" customHeight="1">
      <c r="D5" s="2178" t="str">
        <f>IF(org=0,"Не определено",org)</f>
        <v xml:space="preserve">филиал ПАО "ОГК-2" - Рязанская ГРЭС</v>
      </c>
      <c r="E5" s="2178"/>
      <c r="F5" s="2178"/>
      <c r="I5" s="717"/>
      <c r="J5" s="457">
        <v>17</v>
      </c>
    </row>
    <row r="6" s="479" customFormat="1" ht="11.5" customHeight="1">
      <c r="A6" s="1688"/>
      <c r="B6" s="503"/>
      <c r="D6" s="716"/>
      <c r="E6" s="716"/>
      <c r="F6" s="754"/>
      <c r="G6" s="716"/>
      <c r="J6" s="479">
        <v>11</v>
      </c>
    </row>
    <row r="7" ht="11.25" hidden="1" customHeight="1">
      <c r="A7" s="459"/>
      <c r="B7" s="504"/>
      <c r="C7" s="459"/>
      <c r="D7" s="465"/>
      <c r="E7" s="2209"/>
      <c r="F7" s="2209"/>
      <c r="J7" s="457">
        <v>0</v>
      </c>
    </row>
    <row r="8" ht="11.5" customHeight="1">
      <c r="A8" s="459"/>
      <c r="B8" s="504"/>
      <c r="C8" s="459"/>
      <c r="D8" s="2206" t="s">
        <v>300</v>
      </c>
      <c r="E8" s="2207"/>
      <c r="F8" s="2207"/>
      <c r="G8" s="2210" t="s">
        <v>301</v>
      </c>
      <c r="J8" s="457">
        <v>11</v>
      </c>
    </row>
    <row r="9" ht="11.5" customHeight="1">
      <c r="A9" s="459"/>
      <c r="B9" s="504"/>
      <c r="C9" s="459"/>
      <c r="D9" s="474" t="s">
        <v>88</v>
      </c>
      <c r="E9" s="448" t="s">
        <v>302</v>
      </c>
      <c r="F9" s="448" t="s">
        <v>303</v>
      </c>
      <c r="G9" s="2211"/>
      <c r="J9" s="457">
        <v>11</v>
      </c>
    </row>
    <row r="10" ht="12" hidden="1" customHeight="1">
      <c r="A10" s="459"/>
      <c r="B10" s="504"/>
      <c r="C10" s="459"/>
      <c r="D10" s="466"/>
      <c r="E10" s="466"/>
      <c r="F10" s="466"/>
      <c r="G10" s="466"/>
      <c r="J10" s="457">
        <v>0</v>
      </c>
    </row>
    <row r="11" ht="22.5" hidden="1" customHeight="1">
      <c r="A11" s="459"/>
      <c r="B11" s="504"/>
      <c r="C11" s="459"/>
      <c r="D11" s="1011" t="s">
        <v>110</v>
      </c>
      <c r="E11" s="1014" t="s">
        <v>304</v>
      </c>
      <c r="F11" s="1013" t="str">
        <f>IF(region_name="","",region_name)</f>
        <v xml:space="preserve">Рязанская область</v>
      </c>
      <c r="G11" s="1014" t="s">
        <v>305</v>
      </c>
      <c r="H11" s="477"/>
      <c r="J11" s="457">
        <v>0</v>
      </c>
    </row>
    <row r="12" ht="22.5" hidden="1" customHeight="1">
      <c r="A12" s="459"/>
      <c r="B12" s="504"/>
      <c r="C12" s="459"/>
      <c r="D12" s="447" t="s">
        <v>110</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v>
      </c>
      <c r="F12" s="445" t="s">
        <v>306</v>
      </c>
      <c r="G12" s="476"/>
      <c r="H12" s="477"/>
      <c r="J12" s="457">
        <v>0</v>
      </c>
    </row>
    <row r="13" ht="23.25" customHeight="1">
      <c r="A13" s="459"/>
      <c r="B13" s="504"/>
      <c r="C13" s="459"/>
      <c r="D13" s="447" t="s">
        <v>110</v>
      </c>
      <c r="E13" s="444" t="str">
        <f>"Наименование юридического лица"&amp;IF(TEMPLATE_SPHERE="TKO"," (индивидуального предпринимателя)","")</f>
        <v xml:space="preserve">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(согласно уставу регулируемой организации)</v>
      </c>
      <c r="H13" s="477"/>
      <c r="J13" s="457">
        <v>22</v>
      </c>
    </row>
    <row r="14" ht="22.5" hidden="1" customHeight="1">
      <c r="A14" s="459"/>
      <c r="B14" s="504"/>
      <c r="C14" s="459"/>
      <c r="D14" s="1011" t="s">
        <v>307</v>
      </c>
      <c r="E14" s="1012" t="s">
        <v>308</v>
      </c>
      <c r="F14" s="1013" t="str">
        <f>IF(inn="","",inn)</f>
        <v>2607018122</v>
      </c>
      <c r="G14" s="1014" t="s">
        <v>309</v>
      </c>
      <c r="H14" s="477"/>
      <c r="J14" s="457">
        <v>0</v>
      </c>
    </row>
    <row r="15" ht="22.5" hidden="1" customHeight="1">
      <c r="A15" s="459"/>
      <c r="B15" s="504"/>
      <c r="C15" s="459"/>
      <c r="D15" s="1011" t="s">
        <v>310</v>
      </c>
      <c r="E15" s="1012" t="s">
        <v>311</v>
      </c>
      <c r="F15" s="1013" t="str">
        <f>IF(kpp="","",kpp)</f>
        <v>621143001</v>
      </c>
      <c r="G15" s="1014" t="s">
        <v>312</v>
      </c>
      <c r="H15" s="477"/>
      <c r="J15" s="457">
        <v>0</v>
      </c>
    </row>
    <row r="16" ht="39" customHeight="1">
      <c r="A16" s="459"/>
      <c r="B16" s="504"/>
      <c r="C16" s="459"/>
      <c r="D16" s="447" t="s">
        <v>111</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477"/>
      <c r="J16" s="457">
        <v>37</v>
      </c>
    </row>
    <row r="17" ht="23.25" customHeight="1">
      <c r="A17" s="459"/>
      <c r="B17" s="504"/>
      <c r="C17" s="459"/>
      <c r="D17" s="447" t="s">
        <v>90</v>
      </c>
      <c r="E17" s="444" t="str">
        <f>"Дата присвоения ОГРН"&amp;IF(TEMPLATE_SPHERE="TKO",""," (ОГРНИП)")</f>
        <v xml:space="preserve">Дата присвоения ОГРН (ОГРНИП)</v>
      </c>
      <c r="F17" s="1734" t="s">
        <v>22</v>
      </c>
      <c r="G17" s="446" t="str">
        <f>"Дата присвоения ОГРН"&amp;IF(TEMPLATE_SPHERE="TKO",""," (ОГРНИП)")&amp;" указывается в виде «ДД.ММ.ГГГГ»."</f>
        <v xml:space="preserve">Дата присвоения ОГРН (ОГРНИП) указывается в виде «ДД.ММ.ГГГГ».</v>
      </c>
      <c r="H17" s="477"/>
      <c r="J17" s="457">
        <v>22</v>
      </c>
    </row>
    <row r="18" ht="71.25" customHeight="1">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r="19" ht="22.5" hidden="1" customHeight="1">
      <c r="A19" s="2204" t="s">
        <v>313</v>
      </c>
      <c r="B19" s="504"/>
      <c r="C19" s="2215"/>
      <c r="D19" s="447" t="str">
        <f>A19</f>
        <v>5.1</v>
      </c>
      <c r="E19" s="444" t="s">
        <v>314</v>
      </c>
      <c r="F19" s="445" t="s">
        <v>306</v>
      </c>
      <c r="G19" s="446" t="s">
        <v>315</v>
      </c>
      <c r="H19" s="477"/>
      <c r="I19" s="854"/>
      <c r="J19" s="457">
        <v>0</v>
      </c>
    </row>
    <row r="20" ht="24" hidden="1" customHeight="1">
      <c r="A20" s="2204"/>
      <c r="B20" s="504"/>
      <c r="C20" s="2215"/>
      <c r="D20" s="442" t="str">
        <f>D19&amp;".1"</f>
        <v>5.1.1</v>
      </c>
      <c r="E20" s="441" t="s">
        <v>316</v>
      </c>
      <c r="F20" s="883" t="s">
        <v>22</v>
      </c>
      <c r="G20" s="476"/>
      <c r="H20" s="477"/>
      <c r="I20" s="854"/>
      <c r="J20" s="457">
        <v>0</v>
      </c>
    </row>
    <row r="21" ht="22.5" hidden="1" customHeight="1">
      <c r="A21" s="2204"/>
      <c r="B21" s="504"/>
      <c r="C21" s="2215"/>
      <c r="D21" s="442" t="str">
        <f>D19&amp;".2"</f>
        <v>5.1.2</v>
      </c>
      <c r="E21" s="441" t="s">
        <v>317</v>
      </c>
      <c r="F21" s="1735" t="s">
        <v>22</v>
      </c>
      <c r="G21" s="446" t="s">
        <v>318</v>
      </c>
      <c r="H21" s="477"/>
      <c r="I21" s="854"/>
      <c r="J21" s="457">
        <v>0</v>
      </c>
    </row>
    <row r="22" ht="22.5" hidden="1" customHeight="1">
      <c r="A22" s="2204"/>
      <c r="B22" s="504"/>
      <c r="C22" s="2215"/>
      <c r="D22" s="442" t="str">
        <f>D19&amp;".3"</f>
        <v>5.1.3</v>
      </c>
      <c r="E22" s="441" t="s">
        <v>319</v>
      </c>
      <c r="F22" s="883" t="s">
        <v>22</v>
      </c>
      <c r="G22" s="476"/>
      <c r="H22" s="477"/>
      <c r="I22" s="854"/>
      <c r="J22" s="457">
        <v>0</v>
      </c>
    </row>
    <row r="23" ht="22.5" hidden="1" customHeight="1">
      <c r="A23" s="2204"/>
      <c r="B23" s="504"/>
      <c r="C23" s="2215"/>
      <c r="D23" s="442" t="str">
        <f>D19&amp;".4"</f>
        <v>5.1.4</v>
      </c>
      <c r="E23" s="441" t="s">
        <v>320</v>
      </c>
      <c r="F23" s="883" t="s">
        <v>22</v>
      </c>
      <c r="G23" s="446" t="s">
        <v>321</v>
      </c>
      <c r="H23" s="477"/>
      <c r="I23" s="854"/>
      <c r="J23" s="457">
        <v>0</v>
      </c>
    </row>
    <row r="24" ht="22.5" hidden="1" customHeight="1">
      <c r="A24" s="1980"/>
      <c r="B24" s="504"/>
      <c r="C24" s="494"/>
      <c r="D24" s="469"/>
      <c r="E24" s="1170" t="s">
        <v>322</v>
      </c>
      <c r="F24" s="470"/>
      <c r="G24" s="471"/>
      <c r="H24" s="477"/>
      <c r="I24" s="854"/>
      <c r="J24" s="457">
        <v>0</v>
      </c>
    </row>
    <row r="25" s="503" customFormat="1" ht="24.75" hidden="1" customHeight="1">
      <c r="A25" s="459"/>
      <c r="B25" s="504"/>
      <c r="C25" s="504"/>
      <c r="D25" s="1008" t="s">
        <v>90</v>
      </c>
      <c r="E25" s="1010" t="s">
        <v>323</v>
      </c>
      <c r="F25" s="1015" t="s">
        <v>306</v>
      </c>
      <c r="G25" s="1010"/>
      <c r="J25" s="503">
        <v>0</v>
      </c>
    </row>
    <row r="26" s="503" customFormat="1" ht="11.25" hidden="1" customHeight="1">
      <c r="A26" s="459"/>
      <c r="B26" s="504"/>
      <c r="C26" s="504"/>
      <c r="D26" s="1008" t="s">
        <v>324</v>
      </c>
      <c r="E26" s="1009" t="s">
        <v>325</v>
      </c>
      <c r="F26" s="1015" t="s">
        <v>306</v>
      </c>
      <c r="G26" s="1010"/>
      <c r="J26" s="503">
        <v>0</v>
      </c>
    </row>
    <row r="27" s="503" customFormat="1" ht="11.25" hidden="1" customHeight="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r="28" s="503" customFormat="1" ht="11.25" hidden="1" customHeight="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r="29" s="503" customFormat="1" ht="11.25" hidden="1" customHeight="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r="30" s="503" customFormat="1" ht="11.25" hidden="1" customHeight="1">
      <c r="A30" s="459"/>
      <c r="B30" s="504"/>
      <c r="C30" s="504"/>
      <c r="D30" s="1008" t="s">
        <v>332</v>
      </c>
      <c r="E30" s="1009" t="s">
        <v>333</v>
      </c>
      <c r="F30" s="1017"/>
      <c r="G30" s="1010"/>
      <c r="J30" s="503">
        <v>0</v>
      </c>
    </row>
    <row r="31" s="503" customFormat="1" ht="11.25" hidden="1" customHeight="1">
      <c r="A31" s="459"/>
      <c r="B31" s="504"/>
      <c r="C31" s="504"/>
      <c r="D31" s="1008" t="s">
        <v>334</v>
      </c>
      <c r="E31" s="1009" t="s">
        <v>335</v>
      </c>
      <c r="F31" s="1017"/>
      <c r="G31" s="1010"/>
      <c r="J31" s="503">
        <v>0</v>
      </c>
    </row>
    <row r="32" s="503" customFormat="1" ht="11.25" hidden="1" customHeight="1">
      <c r="A32" s="459"/>
      <c r="B32" s="504"/>
      <c r="C32" s="504"/>
      <c r="D32" s="1008" t="s">
        <v>336</v>
      </c>
      <c r="E32" s="1009" t="s">
        <v>337</v>
      </c>
      <c r="F32" s="1018"/>
      <c r="G32" s="1010"/>
      <c r="J32" s="503">
        <v>0</v>
      </c>
    </row>
    <row r="33" ht="24" customHeight="1">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ЕТО, ТО  (индивидуального предпринимателя):</v>
      </c>
      <c r="F33" s="445" t="s">
        <v>306</v>
      </c>
      <c r="G33" s="476"/>
      <c r="H33" s="477"/>
      <c r="J33" s="457">
        <v>23</v>
      </c>
    </row>
    <row r="34" ht="23.25" customHeight="1">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ЕТО, ТО в соответствии с паспортными данными физического лица.</v>
      </c>
      <c r="H34" s="477"/>
      <c r="J34" s="457">
        <v>22</v>
      </c>
    </row>
    <row r="35" ht="23.25" customHeight="1">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ЕТО, ТО в соответствии с паспортными данными физического лица.</v>
      </c>
      <c r="H35" s="477"/>
      <c r="J35" s="457">
        <v>22</v>
      </c>
    </row>
    <row r="36" ht="24" customHeight="1">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r="37" ht="35.649999999999999" customHeight="1">
      <c r="A37" s="459"/>
      <c r="B37" s="504"/>
      <c r="C37" s="459"/>
      <c r="D37" s="442">
        <f>D33+1</f>
        <v>7</v>
      </c>
      <c r="E37" s="440"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 ЕТО, ТО</v>
      </c>
      <c r="F37" s="443"/>
      <c r="G37" s="446" t="s">
        <v>338</v>
      </c>
      <c r="H37" s="477"/>
      <c r="J37" s="457">
        <v>34</v>
      </c>
    </row>
    <row r="38" ht="35.649999999999999" customHeight="1">
      <c r="A38" s="459"/>
      <c r="B38" s="504"/>
      <c r="C38" s="459"/>
      <c r="D38" s="442">
        <f>D37+1</f>
        <v>8</v>
      </c>
      <c r="E38" s="440"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 ЕТО, ТО</v>
      </c>
      <c r="F38" s="443"/>
      <c r="G38" s="446" t="s">
        <v>338</v>
      </c>
      <c r="H38" s="477"/>
      <c r="J38" s="457">
        <v>34</v>
      </c>
    </row>
    <row r="39" ht="23.25" customHeight="1">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r="40" ht="22.5" hidden="1" customHeight="1">
      <c r="A40" s="459"/>
      <c r="B40" s="504"/>
      <c r="C40" s="459"/>
      <c r="D40" s="442" t="str">
        <f>D39&amp;".0"</f>
        <v>9.0</v>
      </c>
      <c r="E40" s="1607"/>
      <c r="F40" s="883"/>
      <c r="G40" s="2213"/>
      <c r="H40" s="477"/>
      <c r="J40" s="457">
        <v>0</v>
      </c>
    </row>
    <row r="41" ht="23.25" customHeight="1">
      <c r="A41" s="459"/>
      <c r="B41" s="459"/>
      <c r="C41" s="1690"/>
      <c r="D41" s="442" t="str">
        <f>D39&amp;".1"</f>
        <v>9.1</v>
      </c>
      <c r="E41" s="862"/>
      <c r="F41" s="863"/>
      <c r="G41" s="2213"/>
      <c r="H41" s="477"/>
      <c r="J41" s="457">
        <v>22</v>
      </c>
    </row>
    <row r="42" ht="15.75" customHeight="1">
      <c r="A42" s="459"/>
      <c r="B42" s="504"/>
      <c r="C42" s="459"/>
      <c r="D42" s="469"/>
      <c r="E42" s="417" t="s">
        <v>339</v>
      </c>
      <c r="F42" s="471"/>
      <c r="G42" s="2214"/>
      <c r="H42" s="478"/>
      <c r="J42" s="457">
        <v>15</v>
      </c>
    </row>
    <row r="43" ht="27.300000000000001" customHeight="1">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r="44" ht="23.25" customHeight="1">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 ЕТО, ТО</v>
      </c>
      <c r="F44" s="380"/>
      <c r="G44" s="476" t="s">
        <v>340</v>
      </c>
      <c r="H44" s="477"/>
      <c r="J44" s="457">
        <v>22</v>
      </c>
    </row>
    <row r="45" ht="23.25" customHeight="1">
      <c r="A45" s="459"/>
      <c r="B45" s="504"/>
      <c r="C45" s="459"/>
      <c r="D45" s="442">
        <f>D44+1</f>
        <v>12</v>
      </c>
      <c r="E45" s="440" t="s">
        <v>341</v>
      </c>
      <c r="F45" s="445" t="s">
        <v>306</v>
      </c>
      <c r="G45" s="439" t="str">
        <f>IF(TEMPLATE_SPHERE="TKO","Указывается режим работы организации.","")</f>
        <v/>
      </c>
      <c r="H45" s="477"/>
      <c r="J45" s="457">
        <v>22</v>
      </c>
    </row>
    <row r="46" ht="24" customHeight="1">
      <c r="A46" s="459"/>
      <c r="B46" s="504"/>
      <c r="C46" s="459"/>
      <c r="D46" s="442" t="str">
        <f>D45&amp;".1"</f>
        <v>12.1</v>
      </c>
      <c r="E46" s="444" t="str">
        <f>"режим работы регулируемой организации"&amp;IF(TEMPLATE_SPHERE="HEAT",", ЕТО, ТО","")</f>
        <v xml:space="preserve">режим работы регулируемой организации, ЕТО, ТО</v>
      </c>
      <c r="F46" s="1686"/>
      <c r="G46" s="439" t="s">
        <v>342</v>
      </c>
      <c r="H46" s="477"/>
      <c r="J46" s="457">
        <v>23</v>
      </c>
    </row>
    <row r="47" ht="24" customHeight="1">
      <c r="A47" s="2204"/>
      <c r="B47" s="504"/>
      <c r="C47" s="494"/>
      <c r="D47" s="442" t="str">
        <f>D45&amp;".2"</f>
        <v>12.2</v>
      </c>
      <c r="E47" s="444" t="s">
        <v>343</v>
      </c>
      <c r="F47" s="492"/>
      <c r="G47" s="439" t="s">
        <v>344</v>
      </c>
      <c r="H47" s="477"/>
      <c r="J47" s="457">
        <v>23</v>
      </c>
    </row>
    <row r="48" ht="24" customHeight="1">
      <c r="A48" s="2204"/>
      <c r="B48" s="504"/>
      <c r="C48" s="494"/>
      <c r="D48" s="442" t="str">
        <f>D45&amp;".3"</f>
        <v>12.3</v>
      </c>
      <c r="E48" s="444" t="s">
        <v>345</v>
      </c>
      <c r="F48" s="492"/>
      <c r="G48" s="439" t="s">
        <v>346</v>
      </c>
      <c r="H48" s="477"/>
      <c r="J48" s="457">
        <v>23</v>
      </c>
    </row>
    <row r="49" ht="24" customHeight="1">
      <c r="A49" s="2204"/>
      <c r="B49" s="504"/>
      <c r="C49" s="494"/>
      <c r="D49" s="442" t="str">
        <f>IF(TEMPLATE_SPHERE="TKO",D45&amp;".0",D45&amp;".4")</f>
        <v>12.4</v>
      </c>
      <c r="E49" s="438" t="s">
        <v>347</v>
      </c>
      <c r="F49" s="1687"/>
      <c r="G49" s="1764" t="s">
        <v>348</v>
      </c>
      <c r="H49" s="477"/>
      <c r="J49" s="457">
        <v>23</v>
      </c>
    </row>
    <row r="50" ht="24" customHeight="1">
      <c r="A50" s="459"/>
      <c r="B50" s="504"/>
      <c r="C50" s="459"/>
      <c r="D50" s="469"/>
      <c r="E50" s="417" t="s">
        <v>349</v>
      </c>
      <c r="F50" s="470"/>
      <c r="G50" s="1764" t="s">
        <v>350</v>
      </c>
      <c r="H50" s="478"/>
      <c r="J50" s="457">
        <v>23</v>
      </c>
    </row>
    <row r="51" ht="24" customHeight="1">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r="52" ht="11.5" customHeight="1">
      <c r="A52" s="459"/>
      <c r="B52" s="504"/>
      <c r="C52" s="459"/>
      <c r="J52" s="457">
        <v>11</v>
      </c>
    </row>
    <row r="53" s="462" customFormat="1" ht="31.5" customHeight="1">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r="54" s="462" customFormat="1" ht="42" customHeight="1">
      <c r="A54" s="459"/>
      <c r="B54" s="504"/>
      <c r="C54" s="2205"/>
      <c r="D54" s="2208" t="str">
        <f>IF(ORG_INFO_P_NOTE_MAIN=0,"",ORG_INFO_P_NOTE_MAIN)</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r="55" ht="11.5" customHeight="1">
      <c r="D55" s="460"/>
      <c r="E55" s="461"/>
      <c r="F55" s="461"/>
      <c r="G55" s="461"/>
      <c r="J55" s="457">
        <v>11</v>
      </c>
    </row>
    <row r="56" ht="28.5" customHeight="1">
      <c r="D56" s="463"/>
      <c r="E56" s="460"/>
      <c r="F56" s="472"/>
      <c r="G56" s="472"/>
      <c r="J56" s="457">
        <v>27</v>
      </c>
    </row>
    <row r="57" ht="11.5" customHeight="1">
      <c r="D57" s="460"/>
      <c r="E57" s="460"/>
      <c r="F57" s="461"/>
      <c r="G57" s="461"/>
      <c r="J57" s="457">
        <v>11</v>
      </c>
    </row>
    <row r="58" ht="40.899999999999999" customHeight="1">
      <c r="D58" s="464"/>
      <c r="E58" s="473"/>
      <c r="F58" s="473"/>
      <c r="G58" s="473"/>
      <c r="J58" s="457">
        <v>39</v>
      </c>
    </row>
    <row r="59" ht="28.5" customHeight="1">
      <c r="D59" s="464"/>
      <c r="E59" s="473"/>
      <c r="F59" s="473"/>
      <c r="G59" s="473"/>
      <c r="J59" s="457">
        <v>27</v>
      </c>
    </row>
    <row r="60" ht="11.25" hidden="1" customHeight="1">
      <c r="A60" s="1688" t="s">
        <v>82</v>
      </c>
      <c r="B60" s="503">
        <v>0</v>
      </c>
      <c r="C60" s="457">
        <v>3</v>
      </c>
      <c r="D60" s="458">
        <v>6</v>
      </c>
      <c r="E60" s="457">
        <v>52</v>
      </c>
      <c r="F60" s="457">
        <v>48</v>
      </c>
      <c r="G60" s="457">
        <v>121</v>
      </c>
      <c r="H60" s="457">
        <v>8</v>
      </c>
      <c r="I60" s="457">
        <v>64</v>
      </c>
      <c r="J60" s="457">
        <v>11</v>
      </c>
    </row>
  </sheetData>
  <sheetProtection autoFilter="0" deleteColumns="0" deleteRows="0" formatColumns="0" formatRows="0" insertColumns="1" insertRows="0" sort="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1">
    <dataValidation sqref="F21 F1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E700B3-0008-44A5-AD46-0062005E0057}"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 xr:uid="{006C0030-0063-4D65-8316-000F00B6000C}" type="textLength" allowBlank="1" error="Допускается ввод не более 900 символов!" errorTitle="Ошибка" operator="lessThanOrEqual" showErrorMessage="1" showInputMessage="1">
          <x14:formula1>
            <xm:f>900</xm:f>
          </x14:formula1>
          <xm:sqref>F13 F43:F44 F27:F32 F16 E40:F41 F18 F20 F34:F38 F22:F23</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row r="1" ht="11.25" customHeight="1">
      <c r="A1" s="68"/>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workbookViewId="0">
      <selection activeCell="A1" sqref="A1"/>
    </sheetView>
  </sheetViews>
  <sheetFormatPr defaultRowHeight="11.25" customHeight="1"/>
  <cols>
    <col customWidth="1" min="1" max="1" style="66" width="10.57421875"/>
    <col customWidth="1" min="2" max="2" style="66" width="8.7109375"/>
    <col customWidth="1" min="3" max="3" style="66" width="18.140625"/>
    <col customWidth="1" min="4" max="4" style="66" width="12.57421875"/>
  </cols>
  <sheetData>
    <row r="1" ht="11.25" customHeight="1">
      <c r="A1" s="2617" t="s">
        <v>2233</v>
      </c>
      <c r="B1" s="2618" t="s">
        <v>2234</v>
      </c>
      <c r="C1" s="2619" t="s">
        <v>2235</v>
      </c>
      <c r="D1" s="2620"/>
      <c r="E1" s="838" t="s">
        <v>2236</v>
      </c>
    </row>
    <row r="2" ht="11.25" customHeight="1">
      <c r="A2" s="2621"/>
      <c r="B2" s="767" t="s">
        <v>27</v>
      </c>
      <c r="C2" s="755"/>
      <c r="D2" s="766"/>
      <c r="E2" s="838"/>
    </row>
    <row r="3" ht="11.25" customHeight="1">
      <c r="A3" s="2622"/>
      <c r="B3" s="2623" t="s">
        <v>33</v>
      </c>
      <c r="C3" s="755"/>
      <c r="D3" s="766"/>
      <c r="E3" s="838"/>
    </row>
    <row r="4" ht="11.25" customHeight="1">
      <c r="A4" s="2624"/>
      <c r="B4" s="768" t="s">
        <v>1661</v>
      </c>
      <c r="C4" s="755"/>
      <c r="D4" s="766"/>
      <c r="E4" s="838"/>
    </row>
    <row r="5" ht="11.25" customHeight="1">
      <c r="A5" s="2625"/>
      <c r="B5" s="768" t="s">
        <v>1655</v>
      </c>
      <c r="C5" s="2626" t="s">
        <v>2000</v>
      </c>
      <c r="D5" s="2627" t="s">
        <v>2237</v>
      </c>
      <c r="E5" s="838"/>
    </row>
    <row r="6" s="1852" customFormat="1" ht="11.25" customHeight="1">
      <c r="A6" s="2628"/>
      <c r="B6" s="768" t="s">
        <v>1665</v>
      </c>
      <c r="C6" s="755"/>
      <c r="D6" s="766"/>
      <c r="E6" s="838"/>
    </row>
    <row r="7" ht="11.25" customHeight="1">
      <c r="A7" s="2629"/>
      <c r="B7" s="768" t="s">
        <v>1673</v>
      </c>
      <c r="C7" s="755"/>
      <c r="D7" s="766"/>
      <c r="E7" s="838"/>
    </row>
    <row r="8" ht="11.25" customHeight="1">
      <c r="A8" s="758"/>
      <c r="B8" s="768" t="s">
        <v>1668</v>
      </c>
      <c r="C8" s="755"/>
      <c r="D8" s="766"/>
      <c r="E8" s="838"/>
    </row>
  </sheetData>
  <sheetProtection autoFilter="0" deleteColumns="0" deleteRows="0" formatColumns="0" formatRows="0" insertColumns="1" insertRows="0" sort="0"/>
  <mergeCells count="1">
    <mergeCell ref="C1:D1"/>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2" style="1852" width="9.140625"/>
    <col customWidth="1" min="3" max="3" style="1852" width="20.7109375"/>
    <col customWidth="1" min="4" max="4" style="1852" width="25.140625"/>
    <col min="5" max="9" style="1852" width="9.140625"/>
  </cols>
  <sheetData>
    <row r="1" ht="11.25" customHeight="1">
      <c r="A1" s="70" t="s">
        <v>2238</v>
      </c>
      <c r="B1" s="70" t="s">
        <v>2239</v>
      </c>
      <c r="C1" s="70" t="s">
        <v>2240</v>
      </c>
      <c r="D1" s="70" t="s">
        <v>2241</v>
      </c>
      <c r="E1" s="70" t="s">
        <v>2242</v>
      </c>
      <c r="F1" s="70" t="s">
        <v>2243</v>
      </c>
      <c r="G1" s="70" t="s">
        <v>2244</v>
      </c>
      <c r="H1" s="70" t="s">
        <v>2245</v>
      </c>
      <c r="I1" s="70" t="s">
        <v>2246</v>
      </c>
    </row>
    <row r="2" ht="11.25" customHeight="1">
      <c r="A2" s="1852" t="s">
        <v>2247</v>
      </c>
      <c r="B2" s="1852" t="s">
        <v>16</v>
      </c>
      <c r="C2" s="1852" t="s">
        <v>2248</v>
      </c>
      <c r="D2" s="1852" t="s">
        <v>2249</v>
      </c>
      <c r="E2" s="1852" t="s">
        <v>2250</v>
      </c>
      <c r="F2" s="1852" t="s">
        <v>2251</v>
      </c>
      <c r="G2" s="1852" t="s">
        <v>22</v>
      </c>
      <c r="H2" s="1852" t="s">
        <v>22</v>
      </c>
      <c r="I2" s="1852" t="s">
        <v>808</v>
      </c>
    </row>
    <row r="3" ht="11.25" customHeight="1">
      <c r="A3" s="1852" t="s">
        <v>2247</v>
      </c>
      <c r="B3" s="1852" t="s">
        <v>16</v>
      </c>
      <c r="C3" s="1852" t="s">
        <v>2252</v>
      </c>
      <c r="D3" s="1852" t="s">
        <v>2253</v>
      </c>
      <c r="E3" s="1852" t="s">
        <v>2254</v>
      </c>
      <c r="F3" s="1852" t="s">
        <v>2255</v>
      </c>
      <c r="G3" s="1852" t="s">
        <v>22</v>
      </c>
      <c r="H3" s="1852" t="s">
        <v>22</v>
      </c>
      <c r="I3" s="1852" t="s">
        <v>808</v>
      </c>
    </row>
    <row r="4" ht="11.25" customHeight="1">
      <c r="A4" s="1852" t="s">
        <v>2247</v>
      </c>
      <c r="B4" s="1852" t="s">
        <v>16</v>
      </c>
      <c r="C4" s="1852" t="s">
        <v>2256</v>
      </c>
      <c r="D4" s="1852" t="s">
        <v>2257</v>
      </c>
      <c r="E4" s="1852" t="s">
        <v>2258</v>
      </c>
      <c r="F4" s="1852" t="s">
        <v>2259</v>
      </c>
      <c r="G4" s="1852" t="s">
        <v>22</v>
      </c>
      <c r="H4" s="1852" t="s">
        <v>22</v>
      </c>
      <c r="I4" s="1852" t="s">
        <v>808</v>
      </c>
    </row>
    <row r="5" ht="11.25" customHeight="1">
      <c r="A5" s="1852" t="s">
        <v>2247</v>
      </c>
      <c r="B5" s="1852" t="s">
        <v>16</v>
      </c>
      <c r="C5" s="1852" t="s">
        <v>2260</v>
      </c>
      <c r="D5" s="1852" t="s">
        <v>2261</v>
      </c>
      <c r="E5" s="1852" t="s">
        <v>2262</v>
      </c>
      <c r="F5" s="1852" t="s">
        <v>2263</v>
      </c>
      <c r="G5" s="1852" t="s">
        <v>22</v>
      </c>
      <c r="H5" s="1852" t="s">
        <v>22</v>
      </c>
      <c r="I5" s="1852" t="s">
        <v>808</v>
      </c>
    </row>
    <row r="6" ht="11.25" customHeight="1">
      <c r="A6" s="1852" t="s">
        <v>2247</v>
      </c>
      <c r="B6" s="1852" t="s">
        <v>16</v>
      </c>
      <c r="C6" s="1852" t="s">
        <v>2264</v>
      </c>
      <c r="D6" s="1852" t="s">
        <v>2265</v>
      </c>
      <c r="E6" s="1852" t="s">
        <v>2266</v>
      </c>
      <c r="F6" s="1852" t="s">
        <v>2267</v>
      </c>
      <c r="G6" s="1852" t="s">
        <v>2268</v>
      </c>
      <c r="H6" s="1852" t="s">
        <v>22</v>
      </c>
      <c r="I6" s="1852" t="s">
        <v>808</v>
      </c>
    </row>
    <row r="7" ht="11.25" customHeight="1">
      <c r="A7" s="1852" t="s">
        <v>2247</v>
      </c>
      <c r="B7" s="1852" t="s">
        <v>16</v>
      </c>
      <c r="C7" s="1852" t="s">
        <v>2269</v>
      </c>
      <c r="D7" s="1852" t="s">
        <v>2270</v>
      </c>
      <c r="E7" s="1852" t="s">
        <v>2271</v>
      </c>
      <c r="F7" s="1852" t="s">
        <v>2263</v>
      </c>
      <c r="G7" s="1852" t="s">
        <v>22</v>
      </c>
      <c r="H7" s="1852" t="s">
        <v>22</v>
      </c>
      <c r="I7" s="1852" t="s">
        <v>808</v>
      </c>
    </row>
    <row r="8" ht="11.25" customHeight="1">
      <c r="A8" s="1852" t="s">
        <v>2247</v>
      </c>
      <c r="B8" s="1852" t="s">
        <v>16</v>
      </c>
      <c r="C8" s="1852" t="s">
        <v>2272</v>
      </c>
      <c r="D8" s="1852" t="s">
        <v>2273</v>
      </c>
      <c r="E8" s="1852" t="s">
        <v>2274</v>
      </c>
      <c r="F8" s="1852" t="s">
        <v>2275</v>
      </c>
      <c r="G8" s="1852" t="s">
        <v>22</v>
      </c>
      <c r="H8" s="1852" t="s">
        <v>22</v>
      </c>
      <c r="I8" s="1852" t="s">
        <v>808</v>
      </c>
    </row>
    <row r="9" ht="11.25" customHeight="1">
      <c r="A9" s="1852" t="s">
        <v>2247</v>
      </c>
      <c r="B9" s="1852" t="s">
        <v>16</v>
      </c>
      <c r="C9" s="1852" t="s">
        <v>2276</v>
      </c>
      <c r="D9" s="1852" t="s">
        <v>2277</v>
      </c>
      <c r="E9" s="1852" t="s">
        <v>2278</v>
      </c>
      <c r="F9" s="1852" t="s">
        <v>2279</v>
      </c>
      <c r="G9" s="1852" t="s">
        <v>22</v>
      </c>
      <c r="H9" s="1852" t="s">
        <v>22</v>
      </c>
      <c r="I9" s="1852" t="s">
        <v>808</v>
      </c>
    </row>
    <row r="10" ht="11.25" customHeight="1">
      <c r="A10" s="1852" t="s">
        <v>2247</v>
      </c>
      <c r="B10" s="1852" t="s">
        <v>16</v>
      </c>
      <c r="C10" s="1852" t="s">
        <v>2280</v>
      </c>
      <c r="D10" s="1852" t="s">
        <v>2281</v>
      </c>
      <c r="E10" s="1852" t="s">
        <v>2282</v>
      </c>
      <c r="F10" s="1852" t="s">
        <v>2283</v>
      </c>
      <c r="G10" s="1852" t="s">
        <v>2284</v>
      </c>
      <c r="H10" s="1852" t="s">
        <v>22</v>
      </c>
      <c r="I10" s="1852" t="s">
        <v>808</v>
      </c>
    </row>
    <row r="11" ht="11.25" customHeight="1">
      <c r="A11" s="1852" t="s">
        <v>2247</v>
      </c>
      <c r="B11" s="1852" t="s">
        <v>16</v>
      </c>
      <c r="C11" s="1852" t="s">
        <v>2285</v>
      </c>
      <c r="D11" s="1852" t="s">
        <v>2286</v>
      </c>
      <c r="E11" s="1852" t="s">
        <v>2287</v>
      </c>
      <c r="F11" s="1852" t="s">
        <v>2288</v>
      </c>
      <c r="G11" s="1852" t="s">
        <v>22</v>
      </c>
      <c r="H11" s="1852" t="s">
        <v>22</v>
      </c>
      <c r="I11" s="1852" t="s">
        <v>808</v>
      </c>
    </row>
    <row r="12" ht="11.25" customHeight="1">
      <c r="A12" s="1852" t="s">
        <v>2247</v>
      </c>
      <c r="B12" s="1852" t="s">
        <v>16</v>
      </c>
      <c r="C12" s="1852" t="s">
        <v>2289</v>
      </c>
      <c r="D12" s="1852" t="s">
        <v>2290</v>
      </c>
      <c r="E12" s="1852" t="s">
        <v>2291</v>
      </c>
      <c r="F12" s="1852" t="s">
        <v>2292</v>
      </c>
      <c r="G12" s="1852" t="s">
        <v>22</v>
      </c>
      <c r="H12" s="1852" t="s">
        <v>22</v>
      </c>
      <c r="I12" s="1852" t="s">
        <v>808</v>
      </c>
    </row>
    <row r="13" ht="11.25" customHeight="1">
      <c r="A13" s="1852" t="s">
        <v>2247</v>
      </c>
      <c r="B13" s="1852" t="s">
        <v>16</v>
      </c>
      <c r="C13" s="1852" t="s">
        <v>2293</v>
      </c>
      <c r="D13" s="1852" t="s">
        <v>2294</v>
      </c>
      <c r="E13" s="1852" t="s">
        <v>2295</v>
      </c>
      <c r="F13" s="1852" t="s">
        <v>2292</v>
      </c>
      <c r="G13" s="1852" t="s">
        <v>22</v>
      </c>
      <c r="H13" s="1852" t="s">
        <v>22</v>
      </c>
      <c r="I13" s="1852" t="s">
        <v>808</v>
      </c>
    </row>
    <row r="14" ht="11.25" customHeight="1">
      <c r="A14" s="1852" t="s">
        <v>2247</v>
      </c>
      <c r="B14" s="1852" t="s">
        <v>16</v>
      </c>
      <c r="C14" s="1852" t="s">
        <v>22</v>
      </c>
      <c r="D14" s="1852" t="s">
        <v>2296</v>
      </c>
      <c r="E14" s="1852" t="s">
        <v>2297</v>
      </c>
      <c r="F14" s="1852" t="s">
        <v>2263</v>
      </c>
      <c r="G14" s="1852" t="s">
        <v>22</v>
      </c>
      <c r="H14" s="1852" t="s">
        <v>22</v>
      </c>
      <c r="I14" s="1852" t="s">
        <v>808</v>
      </c>
    </row>
    <row r="15" ht="11.25" customHeight="1">
      <c r="A15" s="1852" t="s">
        <v>2247</v>
      </c>
      <c r="B15" s="1852" t="s">
        <v>16</v>
      </c>
      <c r="C15" s="1852" t="s">
        <v>2298</v>
      </c>
      <c r="D15" s="1852" t="s">
        <v>2299</v>
      </c>
      <c r="E15" s="1852" t="s">
        <v>2300</v>
      </c>
      <c r="F15" s="1852" t="s">
        <v>2301</v>
      </c>
      <c r="G15" s="1852" t="s">
        <v>22</v>
      </c>
      <c r="H15" s="1852" t="s">
        <v>22</v>
      </c>
      <c r="I15" s="1852" t="s">
        <v>808</v>
      </c>
    </row>
    <row r="16" ht="11.25" customHeight="1">
      <c r="A16" s="1852" t="s">
        <v>2247</v>
      </c>
      <c r="B16" s="1852" t="s">
        <v>16</v>
      </c>
      <c r="C16" s="1852" t="s">
        <v>2302</v>
      </c>
      <c r="D16" s="1852" t="s">
        <v>2303</v>
      </c>
      <c r="E16" s="1852" t="s">
        <v>2304</v>
      </c>
      <c r="F16" s="1852" t="s">
        <v>2251</v>
      </c>
      <c r="G16" s="1852" t="s">
        <v>22</v>
      </c>
      <c r="H16" s="1852" t="s">
        <v>22</v>
      </c>
      <c r="I16" s="1852" t="s">
        <v>808</v>
      </c>
    </row>
    <row r="17" ht="11.25" customHeight="1">
      <c r="A17" s="1852" t="s">
        <v>2247</v>
      </c>
      <c r="B17" s="1852" t="s">
        <v>16</v>
      </c>
      <c r="C17" s="1852" t="s">
        <v>2305</v>
      </c>
      <c r="D17" s="1852" t="s">
        <v>2306</v>
      </c>
      <c r="E17" s="1852" t="s">
        <v>2307</v>
      </c>
      <c r="F17" s="1852" t="s">
        <v>2292</v>
      </c>
      <c r="G17" s="1852" t="s">
        <v>22</v>
      </c>
      <c r="H17" s="1852" t="s">
        <v>22</v>
      </c>
      <c r="I17" s="1852" t="s">
        <v>808</v>
      </c>
    </row>
    <row r="18" ht="11.25" customHeight="1">
      <c r="A18" s="1852" t="s">
        <v>2247</v>
      </c>
      <c r="B18" s="1852" t="s">
        <v>16</v>
      </c>
      <c r="C18" s="1852" t="s">
        <v>2308</v>
      </c>
      <c r="D18" s="1852" t="s">
        <v>2309</v>
      </c>
      <c r="E18" s="1852" t="s">
        <v>2310</v>
      </c>
      <c r="F18" s="1852" t="s">
        <v>2311</v>
      </c>
      <c r="G18" s="1852" t="s">
        <v>22</v>
      </c>
      <c r="H18" s="1852" t="s">
        <v>22</v>
      </c>
      <c r="I18" s="1852" t="s">
        <v>808</v>
      </c>
    </row>
    <row r="19" ht="11.25" customHeight="1">
      <c r="A19" s="1852" t="s">
        <v>2247</v>
      </c>
      <c r="B19" s="1852" t="s">
        <v>16</v>
      </c>
      <c r="C19" s="1852" t="s">
        <v>2312</v>
      </c>
      <c r="D19" s="1852" t="s">
        <v>2313</v>
      </c>
      <c r="E19" s="1852" t="s">
        <v>2314</v>
      </c>
      <c r="F19" s="1852" t="s">
        <v>2315</v>
      </c>
      <c r="G19" s="1852" t="s">
        <v>2316</v>
      </c>
      <c r="H19" s="1852" t="s">
        <v>22</v>
      </c>
      <c r="I19" s="1852" t="s">
        <v>808</v>
      </c>
    </row>
    <row r="20" ht="11.25" customHeight="1">
      <c r="A20" s="1852" t="s">
        <v>2247</v>
      </c>
      <c r="B20" s="1852" t="s">
        <v>16</v>
      </c>
      <c r="C20" s="1852" t="s">
        <v>2317</v>
      </c>
      <c r="D20" s="1852" t="s">
        <v>2318</v>
      </c>
      <c r="E20" s="1852" t="s">
        <v>2319</v>
      </c>
      <c r="F20" s="1852" t="s">
        <v>2320</v>
      </c>
      <c r="G20" s="1852" t="s">
        <v>2321</v>
      </c>
      <c r="H20" s="1852" t="s">
        <v>22</v>
      </c>
      <c r="I20" s="1852" t="s">
        <v>808</v>
      </c>
    </row>
    <row r="21" ht="11.25" customHeight="1">
      <c r="A21" s="1852" t="s">
        <v>2247</v>
      </c>
      <c r="B21" s="1852" t="s">
        <v>16</v>
      </c>
      <c r="C21" s="1852" t="s">
        <v>2322</v>
      </c>
      <c r="D21" s="1852" t="s">
        <v>2323</v>
      </c>
      <c r="E21" s="1852" t="s">
        <v>2324</v>
      </c>
      <c r="F21" s="1852" t="s">
        <v>2288</v>
      </c>
      <c r="G21" s="1852" t="s">
        <v>2325</v>
      </c>
      <c r="H21" s="1852" t="s">
        <v>22</v>
      </c>
      <c r="I21" s="1852" t="s">
        <v>808</v>
      </c>
    </row>
    <row r="22" ht="11.25" customHeight="1">
      <c r="A22" s="1852" t="s">
        <v>2247</v>
      </c>
      <c r="B22" s="1852" t="s">
        <v>16</v>
      </c>
      <c r="C22" s="1852" t="s">
        <v>2326</v>
      </c>
      <c r="D22" s="1852" t="s">
        <v>2327</v>
      </c>
      <c r="E22" s="1852" t="s">
        <v>2328</v>
      </c>
      <c r="F22" s="1852" t="s">
        <v>2329</v>
      </c>
      <c r="G22" s="1852" t="s">
        <v>2330</v>
      </c>
      <c r="H22" s="1852" t="s">
        <v>22</v>
      </c>
      <c r="I22" s="1852" t="s">
        <v>808</v>
      </c>
    </row>
    <row r="23" ht="11.25" customHeight="1">
      <c r="A23" s="1852" t="s">
        <v>2247</v>
      </c>
      <c r="B23" s="1852" t="s">
        <v>16</v>
      </c>
      <c r="C23" s="1852" t="s">
        <v>2331</v>
      </c>
      <c r="D23" s="1852" t="s">
        <v>2332</v>
      </c>
      <c r="E23" s="1852" t="s">
        <v>2333</v>
      </c>
      <c r="F23" s="1852" t="s">
        <v>2334</v>
      </c>
      <c r="G23" s="1852" t="s">
        <v>2335</v>
      </c>
      <c r="H23" s="1852" t="s">
        <v>22</v>
      </c>
      <c r="I23" s="1852" t="s">
        <v>808</v>
      </c>
    </row>
    <row r="24" ht="11.25" customHeight="1">
      <c r="A24" s="1852" t="s">
        <v>2247</v>
      </c>
      <c r="B24" s="1852" t="s">
        <v>16</v>
      </c>
      <c r="C24" s="1852" t="s">
        <v>2336</v>
      </c>
      <c r="D24" s="1852" t="s">
        <v>2337</v>
      </c>
      <c r="E24" s="1852" t="s">
        <v>2338</v>
      </c>
      <c r="F24" s="1852" t="s">
        <v>2339</v>
      </c>
      <c r="G24" s="1852" t="s">
        <v>2340</v>
      </c>
      <c r="H24" s="1852" t="s">
        <v>22</v>
      </c>
      <c r="I24" s="1852" t="s">
        <v>808</v>
      </c>
    </row>
    <row r="25" ht="11.25" customHeight="1">
      <c r="A25" s="1852" t="s">
        <v>2247</v>
      </c>
      <c r="B25" s="1852" t="s">
        <v>16</v>
      </c>
      <c r="C25" s="1852" t="s">
        <v>2341</v>
      </c>
      <c r="D25" s="1852" t="s">
        <v>2342</v>
      </c>
      <c r="E25" s="1852" t="s">
        <v>2343</v>
      </c>
      <c r="F25" s="1852" t="s">
        <v>2267</v>
      </c>
      <c r="G25" s="1852" t="s">
        <v>2344</v>
      </c>
      <c r="H25" s="1852" t="s">
        <v>22</v>
      </c>
      <c r="I25" s="1852" t="s">
        <v>808</v>
      </c>
    </row>
    <row r="26" ht="11.25" customHeight="1">
      <c r="A26" s="1852" t="s">
        <v>2247</v>
      </c>
      <c r="B26" s="1852" t="s">
        <v>16</v>
      </c>
      <c r="C26" s="1852" t="s">
        <v>2345</v>
      </c>
      <c r="D26" s="1852" t="s">
        <v>2346</v>
      </c>
      <c r="E26" s="1852" t="s">
        <v>2347</v>
      </c>
      <c r="F26" s="1852" t="s">
        <v>2348</v>
      </c>
      <c r="G26" s="1852" t="s">
        <v>2349</v>
      </c>
      <c r="H26" s="1852" t="s">
        <v>22</v>
      </c>
      <c r="I26" s="1852" t="s">
        <v>808</v>
      </c>
    </row>
    <row r="27" ht="11.25" customHeight="1">
      <c r="A27" s="1852" t="s">
        <v>2247</v>
      </c>
      <c r="B27" s="1852" t="s">
        <v>16</v>
      </c>
      <c r="C27" s="1852" t="s">
        <v>2350</v>
      </c>
      <c r="D27" s="1852" t="s">
        <v>2351</v>
      </c>
      <c r="E27" s="1852" t="s">
        <v>2352</v>
      </c>
      <c r="F27" s="1852" t="s">
        <v>2353</v>
      </c>
      <c r="G27" s="1852" t="s">
        <v>2354</v>
      </c>
      <c r="H27" s="1852" t="s">
        <v>22</v>
      </c>
      <c r="I27" s="1852" t="s">
        <v>808</v>
      </c>
    </row>
    <row r="28" ht="11.25" customHeight="1">
      <c r="A28" s="1852" t="s">
        <v>2247</v>
      </c>
      <c r="B28" s="1852" t="s">
        <v>16</v>
      </c>
      <c r="C28" s="1852" t="s">
        <v>2355</v>
      </c>
      <c r="D28" s="1852" t="s">
        <v>2356</v>
      </c>
      <c r="E28" s="1852" t="s">
        <v>2357</v>
      </c>
      <c r="F28" s="1852" t="s">
        <v>2358</v>
      </c>
      <c r="G28" s="1852" t="s">
        <v>22</v>
      </c>
      <c r="H28" s="1852" t="s">
        <v>22</v>
      </c>
      <c r="I28" s="1852" t="s">
        <v>808</v>
      </c>
    </row>
    <row r="29" ht="11.25" customHeight="1">
      <c r="A29" s="1852" t="s">
        <v>2247</v>
      </c>
      <c r="B29" s="1852" t="s">
        <v>16</v>
      </c>
      <c r="C29" s="1852" t="s">
        <v>2359</v>
      </c>
      <c r="D29" s="1852" t="s">
        <v>2360</v>
      </c>
      <c r="E29" s="1852" t="s">
        <v>2361</v>
      </c>
      <c r="F29" s="1852" t="s">
        <v>2362</v>
      </c>
      <c r="G29" s="1852" t="s">
        <v>2363</v>
      </c>
      <c r="H29" s="1852" t="s">
        <v>22</v>
      </c>
      <c r="I29" s="1852" t="s">
        <v>808</v>
      </c>
    </row>
    <row r="30" ht="11.25" customHeight="1">
      <c r="A30" s="1852" t="s">
        <v>2247</v>
      </c>
      <c r="B30" s="1852" t="s">
        <v>16</v>
      </c>
      <c r="C30" s="1852" t="s">
        <v>2364</v>
      </c>
      <c r="D30" s="1852" t="s">
        <v>2365</v>
      </c>
      <c r="E30" s="1852" t="s">
        <v>2366</v>
      </c>
      <c r="F30" s="1852" t="s">
        <v>2367</v>
      </c>
      <c r="G30" s="1852" t="s">
        <v>2368</v>
      </c>
      <c r="H30" s="1852" t="s">
        <v>22</v>
      </c>
      <c r="I30" s="1852" t="s">
        <v>808</v>
      </c>
    </row>
    <row r="31" ht="11.25" customHeight="1">
      <c r="A31" s="1852" t="s">
        <v>2247</v>
      </c>
      <c r="B31" s="1852" t="s">
        <v>16</v>
      </c>
      <c r="C31" s="1852" t="s">
        <v>2369</v>
      </c>
      <c r="D31" s="1852" t="s">
        <v>2370</v>
      </c>
      <c r="E31" s="1852" t="s">
        <v>2371</v>
      </c>
      <c r="F31" s="1852" t="s">
        <v>2372</v>
      </c>
      <c r="G31" s="1852" t="s">
        <v>2373</v>
      </c>
      <c r="H31" s="1852" t="s">
        <v>22</v>
      </c>
      <c r="I31" s="1852" t="s">
        <v>808</v>
      </c>
    </row>
    <row r="32" ht="11.25" customHeight="1">
      <c r="A32" s="1852" t="s">
        <v>2247</v>
      </c>
      <c r="B32" s="1852" t="s">
        <v>16</v>
      </c>
      <c r="C32" s="1852" t="s">
        <v>2374</v>
      </c>
      <c r="D32" s="1852" t="s">
        <v>2375</v>
      </c>
      <c r="E32" s="1852" t="s">
        <v>2376</v>
      </c>
      <c r="F32" s="1852" t="s">
        <v>2377</v>
      </c>
      <c r="G32" s="1852" t="s">
        <v>2378</v>
      </c>
      <c r="H32" s="1852" t="s">
        <v>22</v>
      </c>
      <c r="I32" s="1852" t="s">
        <v>808</v>
      </c>
    </row>
    <row r="33" ht="11.25" customHeight="1">
      <c r="A33" s="1852" t="s">
        <v>2247</v>
      </c>
      <c r="B33" s="1852" t="s">
        <v>16</v>
      </c>
      <c r="C33" s="1852" t="s">
        <v>2379</v>
      </c>
      <c r="D33" s="1852" t="s">
        <v>2380</v>
      </c>
      <c r="E33" s="1852" t="s">
        <v>2381</v>
      </c>
      <c r="F33" s="1852" t="s">
        <v>2382</v>
      </c>
      <c r="G33" s="1852" t="s">
        <v>2383</v>
      </c>
      <c r="H33" s="1852" t="s">
        <v>22</v>
      </c>
      <c r="I33" s="1852" t="s">
        <v>808</v>
      </c>
    </row>
    <row r="34" ht="11.25" customHeight="1">
      <c r="A34" s="1852" t="s">
        <v>2247</v>
      </c>
      <c r="B34" s="1852" t="s">
        <v>16</v>
      </c>
      <c r="C34" s="1852" t="s">
        <v>2384</v>
      </c>
      <c r="D34" s="1852" t="s">
        <v>2385</v>
      </c>
      <c r="E34" s="1852" t="s">
        <v>2386</v>
      </c>
      <c r="F34" s="1852" t="s">
        <v>2387</v>
      </c>
      <c r="G34" s="1852" t="s">
        <v>2388</v>
      </c>
      <c r="H34" s="1852" t="s">
        <v>22</v>
      </c>
      <c r="I34" s="1852" t="s">
        <v>808</v>
      </c>
    </row>
    <row r="35" ht="11.25" customHeight="1">
      <c r="A35" s="1852" t="s">
        <v>2247</v>
      </c>
      <c r="B35" s="1852" t="s">
        <v>16</v>
      </c>
      <c r="C35" s="1852" t="s">
        <v>2389</v>
      </c>
      <c r="D35" s="1852" t="s">
        <v>2390</v>
      </c>
      <c r="E35" s="1852" t="s">
        <v>2391</v>
      </c>
      <c r="F35" s="1852" t="s">
        <v>2392</v>
      </c>
      <c r="G35" s="1852" t="s">
        <v>22</v>
      </c>
      <c r="H35" s="1852" t="s">
        <v>22</v>
      </c>
      <c r="I35" s="1852" t="s">
        <v>808</v>
      </c>
    </row>
    <row r="36" ht="11.25" customHeight="1">
      <c r="A36" s="1852" t="s">
        <v>2247</v>
      </c>
      <c r="B36" s="1852" t="s">
        <v>16</v>
      </c>
      <c r="C36" s="1852" t="s">
        <v>2393</v>
      </c>
      <c r="D36" s="1852" t="s">
        <v>2394</v>
      </c>
      <c r="E36" s="1852" t="s">
        <v>2395</v>
      </c>
      <c r="F36" s="1852" t="s">
        <v>2396</v>
      </c>
      <c r="G36" s="1852" t="s">
        <v>22</v>
      </c>
      <c r="H36" s="1852" t="s">
        <v>22</v>
      </c>
      <c r="I36" s="1852" t="s">
        <v>808</v>
      </c>
    </row>
    <row r="37" ht="11.25" customHeight="1">
      <c r="A37" s="1852" t="s">
        <v>2247</v>
      </c>
      <c r="B37" s="1852" t="s">
        <v>16</v>
      </c>
      <c r="C37" s="1852" t="s">
        <v>2397</v>
      </c>
      <c r="D37" s="1852" t="s">
        <v>2398</v>
      </c>
      <c r="E37" s="1852" t="s">
        <v>2399</v>
      </c>
      <c r="F37" s="1852" t="s">
        <v>2358</v>
      </c>
      <c r="G37" s="1852" t="s">
        <v>22</v>
      </c>
      <c r="H37" s="1852" t="s">
        <v>22</v>
      </c>
      <c r="I37" s="1852" t="s">
        <v>808</v>
      </c>
    </row>
    <row r="38" ht="11.25" customHeight="1">
      <c r="A38" s="1852" t="s">
        <v>2247</v>
      </c>
      <c r="B38" s="1852" t="s">
        <v>16</v>
      </c>
      <c r="C38" s="1852" t="s">
        <v>2400</v>
      </c>
      <c r="D38" s="1852" t="s">
        <v>2401</v>
      </c>
      <c r="E38" s="1852" t="s">
        <v>2402</v>
      </c>
      <c r="F38" s="1852" t="s">
        <v>2403</v>
      </c>
      <c r="G38" s="1852" t="s">
        <v>2330</v>
      </c>
      <c r="H38" s="1852" t="s">
        <v>22</v>
      </c>
      <c r="I38" s="1852" t="s">
        <v>808</v>
      </c>
    </row>
    <row r="39" ht="11.25" customHeight="1">
      <c r="A39" s="1852" t="s">
        <v>2247</v>
      </c>
      <c r="B39" s="1852" t="s">
        <v>16</v>
      </c>
      <c r="C39" s="1852" t="s">
        <v>2404</v>
      </c>
      <c r="D39" s="1852" t="s">
        <v>2405</v>
      </c>
      <c r="E39" s="1852" t="s">
        <v>2406</v>
      </c>
      <c r="F39" s="1852" t="s">
        <v>2407</v>
      </c>
      <c r="G39" s="1852" t="s">
        <v>2408</v>
      </c>
      <c r="H39" s="1852" t="s">
        <v>22</v>
      </c>
      <c r="I39" s="1852" t="s">
        <v>808</v>
      </c>
    </row>
    <row r="40" ht="11.25" customHeight="1">
      <c r="A40" s="1852" t="s">
        <v>2247</v>
      </c>
      <c r="B40" s="1852" t="s">
        <v>16</v>
      </c>
      <c r="C40" s="1852" t="s">
        <v>2409</v>
      </c>
      <c r="D40" s="1852" t="s">
        <v>2410</v>
      </c>
      <c r="E40" s="1852" t="s">
        <v>2411</v>
      </c>
      <c r="F40" s="1852" t="s">
        <v>2412</v>
      </c>
      <c r="G40" s="1852" t="s">
        <v>22</v>
      </c>
      <c r="H40" s="1852" t="s">
        <v>22</v>
      </c>
      <c r="I40" s="1852" t="s">
        <v>808</v>
      </c>
    </row>
    <row r="41" ht="11.25" customHeight="1">
      <c r="A41" s="1852" t="s">
        <v>2247</v>
      </c>
      <c r="B41" s="1852" t="s">
        <v>16</v>
      </c>
      <c r="C41" s="1852" t="s">
        <v>2413</v>
      </c>
      <c r="D41" s="1852" t="s">
        <v>2414</v>
      </c>
      <c r="E41" s="1852" t="s">
        <v>2415</v>
      </c>
      <c r="F41" s="1852" t="s">
        <v>2382</v>
      </c>
      <c r="G41" s="1852" t="s">
        <v>22</v>
      </c>
      <c r="H41" s="1852" t="s">
        <v>22</v>
      </c>
      <c r="I41" s="1852" t="s">
        <v>808</v>
      </c>
    </row>
    <row r="42" ht="11.25" customHeight="1">
      <c r="A42" s="1852" t="s">
        <v>2247</v>
      </c>
      <c r="B42" s="1852" t="s">
        <v>16</v>
      </c>
      <c r="C42" s="1852" t="s">
        <v>2416</v>
      </c>
      <c r="D42" s="1852" t="s">
        <v>2417</v>
      </c>
      <c r="E42" s="1852" t="s">
        <v>2418</v>
      </c>
      <c r="F42" s="1852" t="s">
        <v>2251</v>
      </c>
      <c r="G42" s="1852" t="s">
        <v>22</v>
      </c>
      <c r="H42" s="1852" t="s">
        <v>22</v>
      </c>
      <c r="I42" s="1852" t="s">
        <v>808</v>
      </c>
    </row>
    <row r="43" ht="11.25" customHeight="1">
      <c r="A43" s="1852" t="s">
        <v>2247</v>
      </c>
      <c r="B43" s="1852" t="s">
        <v>16</v>
      </c>
      <c r="C43" s="1852" t="s">
        <v>2419</v>
      </c>
      <c r="D43" s="1852" t="s">
        <v>2420</v>
      </c>
      <c r="E43" s="1852" t="s">
        <v>2421</v>
      </c>
      <c r="F43" s="1852" t="s">
        <v>2288</v>
      </c>
      <c r="G43" s="1852" t="s">
        <v>22</v>
      </c>
      <c r="H43" s="1852" t="s">
        <v>22</v>
      </c>
      <c r="I43" s="1852" t="s">
        <v>808</v>
      </c>
    </row>
    <row r="44" ht="11.25" customHeight="1">
      <c r="A44" s="1852" t="s">
        <v>2247</v>
      </c>
      <c r="B44" s="1852" t="s">
        <v>16</v>
      </c>
      <c r="C44" s="1852" t="s">
        <v>2422</v>
      </c>
      <c r="D44" s="1852" t="s">
        <v>2423</v>
      </c>
      <c r="E44" s="1852" t="s">
        <v>2424</v>
      </c>
      <c r="F44" s="1852" t="s">
        <v>2425</v>
      </c>
      <c r="G44" s="1852" t="s">
        <v>22</v>
      </c>
      <c r="H44" s="1852" t="s">
        <v>22</v>
      </c>
      <c r="I44" s="1852" t="s">
        <v>808</v>
      </c>
    </row>
    <row r="45" ht="11.25" customHeight="1">
      <c r="A45" s="1852" t="s">
        <v>2247</v>
      </c>
      <c r="B45" s="1852" t="s">
        <v>16</v>
      </c>
      <c r="C45" s="1852" t="s">
        <v>2426</v>
      </c>
      <c r="D45" s="1852" t="s">
        <v>2427</v>
      </c>
      <c r="E45" s="1852" t="s">
        <v>2428</v>
      </c>
      <c r="F45" s="1852" t="s">
        <v>2407</v>
      </c>
      <c r="G45" s="1852" t="s">
        <v>22</v>
      </c>
      <c r="H45" s="1852" t="s">
        <v>22</v>
      </c>
      <c r="I45" s="1852" t="s">
        <v>808</v>
      </c>
    </row>
    <row r="46" ht="11.25" customHeight="1">
      <c r="A46" s="1852" t="s">
        <v>2247</v>
      </c>
      <c r="B46" s="1852" t="s">
        <v>16</v>
      </c>
      <c r="C46" s="1852" t="s">
        <v>2429</v>
      </c>
      <c r="D46" s="1852" t="s">
        <v>2430</v>
      </c>
      <c r="E46" s="1852" t="s">
        <v>2431</v>
      </c>
      <c r="F46" s="1852" t="s">
        <v>2372</v>
      </c>
      <c r="G46" s="1852" t="s">
        <v>22</v>
      </c>
      <c r="H46" s="1852" t="s">
        <v>22</v>
      </c>
      <c r="I46" s="1852" t="s">
        <v>808</v>
      </c>
    </row>
    <row r="47" ht="11.25" customHeight="1">
      <c r="A47" s="1852" t="s">
        <v>2247</v>
      </c>
      <c r="B47" s="1852" t="s">
        <v>16</v>
      </c>
      <c r="C47" s="1852" t="s">
        <v>2432</v>
      </c>
      <c r="D47" s="1852" t="s">
        <v>2433</v>
      </c>
      <c r="E47" s="1852" t="s">
        <v>2434</v>
      </c>
      <c r="F47" s="1852" t="s">
        <v>2358</v>
      </c>
      <c r="G47" s="1852" t="s">
        <v>22</v>
      </c>
      <c r="H47" s="1852" t="s">
        <v>22</v>
      </c>
      <c r="I47" s="1852" t="s">
        <v>808</v>
      </c>
    </row>
    <row r="48" ht="11.25" customHeight="1">
      <c r="A48" s="1852" t="s">
        <v>2247</v>
      </c>
      <c r="B48" s="1852" t="s">
        <v>16</v>
      </c>
      <c r="C48" s="1852" t="s">
        <v>2435</v>
      </c>
      <c r="D48" s="1852" t="s">
        <v>2436</v>
      </c>
      <c r="E48" s="1852" t="s">
        <v>2424</v>
      </c>
      <c r="F48" s="1852" t="s">
        <v>2437</v>
      </c>
      <c r="G48" s="1852" t="s">
        <v>22</v>
      </c>
      <c r="H48" s="1852" t="s">
        <v>22</v>
      </c>
      <c r="I48" s="1852" t="s">
        <v>808</v>
      </c>
    </row>
    <row r="49" ht="11.25" customHeight="1">
      <c r="A49" s="1852" t="s">
        <v>2247</v>
      </c>
      <c r="B49" s="1852" t="s">
        <v>16</v>
      </c>
      <c r="C49" s="1852" t="s">
        <v>2438</v>
      </c>
      <c r="D49" s="1852" t="s">
        <v>2439</v>
      </c>
      <c r="E49" s="1852" t="s">
        <v>2440</v>
      </c>
      <c r="F49" s="1852" t="s">
        <v>2412</v>
      </c>
      <c r="G49" s="1852" t="s">
        <v>22</v>
      </c>
      <c r="H49" s="1852" t="s">
        <v>22</v>
      </c>
      <c r="I49" s="1852" t="s">
        <v>808</v>
      </c>
    </row>
    <row r="50" ht="11.25" customHeight="1">
      <c r="A50" s="1852" t="s">
        <v>2247</v>
      </c>
      <c r="B50" s="1852" t="s">
        <v>16</v>
      </c>
      <c r="C50" s="1852" t="s">
        <v>2441</v>
      </c>
      <c r="D50" s="1852" t="s">
        <v>2442</v>
      </c>
      <c r="E50" s="1852" t="s">
        <v>2443</v>
      </c>
      <c r="F50" s="1852" t="s">
        <v>2267</v>
      </c>
      <c r="G50" s="1852" t="s">
        <v>22</v>
      </c>
      <c r="H50" s="1852" t="s">
        <v>22</v>
      </c>
      <c r="I50" s="1852" t="s">
        <v>808</v>
      </c>
    </row>
    <row r="51" ht="11.25" customHeight="1">
      <c r="A51" s="1852" t="s">
        <v>2247</v>
      </c>
      <c r="B51" s="1852" t="s">
        <v>16</v>
      </c>
      <c r="C51" s="1852" t="s">
        <v>2444</v>
      </c>
      <c r="D51" s="1852" t="s">
        <v>2445</v>
      </c>
      <c r="E51" s="1852" t="s">
        <v>2443</v>
      </c>
      <c r="F51" s="1852" t="s">
        <v>2263</v>
      </c>
      <c r="G51" s="1852" t="s">
        <v>2446</v>
      </c>
      <c r="H51" s="1852" t="s">
        <v>22</v>
      </c>
      <c r="I51" s="1852" t="s">
        <v>808</v>
      </c>
    </row>
    <row r="52" ht="11.25" customHeight="1">
      <c r="A52" s="1852" t="s">
        <v>2247</v>
      </c>
      <c r="B52" s="1852" t="s">
        <v>16</v>
      </c>
      <c r="C52" s="1852" t="s">
        <v>2447</v>
      </c>
      <c r="D52" s="1852" t="s">
        <v>2448</v>
      </c>
      <c r="E52" s="1852" t="s">
        <v>2449</v>
      </c>
      <c r="F52" s="1852" t="s">
        <v>2263</v>
      </c>
      <c r="G52" s="1852" t="s">
        <v>22</v>
      </c>
      <c r="H52" s="1852" t="s">
        <v>22</v>
      </c>
      <c r="I52" s="1852" t="s">
        <v>808</v>
      </c>
    </row>
    <row r="53" ht="11.25" customHeight="1">
      <c r="A53" s="1852" t="s">
        <v>2247</v>
      </c>
      <c r="B53" s="1852" t="s">
        <v>16</v>
      </c>
      <c r="C53" s="1852" t="s">
        <v>2450</v>
      </c>
      <c r="D53" s="1852" t="s">
        <v>2451</v>
      </c>
      <c r="E53" s="1852" t="s">
        <v>2452</v>
      </c>
      <c r="F53" s="1852" t="s">
        <v>2407</v>
      </c>
      <c r="G53" s="1852" t="s">
        <v>22</v>
      </c>
      <c r="H53" s="1852" t="s">
        <v>22</v>
      </c>
      <c r="I53" s="1852" t="s">
        <v>808</v>
      </c>
    </row>
    <row r="54" ht="11.25" customHeight="1">
      <c r="A54" s="1852" t="s">
        <v>2247</v>
      </c>
      <c r="B54" s="1852" t="s">
        <v>16</v>
      </c>
      <c r="C54" s="1852" t="s">
        <v>2453</v>
      </c>
      <c r="D54" s="1852" t="s">
        <v>2454</v>
      </c>
      <c r="E54" s="1852" t="s">
        <v>2455</v>
      </c>
      <c r="F54" s="1852" t="s">
        <v>2311</v>
      </c>
      <c r="G54" s="1852" t="s">
        <v>22</v>
      </c>
      <c r="H54" s="1852" t="s">
        <v>22</v>
      </c>
      <c r="I54" s="1852" t="s">
        <v>808</v>
      </c>
    </row>
    <row r="55" ht="11.25" customHeight="1">
      <c r="A55" s="1852" t="s">
        <v>2247</v>
      </c>
      <c r="B55" s="1852" t="s">
        <v>16</v>
      </c>
      <c r="C55" s="1852" t="s">
        <v>2456</v>
      </c>
      <c r="D55" s="1852" t="s">
        <v>2457</v>
      </c>
      <c r="E55" s="1852" t="s">
        <v>2458</v>
      </c>
      <c r="F55" s="1852" t="s">
        <v>2372</v>
      </c>
      <c r="G55" s="1852" t="s">
        <v>22</v>
      </c>
      <c r="H55" s="1852" t="s">
        <v>22</v>
      </c>
      <c r="I55" s="1852" t="s">
        <v>808</v>
      </c>
    </row>
    <row r="56" ht="11.25" customHeight="1">
      <c r="A56" s="1852" t="s">
        <v>2247</v>
      </c>
      <c r="B56" s="1852" t="s">
        <v>16</v>
      </c>
      <c r="C56" s="1852" t="s">
        <v>2459</v>
      </c>
      <c r="D56" s="1852" t="s">
        <v>2460</v>
      </c>
      <c r="E56" s="1852" t="s">
        <v>2461</v>
      </c>
      <c r="F56" s="1852" t="s">
        <v>2329</v>
      </c>
      <c r="G56" s="1852" t="s">
        <v>22</v>
      </c>
      <c r="H56" s="1852" t="s">
        <v>22</v>
      </c>
      <c r="I56" s="1852" t="s">
        <v>808</v>
      </c>
    </row>
    <row r="57" ht="11.25" customHeight="1">
      <c r="A57" s="1852" t="s">
        <v>2247</v>
      </c>
      <c r="B57" s="1852" t="s">
        <v>16</v>
      </c>
      <c r="C57" s="1852" t="s">
        <v>2462</v>
      </c>
      <c r="D57" s="1852" t="s">
        <v>2463</v>
      </c>
      <c r="E57" s="1852" t="s">
        <v>2464</v>
      </c>
      <c r="F57" s="1852" t="s">
        <v>2288</v>
      </c>
      <c r="G57" s="1852" t="s">
        <v>22</v>
      </c>
      <c r="H57" s="1852" t="s">
        <v>22</v>
      </c>
      <c r="I57" s="1852" t="s">
        <v>808</v>
      </c>
    </row>
    <row r="58" ht="11.25" customHeight="1">
      <c r="A58" s="1852" t="s">
        <v>2247</v>
      </c>
      <c r="B58" s="1852" t="s">
        <v>16</v>
      </c>
      <c r="C58" s="1852" t="s">
        <v>2465</v>
      </c>
      <c r="D58" s="1852" t="s">
        <v>2466</v>
      </c>
      <c r="E58" s="1852" t="s">
        <v>2467</v>
      </c>
      <c r="F58" s="1852" t="s">
        <v>2263</v>
      </c>
      <c r="G58" s="1852" t="s">
        <v>22</v>
      </c>
      <c r="H58" s="1852" t="s">
        <v>22</v>
      </c>
      <c r="I58" s="1852" t="s">
        <v>808</v>
      </c>
    </row>
    <row r="59" ht="11.25" customHeight="1">
      <c r="A59" s="1852" t="s">
        <v>2247</v>
      </c>
      <c r="B59" s="1852" t="s">
        <v>16</v>
      </c>
      <c r="C59" s="1852" t="s">
        <v>2468</v>
      </c>
      <c r="D59" s="1852" t="s">
        <v>2469</v>
      </c>
      <c r="E59" s="1852" t="s">
        <v>2470</v>
      </c>
      <c r="F59" s="1852" t="s">
        <v>2320</v>
      </c>
      <c r="G59" s="1852" t="s">
        <v>2471</v>
      </c>
      <c r="H59" s="1852" t="s">
        <v>22</v>
      </c>
      <c r="I59" s="1852" t="s">
        <v>808</v>
      </c>
    </row>
    <row r="60" ht="11.25" customHeight="1">
      <c r="A60" s="1852" t="s">
        <v>2247</v>
      </c>
      <c r="B60" s="1852" t="s">
        <v>16</v>
      </c>
      <c r="C60" s="1852" t="s">
        <v>2472</v>
      </c>
      <c r="D60" s="1852" t="s">
        <v>2473</v>
      </c>
      <c r="E60" s="1852" t="s">
        <v>2474</v>
      </c>
      <c r="F60" s="1852" t="s">
        <v>2372</v>
      </c>
      <c r="G60" s="1852" t="s">
        <v>2475</v>
      </c>
      <c r="H60" s="1852" t="s">
        <v>22</v>
      </c>
      <c r="I60" s="1852" t="s">
        <v>808</v>
      </c>
    </row>
    <row r="61" ht="11.25" customHeight="1">
      <c r="A61" s="1852" t="s">
        <v>2247</v>
      </c>
      <c r="B61" s="1852" t="s">
        <v>16</v>
      </c>
      <c r="C61" s="1852" t="s">
        <v>2476</v>
      </c>
      <c r="D61" s="1852" t="s">
        <v>2477</v>
      </c>
      <c r="E61" s="1852" t="s">
        <v>2478</v>
      </c>
      <c r="F61" s="1852" t="s">
        <v>2479</v>
      </c>
      <c r="G61" s="1852" t="s">
        <v>2480</v>
      </c>
      <c r="H61" s="1852" t="s">
        <v>22</v>
      </c>
      <c r="I61" s="1852" t="s">
        <v>808</v>
      </c>
    </row>
    <row r="62" ht="11.25" customHeight="1">
      <c r="A62" s="1852" t="s">
        <v>2247</v>
      </c>
      <c r="B62" s="1852" t="s">
        <v>16</v>
      </c>
      <c r="C62" s="1852" t="s">
        <v>2481</v>
      </c>
      <c r="D62" s="1852" t="s">
        <v>2482</v>
      </c>
      <c r="E62" s="1852" t="s">
        <v>2483</v>
      </c>
      <c r="F62" s="1852" t="s">
        <v>2484</v>
      </c>
      <c r="G62" s="1852" t="s">
        <v>2485</v>
      </c>
      <c r="H62" s="1852" t="s">
        <v>22</v>
      </c>
      <c r="I62" s="1852" t="s">
        <v>808</v>
      </c>
    </row>
    <row r="63" ht="11.25" customHeight="1">
      <c r="A63" s="1852" t="s">
        <v>2247</v>
      </c>
      <c r="B63" s="1852" t="s">
        <v>16</v>
      </c>
      <c r="C63" s="1852" t="s">
        <v>2486</v>
      </c>
      <c r="D63" s="1852" t="s">
        <v>2487</v>
      </c>
      <c r="E63" s="1852" t="s">
        <v>2488</v>
      </c>
      <c r="F63" s="1852" t="s">
        <v>2292</v>
      </c>
      <c r="G63" s="1852" t="s">
        <v>22</v>
      </c>
      <c r="H63" s="1852" t="s">
        <v>22</v>
      </c>
      <c r="I63" s="1852" t="s">
        <v>808</v>
      </c>
    </row>
    <row r="64" ht="11.25" customHeight="1">
      <c r="A64" s="1852" t="s">
        <v>2247</v>
      </c>
      <c r="B64" s="1852" t="s">
        <v>16</v>
      </c>
      <c r="C64" s="1852" t="s">
        <v>2489</v>
      </c>
      <c r="D64" s="1852" t="s">
        <v>2490</v>
      </c>
      <c r="E64" s="1852" t="s">
        <v>2491</v>
      </c>
      <c r="F64" s="1852" t="s">
        <v>2267</v>
      </c>
      <c r="G64" s="1852" t="s">
        <v>22</v>
      </c>
      <c r="H64" s="1852" t="s">
        <v>22</v>
      </c>
      <c r="I64" s="1852" t="s">
        <v>808</v>
      </c>
    </row>
    <row r="65" ht="11.25" customHeight="1">
      <c r="A65" s="1852" t="s">
        <v>2247</v>
      </c>
      <c r="B65" s="1852" t="s">
        <v>16</v>
      </c>
      <c r="C65" s="1852" t="s">
        <v>2492</v>
      </c>
      <c r="D65" s="1852" t="s">
        <v>2493</v>
      </c>
      <c r="E65" s="1852" t="s">
        <v>2494</v>
      </c>
      <c r="F65" s="1852" t="s">
        <v>2255</v>
      </c>
      <c r="G65" s="1852" t="s">
        <v>22</v>
      </c>
      <c r="H65" s="1852" t="s">
        <v>22</v>
      </c>
      <c r="I65" s="1852" t="s">
        <v>808</v>
      </c>
    </row>
    <row r="66" ht="11.25" customHeight="1">
      <c r="A66" s="1852" t="s">
        <v>2247</v>
      </c>
      <c r="B66" s="1852" t="s">
        <v>16</v>
      </c>
      <c r="C66" s="1852" t="s">
        <v>2495</v>
      </c>
      <c r="D66" s="1852" t="s">
        <v>2496</v>
      </c>
      <c r="E66" s="1852" t="s">
        <v>2497</v>
      </c>
      <c r="F66" s="1852" t="s">
        <v>2279</v>
      </c>
      <c r="G66" s="1852" t="s">
        <v>22</v>
      </c>
      <c r="H66" s="1852" t="s">
        <v>22</v>
      </c>
      <c r="I66" s="1852" t="s">
        <v>808</v>
      </c>
    </row>
    <row r="67" ht="11.25" customHeight="1">
      <c r="A67" s="1852" t="s">
        <v>2247</v>
      </c>
      <c r="B67" s="1852" t="s">
        <v>16</v>
      </c>
      <c r="C67" s="1852" t="s">
        <v>2498</v>
      </c>
      <c r="D67" s="1852" t="s">
        <v>2499</v>
      </c>
      <c r="E67" s="1852" t="s">
        <v>2500</v>
      </c>
      <c r="F67" s="1852" t="s">
        <v>2263</v>
      </c>
      <c r="G67" s="1852" t="s">
        <v>2501</v>
      </c>
      <c r="H67" s="1852" t="s">
        <v>22</v>
      </c>
      <c r="I67" s="1852" t="s">
        <v>808</v>
      </c>
    </row>
    <row r="68" ht="11.25" customHeight="1">
      <c r="A68" s="1852" t="s">
        <v>2247</v>
      </c>
      <c r="B68" s="1852" t="s">
        <v>16</v>
      </c>
      <c r="C68" s="1852" t="s">
        <v>2502</v>
      </c>
      <c r="D68" s="1852" t="s">
        <v>2503</v>
      </c>
      <c r="E68" s="1852" t="s">
        <v>2504</v>
      </c>
      <c r="F68" s="1852" t="s">
        <v>2263</v>
      </c>
      <c r="G68" s="1852" t="s">
        <v>22</v>
      </c>
      <c r="H68" s="1852" t="s">
        <v>22</v>
      </c>
      <c r="I68" s="1852" t="s">
        <v>808</v>
      </c>
    </row>
    <row r="69" ht="11.25" customHeight="1">
      <c r="A69" s="1852" t="s">
        <v>2247</v>
      </c>
      <c r="B69" s="1852" t="s">
        <v>16</v>
      </c>
      <c r="C69" s="1852" t="s">
        <v>2505</v>
      </c>
      <c r="D69" s="1852" t="s">
        <v>2506</v>
      </c>
      <c r="E69" s="1852" t="s">
        <v>2507</v>
      </c>
      <c r="F69" s="1852" t="s">
        <v>2263</v>
      </c>
      <c r="G69" s="1852" t="s">
        <v>22</v>
      </c>
      <c r="H69" s="1852" t="s">
        <v>22</v>
      </c>
      <c r="I69" s="1852" t="s">
        <v>808</v>
      </c>
    </row>
    <row r="70" ht="11.25" customHeight="1">
      <c r="A70" s="1852" t="s">
        <v>2247</v>
      </c>
      <c r="B70" s="1852" t="s">
        <v>16</v>
      </c>
      <c r="C70" s="1852" t="s">
        <v>2508</v>
      </c>
      <c r="D70" s="1852" t="s">
        <v>2509</v>
      </c>
      <c r="E70" s="1852" t="s">
        <v>2510</v>
      </c>
      <c r="F70" s="1852" t="s">
        <v>2263</v>
      </c>
      <c r="G70" s="1852" t="s">
        <v>2511</v>
      </c>
      <c r="H70" s="1852" t="s">
        <v>22</v>
      </c>
      <c r="I70" s="1852" t="s">
        <v>808</v>
      </c>
    </row>
    <row r="71" ht="11.25" customHeight="1">
      <c r="A71" s="1852" t="s">
        <v>2247</v>
      </c>
      <c r="B71" s="1852" t="s">
        <v>16</v>
      </c>
      <c r="C71" s="1852" t="s">
        <v>2512</v>
      </c>
      <c r="D71" s="1852" t="s">
        <v>2513</v>
      </c>
      <c r="E71" s="1852" t="s">
        <v>2514</v>
      </c>
      <c r="F71" s="1852" t="s">
        <v>2372</v>
      </c>
      <c r="G71" s="1852" t="s">
        <v>22</v>
      </c>
      <c r="H71" s="1852" t="s">
        <v>22</v>
      </c>
      <c r="I71" s="1852" t="s">
        <v>808</v>
      </c>
    </row>
    <row r="72" ht="11.25" customHeight="1">
      <c r="A72" s="1852" t="s">
        <v>2247</v>
      </c>
      <c r="B72" s="1852" t="s">
        <v>16</v>
      </c>
      <c r="C72" s="1852" t="s">
        <v>2515</v>
      </c>
      <c r="D72" s="1852" t="s">
        <v>2516</v>
      </c>
      <c r="E72" s="1852" t="s">
        <v>2517</v>
      </c>
      <c r="F72" s="1852" t="s">
        <v>2392</v>
      </c>
      <c r="G72" s="1852" t="s">
        <v>22</v>
      </c>
      <c r="H72" s="1852" t="s">
        <v>22</v>
      </c>
      <c r="I72" s="1852" t="s">
        <v>808</v>
      </c>
    </row>
    <row r="73" ht="11.25" customHeight="1">
      <c r="A73" s="1852" t="s">
        <v>2247</v>
      </c>
      <c r="B73" s="1852" t="s">
        <v>16</v>
      </c>
      <c r="C73" s="1852" t="s">
        <v>2518</v>
      </c>
      <c r="D73" s="1852" t="s">
        <v>2519</v>
      </c>
      <c r="E73" s="1852" t="s">
        <v>2520</v>
      </c>
      <c r="F73" s="1852" t="s">
        <v>2288</v>
      </c>
      <c r="G73" s="1852" t="s">
        <v>2521</v>
      </c>
      <c r="H73" s="1852" t="s">
        <v>22</v>
      </c>
      <c r="I73" s="1852" t="s">
        <v>808</v>
      </c>
    </row>
    <row r="74" ht="11.25" customHeight="1">
      <c r="A74" s="1852" t="s">
        <v>2247</v>
      </c>
      <c r="B74" s="1852" t="s">
        <v>16</v>
      </c>
      <c r="C74" s="1852" t="s">
        <v>2522</v>
      </c>
      <c r="D74" s="1852" t="s">
        <v>2523</v>
      </c>
      <c r="E74" s="1852" t="s">
        <v>2524</v>
      </c>
      <c r="F74" s="1852" t="s">
        <v>2251</v>
      </c>
      <c r="G74" s="1852" t="s">
        <v>22</v>
      </c>
      <c r="H74" s="1852" t="s">
        <v>22</v>
      </c>
      <c r="I74" s="1852" t="s">
        <v>808</v>
      </c>
    </row>
    <row r="75" ht="11.25" customHeight="1">
      <c r="A75" s="1852" t="s">
        <v>2247</v>
      </c>
      <c r="B75" s="1852" t="s">
        <v>16</v>
      </c>
      <c r="C75" s="1852" t="s">
        <v>2525</v>
      </c>
      <c r="D75" s="1852" t="s">
        <v>2526</v>
      </c>
      <c r="E75" s="1852" t="s">
        <v>2527</v>
      </c>
      <c r="F75" s="1852" t="s">
        <v>2382</v>
      </c>
      <c r="G75" s="1852" t="s">
        <v>22</v>
      </c>
      <c r="H75" s="1852" t="s">
        <v>22</v>
      </c>
      <c r="I75" s="1852" t="s">
        <v>808</v>
      </c>
    </row>
    <row r="76" ht="11.25" customHeight="1">
      <c r="A76" s="1852" t="s">
        <v>2247</v>
      </c>
      <c r="B76" s="1852" t="s">
        <v>16</v>
      </c>
      <c r="C76" s="1852" t="s">
        <v>2528</v>
      </c>
      <c r="D76" s="1852" t="s">
        <v>2529</v>
      </c>
      <c r="E76" s="1852" t="s">
        <v>2530</v>
      </c>
      <c r="F76" s="1852" t="s">
        <v>2348</v>
      </c>
      <c r="G76" s="1852" t="s">
        <v>22</v>
      </c>
      <c r="H76" s="1852" t="s">
        <v>22</v>
      </c>
      <c r="I76" s="1852" t="s">
        <v>808</v>
      </c>
    </row>
    <row r="77" ht="11.25" customHeight="1">
      <c r="A77" s="1852" t="s">
        <v>2247</v>
      </c>
      <c r="B77" s="1852" t="s">
        <v>16</v>
      </c>
      <c r="C77" s="1852" t="s">
        <v>2531</v>
      </c>
      <c r="D77" s="1852" t="s">
        <v>2532</v>
      </c>
      <c r="E77" s="1852" t="s">
        <v>2533</v>
      </c>
      <c r="F77" s="1852" t="s">
        <v>2387</v>
      </c>
      <c r="G77" s="1852" t="s">
        <v>2534</v>
      </c>
      <c r="H77" s="1852" t="s">
        <v>22</v>
      </c>
      <c r="I77" s="1852" t="s">
        <v>808</v>
      </c>
    </row>
    <row r="78" ht="11.25" customHeight="1">
      <c r="A78" s="1852" t="s">
        <v>2247</v>
      </c>
      <c r="B78" s="1852" t="s">
        <v>16</v>
      </c>
      <c r="C78" s="1852" t="s">
        <v>2535</v>
      </c>
      <c r="D78" s="1852" t="s">
        <v>2536</v>
      </c>
      <c r="E78" s="1852" t="s">
        <v>2537</v>
      </c>
      <c r="F78" s="1852" t="s">
        <v>2538</v>
      </c>
      <c r="G78" s="1852" t="s">
        <v>22</v>
      </c>
      <c r="H78" s="1852" t="s">
        <v>22</v>
      </c>
      <c r="I78" s="1852" t="s">
        <v>808</v>
      </c>
    </row>
    <row r="79" ht="11.25" customHeight="1">
      <c r="A79" s="1852" t="s">
        <v>2247</v>
      </c>
      <c r="B79" s="1852" t="s">
        <v>16</v>
      </c>
      <c r="C79" s="1852" t="s">
        <v>2539</v>
      </c>
      <c r="D79" s="1852" t="s">
        <v>2540</v>
      </c>
      <c r="E79" s="1852" t="s">
        <v>2541</v>
      </c>
      <c r="F79" s="1852" t="s">
        <v>2542</v>
      </c>
      <c r="G79" s="1852" t="s">
        <v>22</v>
      </c>
      <c r="H79" s="1852" t="s">
        <v>22</v>
      </c>
      <c r="I79" s="1852" t="s">
        <v>808</v>
      </c>
    </row>
    <row r="80" ht="11.25" customHeight="1">
      <c r="A80" s="1852" t="s">
        <v>2247</v>
      </c>
      <c r="B80" s="1852" t="s">
        <v>16</v>
      </c>
      <c r="C80" s="1852" t="s">
        <v>2543</v>
      </c>
      <c r="D80" s="1852" t="s">
        <v>2544</v>
      </c>
      <c r="E80" s="1852" t="s">
        <v>2545</v>
      </c>
      <c r="F80" s="1852" t="s">
        <v>2263</v>
      </c>
      <c r="G80" s="1852" t="s">
        <v>22</v>
      </c>
      <c r="H80" s="1852" t="s">
        <v>22</v>
      </c>
      <c r="I80" s="1852" t="s">
        <v>808</v>
      </c>
    </row>
    <row r="81" ht="11.25" customHeight="1">
      <c r="A81" s="1852" t="s">
        <v>2247</v>
      </c>
      <c r="B81" s="1852" t="s">
        <v>16</v>
      </c>
      <c r="C81" s="1852" t="s">
        <v>2546</v>
      </c>
      <c r="D81" s="1852" t="s">
        <v>2547</v>
      </c>
      <c r="E81" s="1852" t="s">
        <v>2548</v>
      </c>
      <c r="F81" s="1852" t="s">
        <v>2263</v>
      </c>
      <c r="G81" s="1852" t="s">
        <v>2549</v>
      </c>
      <c r="H81" s="1852" t="s">
        <v>22</v>
      </c>
      <c r="I81" s="1852" t="s">
        <v>808</v>
      </c>
    </row>
    <row r="82" ht="11.25" customHeight="1">
      <c r="A82" s="1852" t="s">
        <v>2247</v>
      </c>
      <c r="B82" s="1852" t="s">
        <v>16</v>
      </c>
      <c r="C82" s="1852" t="s">
        <v>2550</v>
      </c>
      <c r="D82" s="1852" t="s">
        <v>2551</v>
      </c>
      <c r="E82" s="1852" t="s">
        <v>2552</v>
      </c>
      <c r="F82" s="1852" t="s">
        <v>2553</v>
      </c>
      <c r="G82" s="1852" t="s">
        <v>22</v>
      </c>
      <c r="H82" s="1852" t="s">
        <v>22</v>
      </c>
      <c r="I82" s="1852" t="s">
        <v>808</v>
      </c>
    </row>
    <row r="83" ht="11.25" customHeight="1">
      <c r="A83" s="1852" t="s">
        <v>2247</v>
      </c>
      <c r="B83" s="1852" t="s">
        <v>16</v>
      </c>
      <c r="C83" s="1852" t="s">
        <v>2554</v>
      </c>
      <c r="D83" s="1852" t="s">
        <v>2555</v>
      </c>
      <c r="E83" s="1852" t="s">
        <v>2556</v>
      </c>
      <c r="F83" s="1852" t="s">
        <v>2407</v>
      </c>
      <c r="G83" s="1852" t="s">
        <v>22</v>
      </c>
      <c r="H83" s="1852" t="s">
        <v>22</v>
      </c>
      <c r="I83" s="1852" t="s">
        <v>808</v>
      </c>
    </row>
    <row r="84" ht="11.25" customHeight="1">
      <c r="A84" s="1852" t="s">
        <v>2247</v>
      </c>
      <c r="B84" s="1852" t="s">
        <v>16</v>
      </c>
      <c r="C84" s="1852" t="s">
        <v>2557</v>
      </c>
      <c r="D84" s="1852" t="s">
        <v>2558</v>
      </c>
      <c r="E84" s="1852" t="s">
        <v>2559</v>
      </c>
      <c r="F84" s="1852" t="s">
        <v>2553</v>
      </c>
      <c r="G84" s="1852" t="s">
        <v>2560</v>
      </c>
      <c r="H84" s="1852" t="s">
        <v>22</v>
      </c>
      <c r="I84" s="1852" t="s">
        <v>808</v>
      </c>
    </row>
    <row r="85" ht="11.25" customHeight="1">
      <c r="A85" s="1852" t="s">
        <v>2247</v>
      </c>
      <c r="B85" s="1852" t="s">
        <v>16</v>
      </c>
      <c r="C85" s="1852" t="s">
        <v>2561</v>
      </c>
      <c r="D85" s="1852" t="s">
        <v>2562</v>
      </c>
      <c r="E85" s="1852" t="s">
        <v>2563</v>
      </c>
      <c r="F85" s="1852" t="s">
        <v>2263</v>
      </c>
      <c r="G85" s="1852" t="s">
        <v>22</v>
      </c>
      <c r="H85" s="1852" t="s">
        <v>22</v>
      </c>
      <c r="I85" s="1852" t="s">
        <v>808</v>
      </c>
    </row>
    <row r="86" ht="11.25" customHeight="1">
      <c r="A86" s="1852" t="s">
        <v>2247</v>
      </c>
      <c r="B86" s="1852" t="s">
        <v>16</v>
      </c>
      <c r="C86" s="1852" t="s">
        <v>2564</v>
      </c>
      <c r="D86" s="1852" t="s">
        <v>2565</v>
      </c>
      <c r="E86" s="1852" t="s">
        <v>2566</v>
      </c>
      <c r="F86" s="1852" t="s">
        <v>2567</v>
      </c>
      <c r="G86" s="1852" t="s">
        <v>22</v>
      </c>
      <c r="H86" s="1852" t="s">
        <v>22</v>
      </c>
      <c r="I86" s="1852" t="s">
        <v>808</v>
      </c>
    </row>
    <row r="87" ht="11.25" customHeight="1">
      <c r="A87" s="1852" t="s">
        <v>2247</v>
      </c>
      <c r="B87" s="1852" t="s">
        <v>16</v>
      </c>
      <c r="C87" s="1852" t="s">
        <v>2568</v>
      </c>
      <c r="D87" s="1852" t="s">
        <v>2569</v>
      </c>
      <c r="E87" s="1852" t="s">
        <v>2570</v>
      </c>
      <c r="F87" s="1852" t="s">
        <v>2571</v>
      </c>
      <c r="G87" s="1852" t="s">
        <v>22</v>
      </c>
      <c r="H87" s="1852" t="s">
        <v>22</v>
      </c>
      <c r="I87" s="1852" t="s">
        <v>808</v>
      </c>
    </row>
    <row r="88" ht="11.25" customHeight="1">
      <c r="A88" s="1852" t="s">
        <v>2247</v>
      </c>
      <c r="B88" s="1852" t="s">
        <v>16</v>
      </c>
      <c r="C88" s="1852" t="s">
        <v>2572</v>
      </c>
      <c r="D88" s="1852" t="s">
        <v>2573</v>
      </c>
      <c r="E88" s="1852" t="s">
        <v>2574</v>
      </c>
      <c r="F88" s="1852" t="s">
        <v>2575</v>
      </c>
      <c r="G88" s="1852" t="s">
        <v>2576</v>
      </c>
      <c r="H88" s="1852" t="s">
        <v>22</v>
      </c>
      <c r="I88" s="1852" t="s">
        <v>808</v>
      </c>
    </row>
    <row r="89" ht="11.25" customHeight="1">
      <c r="A89" s="1852" t="s">
        <v>2247</v>
      </c>
      <c r="B89" s="1852" t="s">
        <v>16</v>
      </c>
      <c r="C89" s="1852" t="s">
        <v>2577</v>
      </c>
      <c r="D89" s="1852" t="s">
        <v>2578</v>
      </c>
      <c r="E89" s="1852" t="s">
        <v>2424</v>
      </c>
      <c r="F89" s="1852" t="s">
        <v>2579</v>
      </c>
      <c r="G89" s="1852" t="s">
        <v>22</v>
      </c>
      <c r="H89" s="1852" t="s">
        <v>22</v>
      </c>
      <c r="I89" s="1852" t="s">
        <v>808</v>
      </c>
    </row>
    <row r="90" ht="11.25" customHeight="1">
      <c r="A90" s="1852" t="s">
        <v>2247</v>
      </c>
      <c r="B90" s="1852" t="s">
        <v>16</v>
      </c>
      <c r="C90" s="1852" t="s">
        <v>2580</v>
      </c>
      <c r="D90" s="1852" t="s">
        <v>2581</v>
      </c>
      <c r="E90" s="1852" t="s">
        <v>2582</v>
      </c>
      <c r="F90" s="1852" t="s">
        <v>2251</v>
      </c>
      <c r="G90" s="1852" t="s">
        <v>22</v>
      </c>
      <c r="H90" s="1852" t="s">
        <v>22</v>
      </c>
      <c r="I90" s="1852" t="s">
        <v>808</v>
      </c>
    </row>
    <row r="91" ht="11.25" customHeight="1">
      <c r="A91" s="1852" t="s">
        <v>2247</v>
      </c>
      <c r="B91" s="1852" t="s">
        <v>16</v>
      </c>
      <c r="C91" s="1852" t="s">
        <v>2583</v>
      </c>
      <c r="D91" s="1852" t="s">
        <v>2584</v>
      </c>
      <c r="E91" s="1852" t="s">
        <v>2585</v>
      </c>
      <c r="F91" s="1852" t="s">
        <v>2586</v>
      </c>
      <c r="G91" s="1852" t="s">
        <v>22</v>
      </c>
      <c r="H91" s="1852" t="s">
        <v>22</v>
      </c>
      <c r="I91" s="1852" t="s">
        <v>808</v>
      </c>
    </row>
    <row r="92" ht="11.25" customHeight="1">
      <c r="A92" s="1852" t="s">
        <v>2247</v>
      </c>
      <c r="B92" s="1852" t="s">
        <v>16</v>
      </c>
      <c r="C92" s="1852" t="s">
        <v>2587</v>
      </c>
      <c r="D92" s="1852" t="s">
        <v>2588</v>
      </c>
      <c r="E92" s="1852" t="s">
        <v>2589</v>
      </c>
      <c r="F92" s="1852" t="s">
        <v>2334</v>
      </c>
      <c r="G92" s="1852" t="s">
        <v>22</v>
      </c>
      <c r="H92" s="1852" t="s">
        <v>22</v>
      </c>
      <c r="I92" s="1852" t="s">
        <v>808</v>
      </c>
    </row>
    <row r="93" ht="11.25" customHeight="1">
      <c r="A93" s="1852" t="s">
        <v>2247</v>
      </c>
      <c r="B93" s="1852" t="s">
        <v>16</v>
      </c>
      <c r="C93" s="1852" t="s">
        <v>2590</v>
      </c>
      <c r="D93" s="1852" t="s">
        <v>2591</v>
      </c>
      <c r="E93" s="1852" t="s">
        <v>2592</v>
      </c>
      <c r="F93" s="1852" t="s">
        <v>2358</v>
      </c>
      <c r="G93" s="1852" t="s">
        <v>22</v>
      </c>
      <c r="H93" s="1852" t="s">
        <v>22</v>
      </c>
      <c r="I93" s="1852" t="s">
        <v>808</v>
      </c>
    </row>
    <row r="94" ht="11.25" customHeight="1">
      <c r="A94" s="1852" t="s">
        <v>2247</v>
      </c>
      <c r="B94" s="1852" t="s">
        <v>16</v>
      </c>
      <c r="C94" s="1852" t="s">
        <v>2593</v>
      </c>
      <c r="D94" s="1852" t="s">
        <v>2594</v>
      </c>
      <c r="E94" s="1852" t="s">
        <v>2595</v>
      </c>
      <c r="F94" s="1852" t="s">
        <v>2251</v>
      </c>
      <c r="G94" s="1852" t="s">
        <v>22</v>
      </c>
      <c r="H94" s="1852" t="s">
        <v>22</v>
      </c>
      <c r="I94" s="1852" t="s">
        <v>808</v>
      </c>
    </row>
    <row r="95" ht="11.25" customHeight="1">
      <c r="A95" s="1852" t="s">
        <v>2247</v>
      </c>
      <c r="B95" s="1852" t="s">
        <v>16</v>
      </c>
      <c r="C95" s="1852" t="s">
        <v>2596</v>
      </c>
      <c r="D95" s="1852" t="s">
        <v>2597</v>
      </c>
      <c r="E95" s="1852" t="s">
        <v>2598</v>
      </c>
      <c r="F95" s="1852" t="s">
        <v>2599</v>
      </c>
      <c r="G95" s="1852" t="s">
        <v>2600</v>
      </c>
      <c r="H95" s="1852" t="s">
        <v>22</v>
      </c>
      <c r="I95" s="1852" t="s">
        <v>808</v>
      </c>
    </row>
    <row r="96" ht="11.25" customHeight="1">
      <c r="A96" s="1852" t="s">
        <v>2247</v>
      </c>
      <c r="B96" s="1852" t="s">
        <v>16</v>
      </c>
      <c r="C96" s="1852" t="s">
        <v>2601</v>
      </c>
      <c r="D96" s="1852" t="s">
        <v>2602</v>
      </c>
      <c r="E96" s="1852" t="s">
        <v>2603</v>
      </c>
      <c r="F96" s="1852" t="s">
        <v>2604</v>
      </c>
      <c r="G96" s="1852" t="s">
        <v>2605</v>
      </c>
      <c r="H96" s="1852" t="s">
        <v>22</v>
      </c>
      <c r="I96" s="1852" t="s">
        <v>808</v>
      </c>
    </row>
    <row r="97" ht="11.25" customHeight="1">
      <c r="A97" s="1852" t="s">
        <v>2247</v>
      </c>
      <c r="B97" s="1852" t="s">
        <v>16</v>
      </c>
      <c r="C97" s="1852" t="s">
        <v>2606</v>
      </c>
      <c r="D97" s="1852" t="s">
        <v>2607</v>
      </c>
      <c r="E97" s="1852" t="s">
        <v>2603</v>
      </c>
      <c r="F97" s="1852" t="s">
        <v>2608</v>
      </c>
      <c r="G97" s="1852" t="s">
        <v>2605</v>
      </c>
      <c r="H97" s="1852" t="s">
        <v>22</v>
      </c>
      <c r="I97" s="1852" t="s">
        <v>808</v>
      </c>
    </row>
    <row r="98" ht="11.25" customHeight="1">
      <c r="A98" s="1852" t="s">
        <v>2247</v>
      </c>
      <c r="B98" s="1852" t="s">
        <v>16</v>
      </c>
      <c r="C98" s="1852" t="s">
        <v>2609</v>
      </c>
      <c r="D98" s="1852" t="s">
        <v>2610</v>
      </c>
      <c r="E98" s="1852" t="s">
        <v>2585</v>
      </c>
      <c r="F98" s="1852" t="s">
        <v>2611</v>
      </c>
      <c r="G98" s="1852" t="s">
        <v>22</v>
      </c>
      <c r="H98" s="1852" t="s">
        <v>22</v>
      </c>
      <c r="I98" s="1852" t="s">
        <v>808</v>
      </c>
    </row>
    <row r="99" ht="11.25" customHeight="1">
      <c r="A99" s="1852" t="s">
        <v>2247</v>
      </c>
      <c r="B99" s="1852" t="s">
        <v>16</v>
      </c>
      <c r="C99" s="1852" t="s">
        <v>2612</v>
      </c>
      <c r="D99" s="1852" t="s">
        <v>2613</v>
      </c>
      <c r="E99" s="1852" t="s">
        <v>2614</v>
      </c>
      <c r="F99" s="1852" t="s">
        <v>2615</v>
      </c>
      <c r="G99" s="1852" t="s">
        <v>2616</v>
      </c>
      <c r="H99" s="1852" t="s">
        <v>22</v>
      </c>
      <c r="I99" s="1852" t="s">
        <v>808</v>
      </c>
    </row>
    <row r="100" ht="11.25" customHeight="1">
      <c r="A100" s="1852" t="s">
        <v>2247</v>
      </c>
      <c r="B100" s="1852" t="s">
        <v>16</v>
      </c>
      <c r="C100" s="1852" t="s">
        <v>2617</v>
      </c>
      <c r="D100" s="1852" t="s">
        <v>2618</v>
      </c>
      <c r="E100" s="1852" t="s">
        <v>2619</v>
      </c>
      <c r="F100" s="1852" t="s">
        <v>2311</v>
      </c>
      <c r="G100" s="1852" t="s">
        <v>2620</v>
      </c>
      <c r="H100" s="1852" t="s">
        <v>22</v>
      </c>
      <c r="I100" s="1852" t="s">
        <v>808</v>
      </c>
    </row>
    <row r="101" ht="11.25" customHeight="1">
      <c r="A101" s="1852" t="s">
        <v>2247</v>
      </c>
      <c r="B101" s="1852" t="s">
        <v>16</v>
      </c>
      <c r="C101" s="1852" t="s">
        <v>2621</v>
      </c>
      <c r="D101" s="1852" t="s">
        <v>2622</v>
      </c>
      <c r="E101" s="1852" t="s">
        <v>2623</v>
      </c>
      <c r="F101" s="1852" t="s">
        <v>2624</v>
      </c>
      <c r="G101" s="1852" t="s">
        <v>22</v>
      </c>
      <c r="H101" s="1852" t="s">
        <v>22</v>
      </c>
      <c r="I101" s="1852" t="s">
        <v>808</v>
      </c>
    </row>
    <row r="102" ht="11.25" customHeight="1">
      <c r="A102" s="1852" t="s">
        <v>2247</v>
      </c>
      <c r="B102" s="1852" t="s">
        <v>16</v>
      </c>
      <c r="C102" s="1852" t="s">
        <v>13</v>
      </c>
      <c r="D102" s="1852" t="s">
        <v>46</v>
      </c>
      <c r="E102" s="1852" t="s">
        <v>49</v>
      </c>
      <c r="F102" s="1852" t="s">
        <v>51</v>
      </c>
      <c r="G102" s="1852" t="s">
        <v>2625</v>
      </c>
      <c r="H102" s="1852" t="s">
        <v>22</v>
      </c>
      <c r="I102" s="1852" t="s">
        <v>808</v>
      </c>
    </row>
    <row r="103" ht="11.25" customHeight="1">
      <c r="A103" s="1852" t="s">
        <v>2247</v>
      </c>
      <c r="B103" s="1852" t="s">
        <v>16</v>
      </c>
      <c r="C103" s="1852" t="s">
        <v>2626</v>
      </c>
      <c r="D103" s="1852" t="s">
        <v>2627</v>
      </c>
      <c r="E103" s="1852" t="s">
        <v>2628</v>
      </c>
      <c r="F103" s="1852" t="s">
        <v>2629</v>
      </c>
      <c r="G103" s="1852" t="s">
        <v>22</v>
      </c>
      <c r="H103" s="1852" t="s">
        <v>22</v>
      </c>
      <c r="I103" s="1852" t="s">
        <v>808</v>
      </c>
    </row>
    <row r="104" ht="11.25" customHeight="1">
      <c r="A104" s="1852" t="s">
        <v>2247</v>
      </c>
      <c r="B104" s="1852" t="s">
        <v>16</v>
      </c>
      <c r="C104" s="1852" t="s">
        <v>2256</v>
      </c>
      <c r="D104" s="1852" t="s">
        <v>2257</v>
      </c>
      <c r="E104" s="1852" t="s">
        <v>2258</v>
      </c>
      <c r="F104" s="1852" t="s">
        <v>2259</v>
      </c>
      <c r="G104" s="1852" t="s">
        <v>22</v>
      </c>
      <c r="H104" s="1852" t="s">
        <v>22</v>
      </c>
      <c r="I104" s="1852" t="s">
        <v>894</v>
      </c>
    </row>
    <row r="105" ht="11.25" customHeight="1">
      <c r="A105" s="1852" t="s">
        <v>2247</v>
      </c>
      <c r="B105" s="1852" t="s">
        <v>16</v>
      </c>
      <c r="C105" s="1852" t="s">
        <v>2272</v>
      </c>
      <c r="D105" s="1852" t="s">
        <v>2273</v>
      </c>
      <c r="E105" s="1852" t="s">
        <v>2274</v>
      </c>
      <c r="F105" s="1852" t="s">
        <v>2275</v>
      </c>
      <c r="G105" s="1852" t="s">
        <v>22</v>
      </c>
      <c r="H105" s="1852" t="s">
        <v>22</v>
      </c>
      <c r="I105" s="1852" t="s">
        <v>894</v>
      </c>
    </row>
    <row r="106" ht="11.25" customHeight="1">
      <c r="A106" s="1852" t="s">
        <v>2247</v>
      </c>
      <c r="B106" s="1852" t="s">
        <v>16</v>
      </c>
      <c r="C106" s="1852" t="s">
        <v>2285</v>
      </c>
      <c r="D106" s="1852" t="s">
        <v>2286</v>
      </c>
      <c r="E106" s="1852" t="s">
        <v>2287</v>
      </c>
      <c r="F106" s="1852" t="s">
        <v>2288</v>
      </c>
      <c r="G106" s="1852" t="s">
        <v>22</v>
      </c>
      <c r="H106" s="1852" t="s">
        <v>22</v>
      </c>
      <c r="I106" s="1852" t="s">
        <v>894</v>
      </c>
    </row>
    <row r="107" ht="11.25" customHeight="1">
      <c r="A107" s="1852" t="s">
        <v>2247</v>
      </c>
      <c r="B107" s="1852" t="s">
        <v>16</v>
      </c>
      <c r="C107" s="1852" t="s">
        <v>2289</v>
      </c>
      <c r="D107" s="1852" t="s">
        <v>2290</v>
      </c>
      <c r="E107" s="1852" t="s">
        <v>2291</v>
      </c>
      <c r="F107" s="1852" t="s">
        <v>2292</v>
      </c>
      <c r="G107" s="1852" t="s">
        <v>22</v>
      </c>
      <c r="H107" s="1852" t="s">
        <v>22</v>
      </c>
      <c r="I107" s="1852" t="s">
        <v>894</v>
      </c>
    </row>
    <row r="108" ht="11.25" customHeight="1">
      <c r="A108" s="1852" t="s">
        <v>2247</v>
      </c>
      <c r="B108" s="1852" t="s">
        <v>16</v>
      </c>
      <c r="C108" s="1852" t="s">
        <v>2293</v>
      </c>
      <c r="D108" s="1852" t="s">
        <v>2294</v>
      </c>
      <c r="E108" s="1852" t="s">
        <v>2295</v>
      </c>
      <c r="F108" s="1852" t="s">
        <v>2292</v>
      </c>
      <c r="G108" s="1852" t="s">
        <v>22</v>
      </c>
      <c r="H108" s="1852" t="s">
        <v>22</v>
      </c>
      <c r="I108" s="1852" t="s">
        <v>894</v>
      </c>
    </row>
    <row r="109" ht="11.25" customHeight="1">
      <c r="A109" s="1852" t="s">
        <v>2247</v>
      </c>
      <c r="B109" s="1852" t="s">
        <v>16</v>
      </c>
      <c r="C109" s="1852" t="s">
        <v>22</v>
      </c>
      <c r="D109" s="1852" t="s">
        <v>2296</v>
      </c>
      <c r="E109" s="1852" t="s">
        <v>2297</v>
      </c>
      <c r="F109" s="1852" t="s">
        <v>2263</v>
      </c>
      <c r="G109" s="1852" t="s">
        <v>22</v>
      </c>
      <c r="H109" s="1852" t="s">
        <v>22</v>
      </c>
      <c r="I109" s="1852" t="s">
        <v>894</v>
      </c>
    </row>
    <row r="110" ht="11.25" customHeight="1">
      <c r="A110" s="1852" t="s">
        <v>2247</v>
      </c>
      <c r="B110" s="1852" t="s">
        <v>16</v>
      </c>
      <c r="C110" s="1852" t="s">
        <v>2308</v>
      </c>
      <c r="D110" s="1852" t="s">
        <v>2309</v>
      </c>
      <c r="E110" s="1852" t="s">
        <v>2310</v>
      </c>
      <c r="F110" s="1852" t="s">
        <v>2311</v>
      </c>
      <c r="G110" s="1852" t="s">
        <v>22</v>
      </c>
      <c r="H110" s="1852" t="s">
        <v>22</v>
      </c>
      <c r="I110" s="1852" t="s">
        <v>894</v>
      </c>
    </row>
    <row r="111" ht="11.25" customHeight="1">
      <c r="A111" s="1852" t="s">
        <v>2247</v>
      </c>
      <c r="B111" s="1852" t="s">
        <v>16</v>
      </c>
      <c r="C111" s="1852" t="s">
        <v>2317</v>
      </c>
      <c r="D111" s="1852" t="s">
        <v>2318</v>
      </c>
      <c r="E111" s="1852" t="s">
        <v>2319</v>
      </c>
      <c r="F111" s="1852" t="s">
        <v>2320</v>
      </c>
      <c r="G111" s="1852" t="s">
        <v>2321</v>
      </c>
      <c r="H111" s="1852" t="s">
        <v>22</v>
      </c>
      <c r="I111" s="1852" t="s">
        <v>894</v>
      </c>
    </row>
    <row r="112" ht="11.25" customHeight="1">
      <c r="A112" s="1852" t="s">
        <v>2247</v>
      </c>
      <c r="B112" s="1852" t="s">
        <v>16</v>
      </c>
      <c r="C112" s="1852" t="s">
        <v>2322</v>
      </c>
      <c r="D112" s="1852" t="s">
        <v>2323</v>
      </c>
      <c r="E112" s="1852" t="s">
        <v>2324</v>
      </c>
      <c r="F112" s="1852" t="s">
        <v>2288</v>
      </c>
      <c r="G112" s="1852" t="s">
        <v>2325</v>
      </c>
      <c r="H112" s="1852" t="s">
        <v>22</v>
      </c>
      <c r="I112" s="1852" t="s">
        <v>894</v>
      </c>
    </row>
    <row r="113" ht="11.25" customHeight="1">
      <c r="A113" s="1852" t="s">
        <v>2247</v>
      </c>
      <c r="B113" s="1852" t="s">
        <v>16</v>
      </c>
      <c r="C113" s="1852" t="s">
        <v>2331</v>
      </c>
      <c r="D113" s="1852" t="s">
        <v>2332</v>
      </c>
      <c r="E113" s="1852" t="s">
        <v>2333</v>
      </c>
      <c r="F113" s="1852" t="s">
        <v>2334</v>
      </c>
      <c r="G113" s="1852" t="s">
        <v>2335</v>
      </c>
      <c r="H113" s="1852" t="s">
        <v>22</v>
      </c>
      <c r="I113" s="1852" t="s">
        <v>894</v>
      </c>
    </row>
    <row r="114" ht="11.25" customHeight="1">
      <c r="A114" s="1852" t="s">
        <v>2247</v>
      </c>
      <c r="B114" s="1852" t="s">
        <v>16</v>
      </c>
      <c r="C114" s="1852" t="s">
        <v>2336</v>
      </c>
      <c r="D114" s="1852" t="s">
        <v>2337</v>
      </c>
      <c r="E114" s="1852" t="s">
        <v>2338</v>
      </c>
      <c r="F114" s="1852" t="s">
        <v>2339</v>
      </c>
      <c r="G114" s="1852" t="s">
        <v>2340</v>
      </c>
      <c r="H114" s="1852" t="s">
        <v>22</v>
      </c>
      <c r="I114" s="1852" t="s">
        <v>894</v>
      </c>
    </row>
    <row r="115" ht="11.25" customHeight="1">
      <c r="A115" s="1852" t="s">
        <v>2247</v>
      </c>
      <c r="B115" s="1852" t="s">
        <v>16</v>
      </c>
      <c r="C115" s="1852" t="s">
        <v>2341</v>
      </c>
      <c r="D115" s="1852" t="s">
        <v>2342</v>
      </c>
      <c r="E115" s="1852" t="s">
        <v>2343</v>
      </c>
      <c r="F115" s="1852" t="s">
        <v>2267</v>
      </c>
      <c r="G115" s="1852" t="s">
        <v>2344</v>
      </c>
      <c r="H115" s="1852" t="s">
        <v>22</v>
      </c>
      <c r="I115" s="1852" t="s">
        <v>894</v>
      </c>
    </row>
    <row r="116" ht="11.25" customHeight="1">
      <c r="A116" s="1852" t="s">
        <v>2247</v>
      </c>
      <c r="B116" s="1852" t="s">
        <v>16</v>
      </c>
      <c r="C116" s="1852" t="s">
        <v>2345</v>
      </c>
      <c r="D116" s="1852" t="s">
        <v>2346</v>
      </c>
      <c r="E116" s="1852" t="s">
        <v>2347</v>
      </c>
      <c r="F116" s="1852" t="s">
        <v>2348</v>
      </c>
      <c r="G116" s="1852" t="s">
        <v>2349</v>
      </c>
      <c r="H116" s="1852" t="s">
        <v>22</v>
      </c>
      <c r="I116" s="1852" t="s">
        <v>894</v>
      </c>
    </row>
    <row r="117" ht="11.25" customHeight="1">
      <c r="A117" s="1852" t="s">
        <v>2247</v>
      </c>
      <c r="B117" s="1852" t="s">
        <v>16</v>
      </c>
      <c r="C117" s="1852" t="s">
        <v>2350</v>
      </c>
      <c r="D117" s="1852" t="s">
        <v>2351</v>
      </c>
      <c r="E117" s="1852" t="s">
        <v>2352</v>
      </c>
      <c r="F117" s="1852" t="s">
        <v>2353</v>
      </c>
      <c r="G117" s="1852" t="s">
        <v>2354</v>
      </c>
      <c r="H117" s="1852" t="s">
        <v>22</v>
      </c>
      <c r="I117" s="1852" t="s">
        <v>894</v>
      </c>
    </row>
    <row r="118" ht="11.25" customHeight="1">
      <c r="A118" s="1852" t="s">
        <v>2247</v>
      </c>
      <c r="B118" s="1852" t="s">
        <v>16</v>
      </c>
      <c r="C118" s="1852" t="s">
        <v>2364</v>
      </c>
      <c r="D118" s="1852" t="s">
        <v>2365</v>
      </c>
      <c r="E118" s="1852" t="s">
        <v>2366</v>
      </c>
      <c r="F118" s="1852" t="s">
        <v>2367</v>
      </c>
      <c r="G118" s="1852" t="s">
        <v>2368</v>
      </c>
      <c r="H118" s="1852" t="s">
        <v>22</v>
      </c>
      <c r="I118" s="1852" t="s">
        <v>894</v>
      </c>
    </row>
    <row r="119" ht="11.25" customHeight="1">
      <c r="A119" s="1852" t="s">
        <v>2247</v>
      </c>
      <c r="B119" s="1852" t="s">
        <v>16</v>
      </c>
      <c r="C119" s="1852" t="s">
        <v>2369</v>
      </c>
      <c r="D119" s="1852" t="s">
        <v>2370</v>
      </c>
      <c r="E119" s="1852" t="s">
        <v>2371</v>
      </c>
      <c r="F119" s="1852" t="s">
        <v>2372</v>
      </c>
      <c r="G119" s="1852" t="s">
        <v>2373</v>
      </c>
      <c r="H119" s="1852" t="s">
        <v>22</v>
      </c>
      <c r="I119" s="1852" t="s">
        <v>894</v>
      </c>
    </row>
    <row r="120" ht="11.25" customHeight="1">
      <c r="A120" s="1852" t="s">
        <v>2247</v>
      </c>
      <c r="B120" s="1852" t="s">
        <v>16</v>
      </c>
      <c r="C120" s="1852" t="s">
        <v>2374</v>
      </c>
      <c r="D120" s="1852" t="s">
        <v>2375</v>
      </c>
      <c r="E120" s="1852" t="s">
        <v>2376</v>
      </c>
      <c r="F120" s="1852" t="s">
        <v>2377</v>
      </c>
      <c r="G120" s="1852" t="s">
        <v>2378</v>
      </c>
      <c r="H120" s="1852" t="s">
        <v>22</v>
      </c>
      <c r="I120" s="1852" t="s">
        <v>894</v>
      </c>
    </row>
    <row r="121" ht="11.25" customHeight="1">
      <c r="A121" s="1852" t="s">
        <v>2247</v>
      </c>
      <c r="B121" s="1852" t="s">
        <v>16</v>
      </c>
      <c r="C121" s="1852" t="s">
        <v>2379</v>
      </c>
      <c r="D121" s="1852" t="s">
        <v>2380</v>
      </c>
      <c r="E121" s="1852" t="s">
        <v>2381</v>
      </c>
      <c r="F121" s="1852" t="s">
        <v>2382</v>
      </c>
      <c r="G121" s="1852" t="s">
        <v>2383</v>
      </c>
      <c r="H121" s="1852" t="s">
        <v>22</v>
      </c>
      <c r="I121" s="1852" t="s">
        <v>894</v>
      </c>
    </row>
    <row r="122" ht="11.25" customHeight="1">
      <c r="A122" s="1852" t="s">
        <v>2247</v>
      </c>
      <c r="B122" s="1852" t="s">
        <v>16</v>
      </c>
      <c r="C122" s="1852" t="s">
        <v>2384</v>
      </c>
      <c r="D122" s="1852" t="s">
        <v>2385</v>
      </c>
      <c r="E122" s="1852" t="s">
        <v>2386</v>
      </c>
      <c r="F122" s="1852" t="s">
        <v>2387</v>
      </c>
      <c r="G122" s="1852" t="s">
        <v>2388</v>
      </c>
      <c r="H122" s="1852" t="s">
        <v>22</v>
      </c>
      <c r="I122" s="1852" t="s">
        <v>894</v>
      </c>
    </row>
    <row r="123" ht="11.25" customHeight="1">
      <c r="A123" s="1852" t="s">
        <v>2247</v>
      </c>
      <c r="B123" s="1852" t="s">
        <v>16</v>
      </c>
      <c r="C123" s="1852" t="s">
        <v>2389</v>
      </c>
      <c r="D123" s="1852" t="s">
        <v>2390</v>
      </c>
      <c r="E123" s="1852" t="s">
        <v>2391</v>
      </c>
      <c r="F123" s="1852" t="s">
        <v>2392</v>
      </c>
      <c r="G123" s="1852" t="s">
        <v>22</v>
      </c>
      <c r="H123" s="1852" t="s">
        <v>22</v>
      </c>
      <c r="I123" s="1852" t="s">
        <v>894</v>
      </c>
    </row>
    <row r="124" ht="11.25" customHeight="1">
      <c r="A124" s="1852" t="s">
        <v>2247</v>
      </c>
      <c r="B124" s="1852" t="s">
        <v>16</v>
      </c>
      <c r="C124" s="1852" t="s">
        <v>2397</v>
      </c>
      <c r="D124" s="1852" t="s">
        <v>2398</v>
      </c>
      <c r="E124" s="1852" t="s">
        <v>2399</v>
      </c>
      <c r="F124" s="1852" t="s">
        <v>2358</v>
      </c>
      <c r="G124" s="1852" t="s">
        <v>22</v>
      </c>
      <c r="H124" s="1852" t="s">
        <v>22</v>
      </c>
      <c r="I124" s="1852" t="s">
        <v>894</v>
      </c>
    </row>
    <row r="125" ht="11.25" customHeight="1">
      <c r="A125" s="1852" t="s">
        <v>2247</v>
      </c>
      <c r="B125" s="1852" t="s">
        <v>16</v>
      </c>
      <c r="C125" s="1852" t="s">
        <v>2400</v>
      </c>
      <c r="D125" s="1852" t="s">
        <v>2401</v>
      </c>
      <c r="E125" s="1852" t="s">
        <v>2402</v>
      </c>
      <c r="F125" s="1852" t="s">
        <v>2403</v>
      </c>
      <c r="G125" s="1852" t="s">
        <v>2330</v>
      </c>
      <c r="H125" s="1852" t="s">
        <v>22</v>
      </c>
      <c r="I125" s="1852" t="s">
        <v>894</v>
      </c>
    </row>
    <row r="126" ht="11.25" customHeight="1">
      <c r="A126" s="1852" t="s">
        <v>2247</v>
      </c>
      <c r="B126" s="1852" t="s">
        <v>16</v>
      </c>
      <c r="C126" s="1852" t="s">
        <v>2409</v>
      </c>
      <c r="D126" s="1852" t="s">
        <v>2410</v>
      </c>
      <c r="E126" s="1852" t="s">
        <v>2411</v>
      </c>
      <c r="F126" s="1852" t="s">
        <v>2412</v>
      </c>
      <c r="G126" s="1852" t="s">
        <v>22</v>
      </c>
      <c r="H126" s="1852" t="s">
        <v>22</v>
      </c>
      <c r="I126" s="1852" t="s">
        <v>894</v>
      </c>
    </row>
    <row r="127" ht="11.25" customHeight="1">
      <c r="A127" s="1852" t="s">
        <v>2247</v>
      </c>
      <c r="B127" s="1852" t="s">
        <v>16</v>
      </c>
      <c r="C127" s="1852" t="s">
        <v>2413</v>
      </c>
      <c r="D127" s="1852" t="s">
        <v>2414</v>
      </c>
      <c r="E127" s="1852" t="s">
        <v>2415</v>
      </c>
      <c r="F127" s="1852" t="s">
        <v>2382</v>
      </c>
      <c r="G127" s="1852" t="s">
        <v>22</v>
      </c>
      <c r="H127" s="1852" t="s">
        <v>22</v>
      </c>
      <c r="I127" s="1852" t="s">
        <v>894</v>
      </c>
    </row>
    <row r="128" ht="11.25" customHeight="1">
      <c r="A128" s="1852" t="s">
        <v>2247</v>
      </c>
      <c r="B128" s="1852" t="s">
        <v>16</v>
      </c>
      <c r="C128" s="1852" t="s">
        <v>2416</v>
      </c>
      <c r="D128" s="1852" t="s">
        <v>2417</v>
      </c>
      <c r="E128" s="1852" t="s">
        <v>2418</v>
      </c>
      <c r="F128" s="1852" t="s">
        <v>2251</v>
      </c>
      <c r="G128" s="1852" t="s">
        <v>22</v>
      </c>
      <c r="H128" s="1852" t="s">
        <v>22</v>
      </c>
      <c r="I128" s="1852" t="s">
        <v>894</v>
      </c>
    </row>
    <row r="129" ht="11.25" customHeight="1">
      <c r="A129" s="1852" t="s">
        <v>2247</v>
      </c>
      <c r="B129" s="1852" t="s">
        <v>16</v>
      </c>
      <c r="C129" s="1852" t="s">
        <v>2419</v>
      </c>
      <c r="D129" s="1852" t="s">
        <v>2420</v>
      </c>
      <c r="E129" s="1852" t="s">
        <v>2421</v>
      </c>
      <c r="F129" s="1852" t="s">
        <v>2288</v>
      </c>
      <c r="G129" s="1852" t="s">
        <v>22</v>
      </c>
      <c r="H129" s="1852" t="s">
        <v>22</v>
      </c>
      <c r="I129" s="1852" t="s">
        <v>894</v>
      </c>
    </row>
    <row r="130" ht="11.25" customHeight="1">
      <c r="A130" s="1852" t="s">
        <v>2247</v>
      </c>
      <c r="B130" s="1852" t="s">
        <v>16</v>
      </c>
      <c r="C130" s="1852" t="s">
        <v>2422</v>
      </c>
      <c r="D130" s="1852" t="s">
        <v>2423</v>
      </c>
      <c r="E130" s="1852" t="s">
        <v>2424</v>
      </c>
      <c r="F130" s="1852" t="s">
        <v>2425</v>
      </c>
      <c r="G130" s="1852" t="s">
        <v>22</v>
      </c>
      <c r="H130" s="1852" t="s">
        <v>22</v>
      </c>
      <c r="I130" s="1852" t="s">
        <v>894</v>
      </c>
    </row>
    <row r="131" ht="11.25" customHeight="1">
      <c r="A131" s="1852" t="s">
        <v>2247</v>
      </c>
      <c r="B131" s="1852" t="s">
        <v>16</v>
      </c>
      <c r="C131" s="1852" t="s">
        <v>2432</v>
      </c>
      <c r="D131" s="1852" t="s">
        <v>2433</v>
      </c>
      <c r="E131" s="1852" t="s">
        <v>2434</v>
      </c>
      <c r="F131" s="1852" t="s">
        <v>2358</v>
      </c>
      <c r="G131" s="1852" t="s">
        <v>22</v>
      </c>
      <c r="H131" s="1852" t="s">
        <v>22</v>
      </c>
      <c r="I131" s="1852" t="s">
        <v>894</v>
      </c>
    </row>
    <row r="132" ht="11.25" customHeight="1">
      <c r="A132" s="1852" t="s">
        <v>2247</v>
      </c>
      <c r="B132" s="1852" t="s">
        <v>16</v>
      </c>
      <c r="C132" s="1852" t="s">
        <v>2453</v>
      </c>
      <c r="D132" s="1852" t="s">
        <v>2454</v>
      </c>
      <c r="E132" s="1852" t="s">
        <v>2455</v>
      </c>
      <c r="F132" s="1852" t="s">
        <v>2311</v>
      </c>
      <c r="G132" s="1852" t="s">
        <v>22</v>
      </c>
      <c r="H132" s="1852" t="s">
        <v>22</v>
      </c>
      <c r="I132" s="1852" t="s">
        <v>894</v>
      </c>
    </row>
    <row r="133" ht="11.25" customHeight="1">
      <c r="A133" s="1852" t="s">
        <v>2247</v>
      </c>
      <c r="B133" s="1852" t="s">
        <v>16</v>
      </c>
      <c r="C133" s="1852" t="s">
        <v>2456</v>
      </c>
      <c r="D133" s="1852" t="s">
        <v>2457</v>
      </c>
      <c r="E133" s="1852" t="s">
        <v>2458</v>
      </c>
      <c r="F133" s="1852" t="s">
        <v>2372</v>
      </c>
      <c r="G133" s="1852" t="s">
        <v>22</v>
      </c>
      <c r="H133" s="1852" t="s">
        <v>22</v>
      </c>
      <c r="I133" s="1852" t="s">
        <v>894</v>
      </c>
    </row>
    <row r="134" ht="11.25" customHeight="1">
      <c r="A134" s="1852" t="s">
        <v>2247</v>
      </c>
      <c r="B134" s="1852" t="s">
        <v>16</v>
      </c>
      <c r="C134" s="1852" t="s">
        <v>2462</v>
      </c>
      <c r="D134" s="1852" t="s">
        <v>2463</v>
      </c>
      <c r="E134" s="1852" t="s">
        <v>2464</v>
      </c>
      <c r="F134" s="1852" t="s">
        <v>2288</v>
      </c>
      <c r="G134" s="1852" t="s">
        <v>22</v>
      </c>
      <c r="H134" s="1852" t="s">
        <v>22</v>
      </c>
      <c r="I134" s="1852" t="s">
        <v>894</v>
      </c>
    </row>
    <row r="135" ht="11.25" customHeight="1">
      <c r="A135" s="1852" t="s">
        <v>2247</v>
      </c>
      <c r="B135" s="1852" t="s">
        <v>16</v>
      </c>
      <c r="C135" s="1852" t="s">
        <v>2468</v>
      </c>
      <c r="D135" s="1852" t="s">
        <v>2469</v>
      </c>
      <c r="E135" s="1852" t="s">
        <v>2470</v>
      </c>
      <c r="F135" s="1852" t="s">
        <v>2320</v>
      </c>
      <c r="G135" s="1852" t="s">
        <v>2471</v>
      </c>
      <c r="H135" s="1852" t="s">
        <v>22</v>
      </c>
      <c r="I135" s="1852" t="s">
        <v>894</v>
      </c>
    </row>
    <row r="136" ht="11.25" customHeight="1">
      <c r="A136" s="1852" t="s">
        <v>2247</v>
      </c>
      <c r="B136" s="1852" t="s">
        <v>16</v>
      </c>
      <c r="C136" s="1852" t="s">
        <v>2472</v>
      </c>
      <c r="D136" s="1852" t="s">
        <v>2473</v>
      </c>
      <c r="E136" s="1852" t="s">
        <v>2474</v>
      </c>
      <c r="F136" s="1852" t="s">
        <v>2372</v>
      </c>
      <c r="G136" s="1852" t="s">
        <v>2475</v>
      </c>
      <c r="H136" s="1852" t="s">
        <v>22</v>
      </c>
      <c r="I136" s="1852" t="s">
        <v>894</v>
      </c>
    </row>
    <row r="137" ht="11.25" customHeight="1">
      <c r="A137" s="1852" t="s">
        <v>2247</v>
      </c>
      <c r="B137" s="1852" t="s">
        <v>16</v>
      </c>
      <c r="C137" s="1852" t="s">
        <v>2476</v>
      </c>
      <c r="D137" s="1852" t="s">
        <v>2477</v>
      </c>
      <c r="E137" s="1852" t="s">
        <v>2478</v>
      </c>
      <c r="F137" s="1852" t="s">
        <v>2479</v>
      </c>
      <c r="G137" s="1852" t="s">
        <v>2480</v>
      </c>
      <c r="H137" s="1852" t="s">
        <v>22</v>
      </c>
      <c r="I137" s="1852" t="s">
        <v>894</v>
      </c>
    </row>
    <row r="138" ht="11.25" customHeight="1">
      <c r="A138" s="1852" t="s">
        <v>2247</v>
      </c>
      <c r="B138" s="1852" t="s">
        <v>16</v>
      </c>
      <c r="C138" s="1852" t="s">
        <v>2489</v>
      </c>
      <c r="D138" s="1852" t="s">
        <v>2490</v>
      </c>
      <c r="E138" s="1852" t="s">
        <v>2491</v>
      </c>
      <c r="F138" s="1852" t="s">
        <v>2267</v>
      </c>
      <c r="G138" s="1852" t="s">
        <v>22</v>
      </c>
      <c r="H138" s="1852" t="s">
        <v>22</v>
      </c>
      <c r="I138" s="1852" t="s">
        <v>894</v>
      </c>
    </row>
    <row r="139" ht="11.25" customHeight="1">
      <c r="A139" s="1852" t="s">
        <v>2247</v>
      </c>
      <c r="B139" s="1852" t="s">
        <v>16</v>
      </c>
      <c r="C139" s="1852" t="s">
        <v>2502</v>
      </c>
      <c r="D139" s="1852" t="s">
        <v>2503</v>
      </c>
      <c r="E139" s="1852" t="s">
        <v>2504</v>
      </c>
      <c r="F139" s="1852" t="s">
        <v>2263</v>
      </c>
      <c r="G139" s="1852" t="s">
        <v>22</v>
      </c>
      <c r="H139" s="1852" t="s">
        <v>22</v>
      </c>
      <c r="I139" s="1852" t="s">
        <v>894</v>
      </c>
    </row>
    <row r="140" ht="11.25" customHeight="1">
      <c r="A140" s="1852" t="s">
        <v>2247</v>
      </c>
      <c r="B140" s="1852" t="s">
        <v>16</v>
      </c>
      <c r="C140" s="1852" t="s">
        <v>2508</v>
      </c>
      <c r="D140" s="1852" t="s">
        <v>2509</v>
      </c>
      <c r="E140" s="1852" t="s">
        <v>2510</v>
      </c>
      <c r="F140" s="1852" t="s">
        <v>2263</v>
      </c>
      <c r="G140" s="1852" t="s">
        <v>2511</v>
      </c>
      <c r="H140" s="1852" t="s">
        <v>22</v>
      </c>
      <c r="I140" s="1852" t="s">
        <v>894</v>
      </c>
    </row>
    <row r="141" ht="11.25" customHeight="1">
      <c r="A141" s="1852" t="s">
        <v>2247</v>
      </c>
      <c r="B141" s="1852" t="s">
        <v>16</v>
      </c>
      <c r="C141" s="1852" t="s">
        <v>2512</v>
      </c>
      <c r="D141" s="1852" t="s">
        <v>2513</v>
      </c>
      <c r="E141" s="1852" t="s">
        <v>2514</v>
      </c>
      <c r="F141" s="1852" t="s">
        <v>2372</v>
      </c>
      <c r="G141" s="1852" t="s">
        <v>22</v>
      </c>
      <c r="H141" s="1852" t="s">
        <v>22</v>
      </c>
      <c r="I141" s="1852" t="s">
        <v>894</v>
      </c>
    </row>
    <row r="142" ht="11.25" customHeight="1">
      <c r="A142" s="1852" t="s">
        <v>2247</v>
      </c>
      <c r="B142" s="1852" t="s">
        <v>16</v>
      </c>
      <c r="C142" s="1852" t="s">
        <v>2515</v>
      </c>
      <c r="D142" s="1852" t="s">
        <v>2516</v>
      </c>
      <c r="E142" s="1852" t="s">
        <v>2517</v>
      </c>
      <c r="F142" s="1852" t="s">
        <v>2392</v>
      </c>
      <c r="G142" s="1852" t="s">
        <v>22</v>
      </c>
      <c r="H142" s="1852" t="s">
        <v>22</v>
      </c>
      <c r="I142" s="1852" t="s">
        <v>894</v>
      </c>
    </row>
    <row r="143" ht="11.25" customHeight="1">
      <c r="A143" s="1852" t="s">
        <v>2247</v>
      </c>
      <c r="B143" s="1852" t="s">
        <v>16</v>
      </c>
      <c r="C143" s="1852" t="s">
        <v>2518</v>
      </c>
      <c r="D143" s="1852" t="s">
        <v>2519</v>
      </c>
      <c r="E143" s="1852" t="s">
        <v>2520</v>
      </c>
      <c r="F143" s="1852" t="s">
        <v>2288</v>
      </c>
      <c r="G143" s="1852" t="s">
        <v>2521</v>
      </c>
      <c r="H143" s="1852" t="s">
        <v>22</v>
      </c>
      <c r="I143" s="1852" t="s">
        <v>894</v>
      </c>
    </row>
    <row r="144" ht="11.25" customHeight="1">
      <c r="A144" s="1852" t="s">
        <v>2247</v>
      </c>
      <c r="B144" s="1852" t="s">
        <v>16</v>
      </c>
      <c r="C144" s="1852" t="s">
        <v>2522</v>
      </c>
      <c r="D144" s="1852" t="s">
        <v>2523</v>
      </c>
      <c r="E144" s="1852" t="s">
        <v>2524</v>
      </c>
      <c r="F144" s="1852" t="s">
        <v>2251</v>
      </c>
      <c r="G144" s="1852" t="s">
        <v>22</v>
      </c>
      <c r="H144" s="1852" t="s">
        <v>22</v>
      </c>
      <c r="I144" s="1852" t="s">
        <v>894</v>
      </c>
    </row>
    <row r="145" ht="11.25" customHeight="1">
      <c r="A145" s="1852" t="s">
        <v>2247</v>
      </c>
      <c r="B145" s="1852" t="s">
        <v>16</v>
      </c>
      <c r="C145" s="1852" t="s">
        <v>2525</v>
      </c>
      <c r="D145" s="1852" t="s">
        <v>2526</v>
      </c>
      <c r="E145" s="1852" t="s">
        <v>2527</v>
      </c>
      <c r="F145" s="1852" t="s">
        <v>2382</v>
      </c>
      <c r="G145" s="1852" t="s">
        <v>22</v>
      </c>
      <c r="H145" s="1852" t="s">
        <v>22</v>
      </c>
      <c r="I145" s="1852" t="s">
        <v>894</v>
      </c>
    </row>
    <row r="146" ht="11.25" customHeight="1">
      <c r="A146" s="1852" t="s">
        <v>2247</v>
      </c>
      <c r="B146" s="1852" t="s">
        <v>16</v>
      </c>
      <c r="C146" s="1852" t="s">
        <v>2528</v>
      </c>
      <c r="D146" s="1852" t="s">
        <v>2529</v>
      </c>
      <c r="E146" s="1852" t="s">
        <v>2530</v>
      </c>
      <c r="F146" s="1852" t="s">
        <v>2348</v>
      </c>
      <c r="G146" s="1852" t="s">
        <v>22</v>
      </c>
      <c r="H146" s="1852" t="s">
        <v>22</v>
      </c>
      <c r="I146" s="1852" t="s">
        <v>894</v>
      </c>
    </row>
    <row r="147" ht="11.25" customHeight="1">
      <c r="A147" s="1852" t="s">
        <v>2247</v>
      </c>
      <c r="B147" s="1852" t="s">
        <v>16</v>
      </c>
      <c r="C147" s="1852" t="s">
        <v>2531</v>
      </c>
      <c r="D147" s="1852" t="s">
        <v>2532</v>
      </c>
      <c r="E147" s="1852" t="s">
        <v>2533</v>
      </c>
      <c r="F147" s="1852" t="s">
        <v>2387</v>
      </c>
      <c r="G147" s="1852" t="s">
        <v>2534</v>
      </c>
      <c r="H147" s="1852" t="s">
        <v>22</v>
      </c>
      <c r="I147" s="1852" t="s">
        <v>894</v>
      </c>
    </row>
    <row r="148" ht="11.25" customHeight="1">
      <c r="A148" s="1852" t="s">
        <v>2247</v>
      </c>
      <c r="B148" s="1852" t="s">
        <v>16</v>
      </c>
      <c r="C148" s="1852" t="s">
        <v>2561</v>
      </c>
      <c r="D148" s="1852" t="s">
        <v>2562</v>
      </c>
      <c r="E148" s="1852" t="s">
        <v>2563</v>
      </c>
      <c r="F148" s="1852" t="s">
        <v>2263</v>
      </c>
      <c r="G148" s="1852" t="s">
        <v>22</v>
      </c>
      <c r="H148" s="1852" t="s">
        <v>22</v>
      </c>
      <c r="I148" s="1852" t="s">
        <v>894</v>
      </c>
    </row>
    <row r="149" ht="11.25" customHeight="1">
      <c r="A149" s="1852" t="s">
        <v>2247</v>
      </c>
      <c r="B149" s="1852" t="s">
        <v>16</v>
      </c>
      <c r="C149" s="1852" t="s">
        <v>2564</v>
      </c>
      <c r="D149" s="1852" t="s">
        <v>2565</v>
      </c>
      <c r="E149" s="1852" t="s">
        <v>2566</v>
      </c>
      <c r="F149" s="1852" t="s">
        <v>2567</v>
      </c>
      <c r="G149" s="1852" t="s">
        <v>22</v>
      </c>
      <c r="H149" s="1852" t="s">
        <v>22</v>
      </c>
      <c r="I149" s="1852" t="s">
        <v>894</v>
      </c>
    </row>
    <row r="150" ht="11.25" customHeight="1">
      <c r="A150" s="1852" t="s">
        <v>2247</v>
      </c>
      <c r="B150" s="1852" t="s">
        <v>16</v>
      </c>
      <c r="C150" s="1852" t="s">
        <v>2583</v>
      </c>
      <c r="D150" s="1852" t="s">
        <v>2584</v>
      </c>
      <c r="E150" s="1852" t="s">
        <v>2585</v>
      </c>
      <c r="F150" s="1852" t="s">
        <v>2586</v>
      </c>
      <c r="G150" s="1852" t="s">
        <v>22</v>
      </c>
      <c r="H150" s="1852" t="s">
        <v>22</v>
      </c>
      <c r="I150" s="1852" t="s">
        <v>894</v>
      </c>
    </row>
    <row r="151" ht="11.25" customHeight="1">
      <c r="A151" s="1852" t="s">
        <v>2247</v>
      </c>
      <c r="B151" s="1852" t="s">
        <v>16</v>
      </c>
      <c r="C151" s="1852" t="s">
        <v>2590</v>
      </c>
      <c r="D151" s="1852" t="s">
        <v>2591</v>
      </c>
      <c r="E151" s="1852" t="s">
        <v>2592</v>
      </c>
      <c r="F151" s="1852" t="s">
        <v>2358</v>
      </c>
      <c r="G151" s="1852" t="s">
        <v>22</v>
      </c>
      <c r="H151" s="1852" t="s">
        <v>22</v>
      </c>
      <c r="I151" s="1852" t="s">
        <v>894</v>
      </c>
    </row>
    <row r="152" ht="11.25" customHeight="1">
      <c r="A152" s="1852" t="s">
        <v>2247</v>
      </c>
      <c r="B152" s="1852" t="s">
        <v>16</v>
      </c>
      <c r="C152" s="1852" t="s">
        <v>2601</v>
      </c>
      <c r="D152" s="1852" t="s">
        <v>2602</v>
      </c>
      <c r="E152" s="1852" t="s">
        <v>2603</v>
      </c>
      <c r="F152" s="1852" t="s">
        <v>2604</v>
      </c>
      <c r="G152" s="1852" t="s">
        <v>2605</v>
      </c>
      <c r="H152" s="1852" t="s">
        <v>22</v>
      </c>
      <c r="I152" s="1852" t="s">
        <v>894</v>
      </c>
    </row>
    <row r="153" ht="11.25" customHeight="1">
      <c r="A153" s="1852" t="s">
        <v>2247</v>
      </c>
      <c r="B153" s="1852" t="s">
        <v>16</v>
      </c>
      <c r="C153" s="1852" t="s">
        <v>2609</v>
      </c>
      <c r="D153" s="1852" t="s">
        <v>2610</v>
      </c>
      <c r="E153" s="1852" t="s">
        <v>2585</v>
      </c>
      <c r="F153" s="1852" t="s">
        <v>2611</v>
      </c>
      <c r="G153" s="1852" t="s">
        <v>22</v>
      </c>
      <c r="H153" s="1852" t="s">
        <v>22</v>
      </c>
      <c r="I153" s="1852" t="s">
        <v>894</v>
      </c>
    </row>
    <row r="154" ht="11.25" customHeight="1">
      <c r="A154" s="1852" t="s">
        <v>2247</v>
      </c>
      <c r="B154" s="1852" t="s">
        <v>16</v>
      </c>
      <c r="C154" s="1852" t="s">
        <v>2612</v>
      </c>
      <c r="D154" s="1852" t="s">
        <v>2613</v>
      </c>
      <c r="E154" s="1852" t="s">
        <v>2614</v>
      </c>
      <c r="F154" s="1852" t="s">
        <v>2615</v>
      </c>
      <c r="G154" s="1852" t="s">
        <v>2616</v>
      </c>
      <c r="H154" s="1852" t="s">
        <v>22</v>
      </c>
      <c r="I154" s="1852" t="s">
        <v>894</v>
      </c>
    </row>
    <row r="155" ht="11.25" customHeight="1">
      <c r="A155" s="1852" t="s">
        <v>2247</v>
      </c>
      <c r="B155" s="1852" t="s">
        <v>16</v>
      </c>
      <c r="C155" s="1852" t="s">
        <v>2617</v>
      </c>
      <c r="D155" s="1852" t="s">
        <v>2618</v>
      </c>
      <c r="E155" s="1852" t="s">
        <v>2619</v>
      </c>
      <c r="F155" s="1852" t="s">
        <v>2311</v>
      </c>
      <c r="G155" s="1852" t="s">
        <v>2620</v>
      </c>
      <c r="H155" s="1852" t="s">
        <v>22</v>
      </c>
      <c r="I155" s="1852" t="s">
        <v>894</v>
      </c>
    </row>
    <row r="156" ht="11.25" customHeight="1">
      <c r="A156" s="1852" t="s">
        <v>2247</v>
      </c>
      <c r="B156" s="1852" t="s">
        <v>16</v>
      </c>
      <c r="C156" s="1852" t="s">
        <v>2621</v>
      </c>
      <c r="D156" s="1852" t="s">
        <v>2622</v>
      </c>
      <c r="E156" s="1852" t="s">
        <v>2623</v>
      </c>
      <c r="F156" s="1852" t="s">
        <v>2624</v>
      </c>
      <c r="G156" s="1852" t="s">
        <v>22</v>
      </c>
      <c r="H156" s="1852" t="s">
        <v>22</v>
      </c>
      <c r="I156" s="1852" t="s">
        <v>894</v>
      </c>
    </row>
    <row r="157" ht="11.25" customHeight="1">
      <c r="A157" s="1852" t="s">
        <v>2247</v>
      </c>
      <c r="B157" s="1852" t="s">
        <v>16</v>
      </c>
      <c r="C157" s="1852" t="s">
        <v>13</v>
      </c>
      <c r="D157" s="1852" t="s">
        <v>46</v>
      </c>
      <c r="E157" s="1852" t="s">
        <v>49</v>
      </c>
      <c r="F157" s="1852" t="s">
        <v>51</v>
      </c>
      <c r="G157" s="1852" t="s">
        <v>2625</v>
      </c>
      <c r="H157" s="1852" t="s">
        <v>22</v>
      </c>
      <c r="I157" s="1852" t="s">
        <v>894</v>
      </c>
    </row>
    <row r="158" ht="11.25" customHeight="1">
      <c r="A158" s="1852" t="s">
        <v>2247</v>
      </c>
      <c r="B158" s="1852" t="s">
        <v>16</v>
      </c>
      <c r="C158" s="1852" t="s">
        <v>2248</v>
      </c>
      <c r="D158" s="1852" t="s">
        <v>2249</v>
      </c>
      <c r="E158" s="1852" t="s">
        <v>2250</v>
      </c>
      <c r="F158" s="1852" t="s">
        <v>2251</v>
      </c>
      <c r="G158" s="1852" t="s">
        <v>22</v>
      </c>
      <c r="H158" s="1852" t="s">
        <v>22</v>
      </c>
      <c r="I158" s="1852" t="s">
        <v>854</v>
      </c>
    </row>
    <row r="159" ht="11.25" customHeight="1">
      <c r="A159" s="1852" t="s">
        <v>2247</v>
      </c>
      <c r="B159" s="1852" t="s">
        <v>16</v>
      </c>
      <c r="C159" s="1852" t="s">
        <v>2256</v>
      </c>
      <c r="D159" s="1852" t="s">
        <v>2257</v>
      </c>
      <c r="E159" s="1852" t="s">
        <v>2258</v>
      </c>
      <c r="F159" s="1852" t="s">
        <v>2259</v>
      </c>
      <c r="G159" s="1852" t="s">
        <v>22</v>
      </c>
      <c r="H159" s="1852" t="s">
        <v>22</v>
      </c>
      <c r="I159" s="1852" t="s">
        <v>854</v>
      </c>
    </row>
    <row r="160" ht="11.25" customHeight="1">
      <c r="A160" s="1852" t="s">
        <v>2247</v>
      </c>
      <c r="B160" s="1852" t="s">
        <v>16</v>
      </c>
      <c r="C160" s="1852" t="s">
        <v>2630</v>
      </c>
      <c r="D160" s="1852" t="s">
        <v>2631</v>
      </c>
      <c r="E160" s="1852" t="s">
        <v>2632</v>
      </c>
      <c r="F160" s="1852" t="s">
        <v>2633</v>
      </c>
      <c r="G160" s="1852" t="s">
        <v>2634</v>
      </c>
      <c r="H160" s="1852" t="s">
        <v>22</v>
      </c>
      <c r="I160" s="1852" t="s">
        <v>854</v>
      </c>
    </row>
    <row r="161" ht="11.25" customHeight="1">
      <c r="A161" s="1852" t="s">
        <v>2247</v>
      </c>
      <c r="B161" s="1852" t="s">
        <v>16</v>
      </c>
      <c r="C161" s="1852" t="s">
        <v>2635</v>
      </c>
      <c r="D161" s="1852" t="s">
        <v>2636</v>
      </c>
      <c r="E161" s="1852" t="s">
        <v>2637</v>
      </c>
      <c r="F161" s="1852" t="s">
        <v>2288</v>
      </c>
      <c r="G161" s="1852" t="s">
        <v>2638</v>
      </c>
      <c r="H161" s="1852" t="s">
        <v>22</v>
      </c>
      <c r="I161" s="1852" t="s">
        <v>854</v>
      </c>
    </row>
    <row r="162" ht="11.25" customHeight="1">
      <c r="A162" s="1852" t="s">
        <v>2247</v>
      </c>
      <c r="B162" s="1852" t="s">
        <v>16</v>
      </c>
      <c r="C162" s="1852" t="s">
        <v>2269</v>
      </c>
      <c r="D162" s="1852" t="s">
        <v>2270</v>
      </c>
      <c r="E162" s="1852" t="s">
        <v>2271</v>
      </c>
      <c r="F162" s="1852" t="s">
        <v>2263</v>
      </c>
      <c r="G162" s="1852" t="s">
        <v>22</v>
      </c>
      <c r="H162" s="1852" t="s">
        <v>22</v>
      </c>
      <c r="I162" s="1852" t="s">
        <v>854</v>
      </c>
    </row>
    <row r="163" ht="11.25" customHeight="1">
      <c r="A163" s="1852" t="s">
        <v>2247</v>
      </c>
      <c r="B163" s="1852" t="s">
        <v>16</v>
      </c>
      <c r="C163" s="1852" t="s">
        <v>2639</v>
      </c>
      <c r="D163" s="1852" t="s">
        <v>2640</v>
      </c>
      <c r="E163" s="1852" t="s">
        <v>2641</v>
      </c>
      <c r="F163" s="1852" t="s">
        <v>2396</v>
      </c>
      <c r="G163" s="1852" t="s">
        <v>22</v>
      </c>
      <c r="H163" s="1852" t="s">
        <v>22</v>
      </c>
      <c r="I163" s="1852" t="s">
        <v>854</v>
      </c>
    </row>
    <row r="164" ht="11.25" customHeight="1">
      <c r="A164" s="1852" t="s">
        <v>2247</v>
      </c>
      <c r="B164" s="1852" t="s">
        <v>16</v>
      </c>
      <c r="C164" s="1852" t="s">
        <v>2642</v>
      </c>
      <c r="D164" s="1852" t="s">
        <v>2643</v>
      </c>
      <c r="E164" s="1852" t="s">
        <v>2644</v>
      </c>
      <c r="F164" s="1852" t="s">
        <v>2267</v>
      </c>
      <c r="G164" s="1852" t="s">
        <v>22</v>
      </c>
      <c r="H164" s="1852" t="s">
        <v>22</v>
      </c>
      <c r="I164" s="1852" t="s">
        <v>854</v>
      </c>
    </row>
    <row r="165" ht="11.25" customHeight="1">
      <c r="A165" s="1852" t="s">
        <v>2247</v>
      </c>
      <c r="B165" s="1852" t="s">
        <v>16</v>
      </c>
      <c r="C165" s="1852" t="s">
        <v>22</v>
      </c>
      <c r="D165" s="1852" t="s">
        <v>2296</v>
      </c>
      <c r="E165" s="1852" t="s">
        <v>2297</v>
      </c>
      <c r="F165" s="1852" t="s">
        <v>2263</v>
      </c>
      <c r="G165" s="1852" t="s">
        <v>22</v>
      </c>
      <c r="H165" s="1852" t="s">
        <v>22</v>
      </c>
      <c r="I165" s="1852" t="s">
        <v>854</v>
      </c>
    </row>
    <row r="166" ht="11.25" customHeight="1">
      <c r="A166" s="1852" t="s">
        <v>2247</v>
      </c>
      <c r="B166" s="1852" t="s">
        <v>16</v>
      </c>
      <c r="C166" s="1852" t="s">
        <v>2298</v>
      </c>
      <c r="D166" s="1852" t="s">
        <v>2299</v>
      </c>
      <c r="E166" s="1852" t="s">
        <v>2300</v>
      </c>
      <c r="F166" s="1852" t="s">
        <v>2301</v>
      </c>
      <c r="G166" s="1852" t="s">
        <v>22</v>
      </c>
      <c r="H166" s="1852" t="s">
        <v>22</v>
      </c>
      <c r="I166" s="1852" t="s">
        <v>854</v>
      </c>
    </row>
    <row r="167" ht="11.25" customHeight="1">
      <c r="A167" s="1852" t="s">
        <v>2247</v>
      </c>
      <c r="B167" s="1852" t="s">
        <v>16</v>
      </c>
      <c r="C167" s="1852" t="s">
        <v>2645</v>
      </c>
      <c r="D167" s="1852" t="s">
        <v>2646</v>
      </c>
      <c r="E167" s="1852" t="s">
        <v>2424</v>
      </c>
      <c r="F167" s="1852" t="s">
        <v>2647</v>
      </c>
      <c r="G167" s="1852" t="s">
        <v>22</v>
      </c>
      <c r="H167" s="1852" t="s">
        <v>22</v>
      </c>
      <c r="I167" s="1852" t="s">
        <v>854</v>
      </c>
    </row>
    <row r="168" ht="11.25" customHeight="1">
      <c r="A168" s="1852" t="s">
        <v>2247</v>
      </c>
      <c r="B168" s="1852" t="s">
        <v>16</v>
      </c>
      <c r="C168" s="1852" t="s">
        <v>2648</v>
      </c>
      <c r="D168" s="1852" t="s">
        <v>2649</v>
      </c>
      <c r="E168" s="1852" t="s">
        <v>2650</v>
      </c>
      <c r="F168" s="1852" t="s">
        <v>2251</v>
      </c>
      <c r="G168" s="1852" t="s">
        <v>22</v>
      </c>
      <c r="H168" s="1852" t="s">
        <v>22</v>
      </c>
      <c r="I168" s="1852" t="s">
        <v>854</v>
      </c>
    </row>
    <row r="169" ht="11.25" customHeight="1">
      <c r="A169" s="1852" t="s">
        <v>2247</v>
      </c>
      <c r="B169" s="1852" t="s">
        <v>16</v>
      </c>
      <c r="C169" s="1852" t="s">
        <v>2651</v>
      </c>
      <c r="D169" s="1852" t="s">
        <v>2652</v>
      </c>
      <c r="E169" s="1852" t="s">
        <v>2653</v>
      </c>
      <c r="F169" s="1852" t="s">
        <v>2251</v>
      </c>
      <c r="G169" s="1852" t="s">
        <v>2654</v>
      </c>
      <c r="H169" s="1852" t="s">
        <v>22</v>
      </c>
      <c r="I169" s="1852" t="s">
        <v>854</v>
      </c>
    </row>
    <row r="170" ht="11.25" customHeight="1">
      <c r="A170" s="1852" t="s">
        <v>2247</v>
      </c>
      <c r="B170" s="1852" t="s">
        <v>16</v>
      </c>
      <c r="C170" s="1852" t="s">
        <v>2655</v>
      </c>
      <c r="D170" s="1852" t="s">
        <v>2656</v>
      </c>
      <c r="E170" s="1852" t="s">
        <v>2657</v>
      </c>
      <c r="F170" s="1852" t="s">
        <v>2263</v>
      </c>
      <c r="G170" s="1852" t="s">
        <v>22</v>
      </c>
      <c r="H170" s="1852" t="s">
        <v>22</v>
      </c>
      <c r="I170" s="1852" t="s">
        <v>854</v>
      </c>
    </row>
    <row r="171" ht="11.25" customHeight="1">
      <c r="A171" s="1852" t="s">
        <v>2247</v>
      </c>
      <c r="B171" s="1852" t="s">
        <v>16</v>
      </c>
      <c r="C171" s="1852" t="s">
        <v>2658</v>
      </c>
      <c r="D171" s="1852" t="s">
        <v>2659</v>
      </c>
      <c r="E171" s="1852" t="s">
        <v>2660</v>
      </c>
      <c r="F171" s="1852" t="s">
        <v>2288</v>
      </c>
      <c r="G171" s="1852" t="s">
        <v>22</v>
      </c>
      <c r="H171" s="1852" t="s">
        <v>2661</v>
      </c>
      <c r="I171" s="1852" t="s">
        <v>854</v>
      </c>
    </row>
    <row r="172" ht="11.25" customHeight="1">
      <c r="A172" s="1852" t="s">
        <v>2247</v>
      </c>
      <c r="B172" s="1852" t="s">
        <v>16</v>
      </c>
      <c r="C172" s="1852" t="s">
        <v>2662</v>
      </c>
      <c r="D172" s="1852" t="s">
        <v>2663</v>
      </c>
      <c r="E172" s="1852" t="s">
        <v>2664</v>
      </c>
      <c r="F172" s="1852" t="s">
        <v>2403</v>
      </c>
      <c r="G172" s="1852" t="s">
        <v>22</v>
      </c>
      <c r="H172" s="1852" t="s">
        <v>22</v>
      </c>
      <c r="I172" s="1852" t="s">
        <v>854</v>
      </c>
    </row>
    <row r="173" ht="11.25" customHeight="1">
      <c r="A173" s="1852" t="s">
        <v>2247</v>
      </c>
      <c r="B173" s="1852" t="s">
        <v>16</v>
      </c>
      <c r="C173" s="1852" t="s">
        <v>2665</v>
      </c>
      <c r="D173" s="1852" t="s">
        <v>2666</v>
      </c>
      <c r="E173" s="1852" t="s">
        <v>2667</v>
      </c>
      <c r="F173" s="1852" t="s">
        <v>2387</v>
      </c>
      <c r="G173" s="1852" t="s">
        <v>22</v>
      </c>
      <c r="H173" s="1852" t="s">
        <v>22</v>
      </c>
      <c r="I173" s="1852" t="s">
        <v>854</v>
      </c>
    </row>
    <row r="174" ht="11.25" customHeight="1">
      <c r="A174" s="1852" t="s">
        <v>2247</v>
      </c>
      <c r="B174" s="1852" t="s">
        <v>16</v>
      </c>
      <c r="C174" s="1852" t="s">
        <v>2668</v>
      </c>
      <c r="D174" s="1852" t="s">
        <v>2669</v>
      </c>
      <c r="E174" s="1852" t="s">
        <v>2670</v>
      </c>
      <c r="F174" s="1852" t="s">
        <v>575</v>
      </c>
      <c r="G174" s="1852" t="s">
        <v>22</v>
      </c>
      <c r="H174" s="1852" t="s">
        <v>22</v>
      </c>
      <c r="I174" s="1852" t="s">
        <v>854</v>
      </c>
    </row>
    <row r="175" ht="11.25" customHeight="1">
      <c r="A175" s="1852" t="s">
        <v>2247</v>
      </c>
      <c r="B175" s="1852" t="s">
        <v>16</v>
      </c>
      <c r="C175" s="1852" t="s">
        <v>2671</v>
      </c>
      <c r="D175" s="1852" t="s">
        <v>2672</v>
      </c>
      <c r="E175" s="1852" t="s">
        <v>2424</v>
      </c>
      <c r="F175" s="1852" t="s">
        <v>2673</v>
      </c>
      <c r="G175" s="1852" t="s">
        <v>22</v>
      </c>
      <c r="H175" s="1852" t="s">
        <v>22</v>
      </c>
      <c r="I175" s="1852" t="s">
        <v>854</v>
      </c>
    </row>
    <row r="176" ht="11.25" customHeight="1">
      <c r="A176" s="1852" t="s">
        <v>2247</v>
      </c>
      <c r="B176" s="1852" t="s">
        <v>16</v>
      </c>
      <c r="C176" s="1852" t="s">
        <v>2308</v>
      </c>
      <c r="D176" s="1852" t="s">
        <v>2309</v>
      </c>
      <c r="E176" s="1852" t="s">
        <v>2310</v>
      </c>
      <c r="F176" s="1852" t="s">
        <v>2311</v>
      </c>
      <c r="G176" s="1852" t="s">
        <v>22</v>
      </c>
      <c r="H176" s="1852" t="s">
        <v>22</v>
      </c>
      <c r="I176" s="1852" t="s">
        <v>854</v>
      </c>
    </row>
    <row r="177" ht="11.25" customHeight="1">
      <c r="A177" s="1852" t="s">
        <v>2247</v>
      </c>
      <c r="B177" s="1852" t="s">
        <v>16</v>
      </c>
      <c r="C177" s="1852" t="s">
        <v>2674</v>
      </c>
      <c r="D177" s="1852" t="s">
        <v>2675</v>
      </c>
      <c r="E177" s="1852" t="s">
        <v>2676</v>
      </c>
      <c r="F177" s="1852" t="s">
        <v>2677</v>
      </c>
      <c r="G177" s="1852" t="s">
        <v>2678</v>
      </c>
      <c r="H177" s="1852" t="s">
        <v>22</v>
      </c>
      <c r="I177" s="1852" t="s">
        <v>854</v>
      </c>
    </row>
    <row r="178" ht="11.25" customHeight="1">
      <c r="A178" s="1852" t="s">
        <v>2247</v>
      </c>
      <c r="B178" s="1852" t="s">
        <v>16</v>
      </c>
      <c r="C178" s="1852" t="s">
        <v>2679</v>
      </c>
      <c r="D178" s="1852" t="s">
        <v>2680</v>
      </c>
      <c r="E178" s="1852" t="s">
        <v>2681</v>
      </c>
      <c r="F178" s="1852" t="s">
        <v>2387</v>
      </c>
      <c r="G178" s="1852" t="s">
        <v>2682</v>
      </c>
      <c r="H178" s="1852" t="s">
        <v>22</v>
      </c>
      <c r="I178" s="1852" t="s">
        <v>854</v>
      </c>
    </row>
    <row r="179" ht="11.25" customHeight="1">
      <c r="A179" s="1852" t="s">
        <v>2247</v>
      </c>
      <c r="B179" s="1852" t="s">
        <v>16</v>
      </c>
      <c r="C179" s="1852" t="s">
        <v>2683</v>
      </c>
      <c r="D179" s="1852" t="s">
        <v>2684</v>
      </c>
      <c r="E179" s="1852" t="s">
        <v>2685</v>
      </c>
      <c r="F179" s="1852" t="s">
        <v>2484</v>
      </c>
      <c r="G179" s="1852" t="s">
        <v>2686</v>
      </c>
      <c r="H179" s="1852" t="s">
        <v>22</v>
      </c>
      <c r="I179" s="1852" t="s">
        <v>854</v>
      </c>
    </row>
    <row r="180" ht="11.25" customHeight="1">
      <c r="A180" s="1852" t="s">
        <v>2247</v>
      </c>
      <c r="B180" s="1852" t="s">
        <v>16</v>
      </c>
      <c r="C180" s="1852" t="s">
        <v>2687</v>
      </c>
      <c r="D180" s="1852" t="s">
        <v>2688</v>
      </c>
      <c r="E180" s="1852" t="s">
        <v>2689</v>
      </c>
      <c r="F180" s="1852" t="s">
        <v>2484</v>
      </c>
      <c r="G180" s="1852" t="s">
        <v>2690</v>
      </c>
      <c r="H180" s="1852" t="s">
        <v>2691</v>
      </c>
      <c r="I180" s="1852" t="s">
        <v>854</v>
      </c>
    </row>
    <row r="181" ht="11.25" customHeight="1">
      <c r="A181" s="1852" t="s">
        <v>2247</v>
      </c>
      <c r="B181" s="1852" t="s">
        <v>16</v>
      </c>
      <c r="C181" s="1852" t="s">
        <v>2312</v>
      </c>
      <c r="D181" s="1852" t="s">
        <v>2313</v>
      </c>
      <c r="E181" s="1852" t="s">
        <v>2314</v>
      </c>
      <c r="F181" s="1852" t="s">
        <v>2315</v>
      </c>
      <c r="G181" s="1852" t="s">
        <v>2316</v>
      </c>
      <c r="H181" s="1852" t="s">
        <v>22</v>
      </c>
      <c r="I181" s="1852" t="s">
        <v>854</v>
      </c>
    </row>
    <row r="182" ht="11.25" customHeight="1">
      <c r="A182" s="1852" t="s">
        <v>2247</v>
      </c>
      <c r="B182" s="1852" t="s">
        <v>16</v>
      </c>
      <c r="C182" s="1852" t="s">
        <v>2692</v>
      </c>
      <c r="D182" s="1852" t="s">
        <v>2693</v>
      </c>
      <c r="E182" s="1852" t="s">
        <v>2694</v>
      </c>
      <c r="F182" s="1852" t="s">
        <v>2695</v>
      </c>
      <c r="G182" s="1852" t="s">
        <v>2696</v>
      </c>
      <c r="H182" s="1852" t="s">
        <v>22</v>
      </c>
      <c r="I182" s="1852" t="s">
        <v>854</v>
      </c>
    </row>
    <row r="183" ht="11.25" customHeight="1">
      <c r="A183" s="1852" t="s">
        <v>2247</v>
      </c>
      <c r="B183" s="1852" t="s">
        <v>16</v>
      </c>
      <c r="C183" s="1852" t="s">
        <v>2697</v>
      </c>
      <c r="D183" s="1852" t="s">
        <v>2698</v>
      </c>
      <c r="E183" s="1852" t="s">
        <v>2699</v>
      </c>
      <c r="F183" s="1852" t="s">
        <v>2538</v>
      </c>
      <c r="G183" s="1852" t="s">
        <v>2700</v>
      </c>
      <c r="H183" s="1852" t="s">
        <v>22</v>
      </c>
      <c r="I183" s="1852" t="s">
        <v>854</v>
      </c>
    </row>
    <row r="184" ht="11.25" customHeight="1">
      <c r="A184" s="1852" t="s">
        <v>2247</v>
      </c>
      <c r="B184" s="1852" t="s">
        <v>16</v>
      </c>
      <c r="C184" s="1852" t="s">
        <v>2701</v>
      </c>
      <c r="D184" s="1852" t="s">
        <v>2702</v>
      </c>
      <c r="E184" s="1852" t="s">
        <v>2703</v>
      </c>
      <c r="F184" s="1852" t="s">
        <v>2704</v>
      </c>
      <c r="G184" s="1852" t="s">
        <v>2705</v>
      </c>
      <c r="H184" s="1852" t="s">
        <v>22</v>
      </c>
      <c r="I184" s="1852" t="s">
        <v>854</v>
      </c>
    </row>
    <row r="185" ht="11.25" customHeight="1">
      <c r="A185" s="1852" t="s">
        <v>2247</v>
      </c>
      <c r="B185" s="1852" t="s">
        <v>16</v>
      </c>
      <c r="C185" s="1852" t="s">
        <v>2317</v>
      </c>
      <c r="D185" s="1852" t="s">
        <v>2318</v>
      </c>
      <c r="E185" s="1852" t="s">
        <v>2319</v>
      </c>
      <c r="F185" s="1852" t="s">
        <v>2320</v>
      </c>
      <c r="G185" s="1852" t="s">
        <v>2321</v>
      </c>
      <c r="H185" s="1852" t="s">
        <v>22</v>
      </c>
      <c r="I185" s="1852" t="s">
        <v>854</v>
      </c>
    </row>
    <row r="186" ht="11.25" customHeight="1">
      <c r="A186" s="1852" t="s">
        <v>2247</v>
      </c>
      <c r="B186" s="1852" t="s">
        <v>16</v>
      </c>
      <c r="C186" s="1852" t="s">
        <v>2322</v>
      </c>
      <c r="D186" s="1852" t="s">
        <v>2323</v>
      </c>
      <c r="E186" s="1852" t="s">
        <v>2324</v>
      </c>
      <c r="F186" s="1852" t="s">
        <v>2288</v>
      </c>
      <c r="G186" s="1852" t="s">
        <v>2325</v>
      </c>
      <c r="H186" s="1852" t="s">
        <v>22</v>
      </c>
      <c r="I186" s="1852" t="s">
        <v>854</v>
      </c>
    </row>
    <row r="187" ht="11.25" customHeight="1">
      <c r="A187" s="1852" t="s">
        <v>2247</v>
      </c>
      <c r="B187" s="1852" t="s">
        <v>16</v>
      </c>
      <c r="C187" s="1852" t="s">
        <v>2326</v>
      </c>
      <c r="D187" s="1852" t="s">
        <v>2327</v>
      </c>
      <c r="E187" s="1852" t="s">
        <v>2328</v>
      </c>
      <c r="F187" s="1852" t="s">
        <v>2329</v>
      </c>
      <c r="G187" s="1852" t="s">
        <v>2330</v>
      </c>
      <c r="H187" s="1852" t="s">
        <v>22</v>
      </c>
      <c r="I187" s="1852" t="s">
        <v>854</v>
      </c>
    </row>
    <row r="188" ht="11.25" customHeight="1">
      <c r="A188" s="1852" t="s">
        <v>2247</v>
      </c>
      <c r="B188" s="1852" t="s">
        <v>16</v>
      </c>
      <c r="C188" s="1852" t="s">
        <v>2331</v>
      </c>
      <c r="D188" s="1852" t="s">
        <v>2332</v>
      </c>
      <c r="E188" s="1852" t="s">
        <v>2333</v>
      </c>
      <c r="F188" s="1852" t="s">
        <v>2334</v>
      </c>
      <c r="G188" s="1852" t="s">
        <v>2335</v>
      </c>
      <c r="H188" s="1852" t="s">
        <v>22</v>
      </c>
      <c r="I188" s="1852" t="s">
        <v>854</v>
      </c>
    </row>
    <row r="189" ht="11.25" customHeight="1">
      <c r="A189" s="1852" t="s">
        <v>2247</v>
      </c>
      <c r="B189" s="1852" t="s">
        <v>16</v>
      </c>
      <c r="C189" s="1852" t="s">
        <v>2336</v>
      </c>
      <c r="D189" s="1852" t="s">
        <v>2337</v>
      </c>
      <c r="E189" s="1852" t="s">
        <v>2338</v>
      </c>
      <c r="F189" s="1852" t="s">
        <v>2339</v>
      </c>
      <c r="G189" s="1852" t="s">
        <v>2340</v>
      </c>
      <c r="H189" s="1852" t="s">
        <v>22</v>
      </c>
      <c r="I189" s="1852" t="s">
        <v>854</v>
      </c>
    </row>
    <row r="190" ht="11.25" customHeight="1">
      <c r="A190" s="1852" t="s">
        <v>2247</v>
      </c>
      <c r="B190" s="1852" t="s">
        <v>16</v>
      </c>
      <c r="C190" s="1852" t="s">
        <v>2706</v>
      </c>
      <c r="D190" s="1852" t="s">
        <v>2707</v>
      </c>
      <c r="E190" s="1852" t="s">
        <v>2708</v>
      </c>
      <c r="F190" s="1852" t="s">
        <v>2387</v>
      </c>
      <c r="G190" s="1852" t="s">
        <v>22</v>
      </c>
      <c r="H190" s="1852" t="s">
        <v>22</v>
      </c>
      <c r="I190" s="1852" t="s">
        <v>854</v>
      </c>
    </row>
    <row r="191" ht="11.25" customHeight="1">
      <c r="A191" s="1852" t="s">
        <v>2247</v>
      </c>
      <c r="B191" s="1852" t="s">
        <v>16</v>
      </c>
      <c r="C191" s="1852" t="s">
        <v>2341</v>
      </c>
      <c r="D191" s="1852" t="s">
        <v>2342</v>
      </c>
      <c r="E191" s="1852" t="s">
        <v>2343</v>
      </c>
      <c r="F191" s="1852" t="s">
        <v>2267</v>
      </c>
      <c r="G191" s="1852" t="s">
        <v>2344</v>
      </c>
      <c r="H191" s="1852" t="s">
        <v>22</v>
      </c>
      <c r="I191" s="1852" t="s">
        <v>854</v>
      </c>
    </row>
    <row r="192" ht="11.25" customHeight="1">
      <c r="A192" s="1852" t="s">
        <v>2247</v>
      </c>
      <c r="B192" s="1852" t="s">
        <v>16</v>
      </c>
      <c r="C192" s="1852" t="s">
        <v>2709</v>
      </c>
      <c r="D192" s="1852" t="s">
        <v>2710</v>
      </c>
      <c r="E192" s="1852" t="s">
        <v>2711</v>
      </c>
      <c r="F192" s="1852" t="s">
        <v>2484</v>
      </c>
      <c r="G192" s="1852" t="s">
        <v>2712</v>
      </c>
      <c r="H192" s="1852" t="s">
        <v>22</v>
      </c>
      <c r="I192" s="1852" t="s">
        <v>854</v>
      </c>
    </row>
    <row r="193" ht="11.25" customHeight="1">
      <c r="A193" s="1852" t="s">
        <v>2247</v>
      </c>
      <c r="B193" s="1852" t="s">
        <v>16</v>
      </c>
      <c r="C193" s="1852" t="s">
        <v>2345</v>
      </c>
      <c r="D193" s="1852" t="s">
        <v>2346</v>
      </c>
      <c r="E193" s="1852" t="s">
        <v>2347</v>
      </c>
      <c r="F193" s="1852" t="s">
        <v>2348</v>
      </c>
      <c r="G193" s="1852" t="s">
        <v>2349</v>
      </c>
      <c r="H193" s="1852" t="s">
        <v>22</v>
      </c>
      <c r="I193" s="1852" t="s">
        <v>854</v>
      </c>
    </row>
    <row r="194" ht="11.25" customHeight="1">
      <c r="A194" s="1852" t="s">
        <v>2247</v>
      </c>
      <c r="B194" s="1852" t="s">
        <v>16</v>
      </c>
      <c r="C194" s="1852" t="s">
        <v>2713</v>
      </c>
      <c r="D194" s="1852" t="s">
        <v>2714</v>
      </c>
      <c r="E194" s="1852" t="s">
        <v>2715</v>
      </c>
      <c r="F194" s="1852" t="s">
        <v>2353</v>
      </c>
      <c r="G194" s="1852" t="s">
        <v>2716</v>
      </c>
      <c r="H194" s="1852" t="s">
        <v>22</v>
      </c>
      <c r="I194" s="1852" t="s">
        <v>854</v>
      </c>
    </row>
    <row r="195" ht="11.25" customHeight="1">
      <c r="A195" s="1852" t="s">
        <v>2247</v>
      </c>
      <c r="B195" s="1852" t="s">
        <v>16</v>
      </c>
      <c r="C195" s="1852" t="s">
        <v>2717</v>
      </c>
      <c r="D195" s="1852" t="s">
        <v>2718</v>
      </c>
      <c r="E195" s="1852" t="s">
        <v>2719</v>
      </c>
      <c r="F195" s="1852" t="s">
        <v>2353</v>
      </c>
      <c r="G195" s="1852" t="s">
        <v>22</v>
      </c>
      <c r="H195" s="1852" t="s">
        <v>22</v>
      </c>
      <c r="I195" s="1852" t="s">
        <v>854</v>
      </c>
    </row>
    <row r="196" ht="11.25" customHeight="1">
      <c r="A196" s="1852" t="s">
        <v>2247</v>
      </c>
      <c r="B196" s="1852" t="s">
        <v>16</v>
      </c>
      <c r="C196" s="1852" t="s">
        <v>2350</v>
      </c>
      <c r="D196" s="1852" t="s">
        <v>2351</v>
      </c>
      <c r="E196" s="1852" t="s">
        <v>2352</v>
      </c>
      <c r="F196" s="1852" t="s">
        <v>2353</v>
      </c>
      <c r="G196" s="1852" t="s">
        <v>2354</v>
      </c>
      <c r="H196" s="1852" t="s">
        <v>22</v>
      </c>
      <c r="I196" s="1852" t="s">
        <v>854</v>
      </c>
    </row>
    <row r="197" ht="11.25" customHeight="1">
      <c r="A197" s="1852" t="s">
        <v>2247</v>
      </c>
      <c r="B197" s="1852" t="s">
        <v>16</v>
      </c>
      <c r="C197" s="1852" t="s">
        <v>2355</v>
      </c>
      <c r="D197" s="1852" t="s">
        <v>2356</v>
      </c>
      <c r="E197" s="1852" t="s">
        <v>2357</v>
      </c>
      <c r="F197" s="1852" t="s">
        <v>2358</v>
      </c>
      <c r="G197" s="1852" t="s">
        <v>22</v>
      </c>
      <c r="H197" s="1852" t="s">
        <v>22</v>
      </c>
      <c r="I197" s="1852" t="s">
        <v>854</v>
      </c>
    </row>
    <row r="198" ht="11.25" customHeight="1">
      <c r="A198" s="1852" t="s">
        <v>2247</v>
      </c>
      <c r="B198" s="1852" t="s">
        <v>16</v>
      </c>
      <c r="C198" s="1852" t="s">
        <v>2359</v>
      </c>
      <c r="D198" s="1852" t="s">
        <v>2360</v>
      </c>
      <c r="E198" s="1852" t="s">
        <v>2361</v>
      </c>
      <c r="F198" s="1852" t="s">
        <v>2362</v>
      </c>
      <c r="G198" s="1852" t="s">
        <v>2363</v>
      </c>
      <c r="H198" s="1852" t="s">
        <v>22</v>
      </c>
      <c r="I198" s="1852" t="s">
        <v>854</v>
      </c>
    </row>
    <row r="199" ht="11.25" customHeight="1">
      <c r="A199" s="1852" t="s">
        <v>2247</v>
      </c>
      <c r="B199" s="1852" t="s">
        <v>16</v>
      </c>
      <c r="C199" s="1852" t="s">
        <v>2364</v>
      </c>
      <c r="D199" s="1852" t="s">
        <v>2365</v>
      </c>
      <c r="E199" s="1852" t="s">
        <v>2366</v>
      </c>
      <c r="F199" s="1852" t="s">
        <v>2367</v>
      </c>
      <c r="G199" s="1852" t="s">
        <v>2368</v>
      </c>
      <c r="H199" s="1852" t="s">
        <v>22</v>
      </c>
      <c r="I199" s="1852" t="s">
        <v>854</v>
      </c>
    </row>
    <row r="200" ht="11.25" customHeight="1">
      <c r="A200" s="1852" t="s">
        <v>2247</v>
      </c>
      <c r="B200" s="1852" t="s">
        <v>16</v>
      </c>
      <c r="C200" s="1852" t="s">
        <v>2369</v>
      </c>
      <c r="D200" s="1852" t="s">
        <v>2370</v>
      </c>
      <c r="E200" s="1852" t="s">
        <v>2371</v>
      </c>
      <c r="F200" s="1852" t="s">
        <v>2372</v>
      </c>
      <c r="G200" s="1852" t="s">
        <v>2373</v>
      </c>
      <c r="H200" s="1852" t="s">
        <v>22</v>
      </c>
      <c r="I200" s="1852" t="s">
        <v>854</v>
      </c>
    </row>
    <row r="201" ht="11.25" customHeight="1">
      <c r="A201" s="1852" t="s">
        <v>2247</v>
      </c>
      <c r="B201" s="1852" t="s">
        <v>16</v>
      </c>
      <c r="C201" s="1852" t="s">
        <v>2720</v>
      </c>
      <c r="D201" s="1852" t="s">
        <v>2721</v>
      </c>
      <c r="E201" s="1852" t="s">
        <v>2722</v>
      </c>
      <c r="F201" s="1852" t="s">
        <v>2599</v>
      </c>
      <c r="G201" s="1852" t="s">
        <v>2723</v>
      </c>
      <c r="H201" s="1852" t="s">
        <v>22</v>
      </c>
      <c r="I201" s="1852" t="s">
        <v>854</v>
      </c>
    </row>
    <row r="202" ht="11.25" customHeight="1">
      <c r="A202" s="1852" t="s">
        <v>2247</v>
      </c>
      <c r="B202" s="1852" t="s">
        <v>16</v>
      </c>
      <c r="C202" s="1852" t="s">
        <v>2374</v>
      </c>
      <c r="D202" s="1852" t="s">
        <v>2375</v>
      </c>
      <c r="E202" s="1852" t="s">
        <v>2376</v>
      </c>
      <c r="F202" s="1852" t="s">
        <v>2377</v>
      </c>
      <c r="G202" s="1852" t="s">
        <v>2378</v>
      </c>
      <c r="H202" s="1852" t="s">
        <v>22</v>
      </c>
      <c r="I202" s="1852" t="s">
        <v>854</v>
      </c>
    </row>
    <row r="203" ht="11.25" customHeight="1">
      <c r="A203" s="1852" t="s">
        <v>2247</v>
      </c>
      <c r="B203" s="1852" t="s">
        <v>16</v>
      </c>
      <c r="C203" s="1852" t="s">
        <v>2724</v>
      </c>
      <c r="D203" s="1852" t="s">
        <v>2725</v>
      </c>
      <c r="E203" s="1852" t="s">
        <v>2726</v>
      </c>
      <c r="F203" s="1852" t="s">
        <v>2412</v>
      </c>
      <c r="G203" s="1852" t="s">
        <v>2727</v>
      </c>
      <c r="H203" s="1852" t="s">
        <v>22</v>
      </c>
      <c r="I203" s="1852" t="s">
        <v>854</v>
      </c>
    </row>
    <row r="204" ht="11.25" customHeight="1">
      <c r="A204" s="1852" t="s">
        <v>2247</v>
      </c>
      <c r="B204" s="1852" t="s">
        <v>16</v>
      </c>
      <c r="C204" s="1852" t="s">
        <v>2728</v>
      </c>
      <c r="D204" s="1852" t="s">
        <v>2729</v>
      </c>
      <c r="E204" s="1852" t="s">
        <v>2730</v>
      </c>
      <c r="F204" s="1852" t="s">
        <v>2599</v>
      </c>
      <c r="G204" s="1852" t="s">
        <v>2731</v>
      </c>
      <c r="H204" s="1852" t="s">
        <v>22</v>
      </c>
      <c r="I204" s="1852" t="s">
        <v>854</v>
      </c>
    </row>
    <row r="205" ht="11.25" customHeight="1">
      <c r="A205" s="1852" t="s">
        <v>2247</v>
      </c>
      <c r="B205" s="1852" t="s">
        <v>16</v>
      </c>
      <c r="C205" s="1852" t="s">
        <v>2732</v>
      </c>
      <c r="D205" s="1852" t="s">
        <v>2733</v>
      </c>
      <c r="E205" s="1852" t="s">
        <v>2734</v>
      </c>
      <c r="F205" s="1852" t="s">
        <v>2339</v>
      </c>
      <c r="G205" s="1852" t="s">
        <v>2735</v>
      </c>
      <c r="H205" s="1852" t="s">
        <v>22</v>
      </c>
      <c r="I205" s="1852" t="s">
        <v>854</v>
      </c>
    </row>
    <row r="206" ht="11.25" customHeight="1">
      <c r="A206" s="1852" t="s">
        <v>2247</v>
      </c>
      <c r="B206" s="1852" t="s">
        <v>16</v>
      </c>
      <c r="C206" s="1852" t="s">
        <v>2736</v>
      </c>
      <c r="D206" s="1852" t="s">
        <v>2737</v>
      </c>
      <c r="E206" s="1852" t="s">
        <v>2738</v>
      </c>
      <c r="F206" s="1852" t="s">
        <v>2348</v>
      </c>
      <c r="G206" s="1852" t="s">
        <v>2739</v>
      </c>
      <c r="H206" s="1852" t="s">
        <v>22</v>
      </c>
      <c r="I206" s="1852" t="s">
        <v>854</v>
      </c>
    </row>
    <row r="207" ht="11.25" customHeight="1">
      <c r="A207" s="1852" t="s">
        <v>2247</v>
      </c>
      <c r="B207" s="1852" t="s">
        <v>16</v>
      </c>
      <c r="C207" s="1852" t="s">
        <v>2384</v>
      </c>
      <c r="D207" s="1852" t="s">
        <v>2385</v>
      </c>
      <c r="E207" s="1852" t="s">
        <v>2386</v>
      </c>
      <c r="F207" s="1852" t="s">
        <v>2387</v>
      </c>
      <c r="G207" s="1852" t="s">
        <v>2388</v>
      </c>
      <c r="H207" s="1852" t="s">
        <v>22</v>
      </c>
      <c r="I207" s="1852" t="s">
        <v>854</v>
      </c>
    </row>
    <row r="208" ht="11.25" customHeight="1">
      <c r="A208" s="1852" t="s">
        <v>2247</v>
      </c>
      <c r="B208" s="1852" t="s">
        <v>16</v>
      </c>
      <c r="C208" s="1852" t="s">
        <v>2393</v>
      </c>
      <c r="D208" s="1852" t="s">
        <v>2394</v>
      </c>
      <c r="E208" s="1852" t="s">
        <v>2395</v>
      </c>
      <c r="F208" s="1852" t="s">
        <v>2396</v>
      </c>
      <c r="G208" s="1852" t="s">
        <v>22</v>
      </c>
      <c r="H208" s="1852" t="s">
        <v>22</v>
      </c>
      <c r="I208" s="1852" t="s">
        <v>854</v>
      </c>
    </row>
    <row r="209" ht="11.25" customHeight="1">
      <c r="A209" s="1852" t="s">
        <v>2247</v>
      </c>
      <c r="B209" s="1852" t="s">
        <v>16</v>
      </c>
      <c r="C209" s="1852" t="s">
        <v>2740</v>
      </c>
      <c r="D209" s="1852" t="s">
        <v>2741</v>
      </c>
      <c r="E209" s="1852" t="s">
        <v>2742</v>
      </c>
      <c r="F209" s="1852" t="s">
        <v>2542</v>
      </c>
      <c r="G209" s="1852" t="s">
        <v>2743</v>
      </c>
      <c r="H209" s="1852" t="s">
        <v>22</v>
      </c>
      <c r="I209" s="1852" t="s">
        <v>854</v>
      </c>
    </row>
    <row r="210" ht="11.25" customHeight="1">
      <c r="A210" s="1852" t="s">
        <v>2247</v>
      </c>
      <c r="B210" s="1852" t="s">
        <v>16</v>
      </c>
      <c r="C210" s="1852" t="s">
        <v>2397</v>
      </c>
      <c r="D210" s="1852" t="s">
        <v>2398</v>
      </c>
      <c r="E210" s="1852" t="s">
        <v>2399</v>
      </c>
      <c r="F210" s="1852" t="s">
        <v>2358</v>
      </c>
      <c r="G210" s="1852" t="s">
        <v>22</v>
      </c>
      <c r="H210" s="1852" t="s">
        <v>22</v>
      </c>
      <c r="I210" s="1852" t="s">
        <v>854</v>
      </c>
    </row>
    <row r="211" ht="11.25" customHeight="1">
      <c r="A211" s="1852" t="s">
        <v>2247</v>
      </c>
      <c r="B211" s="1852" t="s">
        <v>16</v>
      </c>
      <c r="C211" s="1852" t="s">
        <v>2400</v>
      </c>
      <c r="D211" s="1852" t="s">
        <v>2401</v>
      </c>
      <c r="E211" s="1852" t="s">
        <v>2402</v>
      </c>
      <c r="F211" s="1852" t="s">
        <v>2403</v>
      </c>
      <c r="G211" s="1852" t="s">
        <v>2330</v>
      </c>
      <c r="H211" s="1852" t="s">
        <v>22</v>
      </c>
      <c r="I211" s="1852" t="s">
        <v>854</v>
      </c>
    </row>
    <row r="212" ht="11.25" customHeight="1">
      <c r="A212" s="1852" t="s">
        <v>2247</v>
      </c>
      <c r="B212" s="1852" t="s">
        <v>16</v>
      </c>
      <c r="C212" s="1852" t="s">
        <v>2744</v>
      </c>
      <c r="D212" s="1852" t="s">
        <v>2745</v>
      </c>
      <c r="E212" s="1852" t="s">
        <v>2746</v>
      </c>
      <c r="F212" s="1852" t="s">
        <v>2288</v>
      </c>
      <c r="G212" s="1852" t="s">
        <v>2747</v>
      </c>
      <c r="H212" s="1852" t="s">
        <v>22</v>
      </c>
      <c r="I212" s="1852" t="s">
        <v>854</v>
      </c>
    </row>
    <row r="213" ht="11.25" customHeight="1">
      <c r="A213" s="1852" t="s">
        <v>2247</v>
      </c>
      <c r="B213" s="1852" t="s">
        <v>16</v>
      </c>
      <c r="C213" s="1852" t="s">
        <v>2748</v>
      </c>
      <c r="D213" s="1852" t="s">
        <v>2749</v>
      </c>
      <c r="E213" s="1852" t="s">
        <v>2750</v>
      </c>
      <c r="F213" s="1852" t="s">
        <v>2407</v>
      </c>
      <c r="G213" s="1852" t="s">
        <v>22</v>
      </c>
      <c r="H213" s="1852" t="s">
        <v>22</v>
      </c>
      <c r="I213" s="1852" t="s">
        <v>854</v>
      </c>
    </row>
    <row r="214" ht="11.25" customHeight="1">
      <c r="A214" s="1852" t="s">
        <v>2247</v>
      </c>
      <c r="B214" s="1852" t="s">
        <v>16</v>
      </c>
      <c r="C214" s="1852" t="s">
        <v>2751</v>
      </c>
      <c r="D214" s="1852" t="s">
        <v>2752</v>
      </c>
      <c r="E214" s="1852" t="s">
        <v>2753</v>
      </c>
      <c r="F214" s="1852" t="s">
        <v>2704</v>
      </c>
      <c r="G214" s="1852" t="s">
        <v>22</v>
      </c>
      <c r="H214" s="1852" t="s">
        <v>22</v>
      </c>
      <c r="I214" s="1852" t="s">
        <v>854</v>
      </c>
    </row>
    <row r="215" ht="11.25" customHeight="1">
      <c r="A215" s="1852" t="s">
        <v>2247</v>
      </c>
      <c r="B215" s="1852" t="s">
        <v>16</v>
      </c>
      <c r="C215" s="1852" t="s">
        <v>2754</v>
      </c>
      <c r="D215" s="1852" t="s">
        <v>2755</v>
      </c>
      <c r="E215" s="1852" t="s">
        <v>2756</v>
      </c>
      <c r="F215" s="1852" t="s">
        <v>2263</v>
      </c>
      <c r="G215" s="1852" t="s">
        <v>22</v>
      </c>
      <c r="H215" s="1852" t="s">
        <v>22</v>
      </c>
      <c r="I215" s="1852" t="s">
        <v>854</v>
      </c>
    </row>
    <row r="216" ht="11.25" customHeight="1">
      <c r="A216" s="1852" t="s">
        <v>2247</v>
      </c>
      <c r="B216" s="1852" t="s">
        <v>16</v>
      </c>
      <c r="C216" s="1852" t="s">
        <v>2757</v>
      </c>
      <c r="D216" s="1852" t="s">
        <v>2758</v>
      </c>
      <c r="E216" s="1852" t="s">
        <v>2759</v>
      </c>
      <c r="F216" s="1852" t="s">
        <v>2367</v>
      </c>
      <c r="G216" s="1852" t="s">
        <v>22</v>
      </c>
      <c r="H216" s="1852" t="s">
        <v>22</v>
      </c>
      <c r="I216" s="1852" t="s">
        <v>854</v>
      </c>
    </row>
    <row r="217" ht="11.25" customHeight="1">
      <c r="A217" s="1852" t="s">
        <v>2247</v>
      </c>
      <c r="B217" s="1852" t="s">
        <v>16</v>
      </c>
      <c r="C217" s="1852" t="s">
        <v>2760</v>
      </c>
      <c r="D217" s="1852" t="s">
        <v>2761</v>
      </c>
      <c r="E217" s="1852" t="s">
        <v>2762</v>
      </c>
      <c r="F217" s="1852" t="s">
        <v>2484</v>
      </c>
      <c r="G217" s="1852" t="s">
        <v>2763</v>
      </c>
      <c r="H217" s="1852" t="s">
        <v>22</v>
      </c>
      <c r="I217" s="1852" t="s">
        <v>854</v>
      </c>
    </row>
    <row r="218" ht="11.25" customHeight="1">
      <c r="A218" s="1852" t="s">
        <v>2247</v>
      </c>
      <c r="B218" s="1852" t="s">
        <v>16</v>
      </c>
      <c r="C218" s="1852" t="s">
        <v>2413</v>
      </c>
      <c r="D218" s="1852" t="s">
        <v>2414</v>
      </c>
      <c r="E218" s="1852" t="s">
        <v>2415</v>
      </c>
      <c r="F218" s="1852" t="s">
        <v>2382</v>
      </c>
      <c r="G218" s="1852" t="s">
        <v>22</v>
      </c>
      <c r="H218" s="1852" t="s">
        <v>22</v>
      </c>
      <c r="I218" s="1852" t="s">
        <v>854</v>
      </c>
    </row>
    <row r="219" ht="11.25" customHeight="1">
      <c r="A219" s="1852" t="s">
        <v>2247</v>
      </c>
      <c r="B219" s="1852" t="s">
        <v>16</v>
      </c>
      <c r="C219" s="1852" t="s">
        <v>2764</v>
      </c>
      <c r="D219" s="1852" t="s">
        <v>2765</v>
      </c>
      <c r="E219" s="1852" t="s">
        <v>2766</v>
      </c>
      <c r="F219" s="1852" t="s">
        <v>2267</v>
      </c>
      <c r="G219" s="1852" t="s">
        <v>22</v>
      </c>
      <c r="H219" s="1852" t="s">
        <v>22</v>
      </c>
      <c r="I219" s="1852" t="s">
        <v>854</v>
      </c>
    </row>
    <row r="220" ht="11.25" customHeight="1">
      <c r="A220" s="1852" t="s">
        <v>2247</v>
      </c>
      <c r="B220" s="1852" t="s">
        <v>16</v>
      </c>
      <c r="C220" s="1852" t="s">
        <v>2767</v>
      </c>
      <c r="D220" s="1852" t="s">
        <v>2768</v>
      </c>
      <c r="E220" s="1852" t="s">
        <v>2769</v>
      </c>
      <c r="F220" s="1852" t="s">
        <v>2412</v>
      </c>
      <c r="G220" s="1852" t="s">
        <v>22</v>
      </c>
      <c r="H220" s="1852" t="s">
        <v>22</v>
      </c>
      <c r="I220" s="1852" t="s">
        <v>854</v>
      </c>
    </row>
    <row r="221" ht="11.25" customHeight="1">
      <c r="A221" s="1852" t="s">
        <v>2247</v>
      </c>
      <c r="B221" s="1852" t="s">
        <v>16</v>
      </c>
      <c r="C221" s="1852" t="s">
        <v>2419</v>
      </c>
      <c r="D221" s="1852" t="s">
        <v>2420</v>
      </c>
      <c r="E221" s="1852" t="s">
        <v>2421</v>
      </c>
      <c r="F221" s="1852" t="s">
        <v>2288</v>
      </c>
      <c r="G221" s="1852" t="s">
        <v>22</v>
      </c>
      <c r="H221" s="1852" t="s">
        <v>22</v>
      </c>
      <c r="I221" s="1852" t="s">
        <v>854</v>
      </c>
    </row>
    <row r="222" ht="11.25" customHeight="1">
      <c r="A222" s="1852" t="s">
        <v>2247</v>
      </c>
      <c r="B222" s="1852" t="s">
        <v>16</v>
      </c>
      <c r="C222" s="1852" t="s">
        <v>2770</v>
      </c>
      <c r="D222" s="1852" t="s">
        <v>2771</v>
      </c>
      <c r="E222" s="1852" t="s">
        <v>2772</v>
      </c>
      <c r="F222" s="1852" t="s">
        <v>2773</v>
      </c>
      <c r="G222" s="1852" t="s">
        <v>2774</v>
      </c>
      <c r="H222" s="1852" t="s">
        <v>22</v>
      </c>
      <c r="I222" s="1852" t="s">
        <v>854</v>
      </c>
    </row>
    <row r="223" ht="11.25" customHeight="1">
      <c r="A223" s="1852" t="s">
        <v>2247</v>
      </c>
      <c r="B223" s="1852" t="s">
        <v>16</v>
      </c>
      <c r="C223" s="1852" t="s">
        <v>2422</v>
      </c>
      <c r="D223" s="1852" t="s">
        <v>2423</v>
      </c>
      <c r="E223" s="1852" t="s">
        <v>2424</v>
      </c>
      <c r="F223" s="1852" t="s">
        <v>2425</v>
      </c>
      <c r="G223" s="1852" t="s">
        <v>22</v>
      </c>
      <c r="H223" s="1852" t="s">
        <v>22</v>
      </c>
      <c r="I223" s="1852" t="s">
        <v>854</v>
      </c>
    </row>
    <row r="224" ht="11.25" customHeight="1">
      <c r="A224" s="1852" t="s">
        <v>2247</v>
      </c>
      <c r="B224" s="1852" t="s">
        <v>16</v>
      </c>
      <c r="C224" s="1852" t="s">
        <v>2429</v>
      </c>
      <c r="D224" s="1852" t="s">
        <v>2430</v>
      </c>
      <c r="E224" s="1852" t="s">
        <v>2431</v>
      </c>
      <c r="F224" s="1852" t="s">
        <v>2372</v>
      </c>
      <c r="G224" s="1852" t="s">
        <v>22</v>
      </c>
      <c r="H224" s="1852" t="s">
        <v>22</v>
      </c>
      <c r="I224" s="1852" t="s">
        <v>854</v>
      </c>
    </row>
    <row r="225" ht="11.25" customHeight="1">
      <c r="A225" s="1852" t="s">
        <v>2247</v>
      </c>
      <c r="B225" s="1852" t="s">
        <v>16</v>
      </c>
      <c r="C225" s="1852" t="s">
        <v>2775</v>
      </c>
      <c r="D225" s="1852" t="s">
        <v>2776</v>
      </c>
      <c r="E225" s="1852" t="s">
        <v>2777</v>
      </c>
      <c r="F225" s="1852" t="s">
        <v>2392</v>
      </c>
      <c r="G225" s="1852" t="s">
        <v>22</v>
      </c>
      <c r="H225" s="1852" t="s">
        <v>22</v>
      </c>
      <c r="I225" s="1852" t="s">
        <v>854</v>
      </c>
    </row>
    <row r="226" ht="11.25" customHeight="1">
      <c r="A226" s="1852" t="s">
        <v>2247</v>
      </c>
      <c r="B226" s="1852" t="s">
        <v>16</v>
      </c>
      <c r="C226" s="1852" t="s">
        <v>2778</v>
      </c>
      <c r="D226" s="1852" t="s">
        <v>2779</v>
      </c>
      <c r="E226" s="1852" t="s">
        <v>2780</v>
      </c>
      <c r="F226" s="1852" t="s">
        <v>2358</v>
      </c>
      <c r="G226" s="1852" t="s">
        <v>22</v>
      </c>
      <c r="H226" s="1852" t="s">
        <v>22</v>
      </c>
      <c r="I226" s="1852" t="s">
        <v>854</v>
      </c>
    </row>
    <row r="227" ht="11.25" customHeight="1">
      <c r="A227" s="1852" t="s">
        <v>2247</v>
      </c>
      <c r="B227" s="1852" t="s">
        <v>16</v>
      </c>
      <c r="C227" s="1852" t="s">
        <v>2447</v>
      </c>
      <c r="D227" s="1852" t="s">
        <v>2448</v>
      </c>
      <c r="E227" s="1852" t="s">
        <v>2449</v>
      </c>
      <c r="F227" s="1852" t="s">
        <v>2263</v>
      </c>
      <c r="G227" s="1852" t="s">
        <v>22</v>
      </c>
      <c r="H227" s="1852" t="s">
        <v>22</v>
      </c>
      <c r="I227" s="1852" t="s">
        <v>854</v>
      </c>
    </row>
    <row r="228" ht="11.25" customHeight="1">
      <c r="A228" s="1852" t="s">
        <v>2247</v>
      </c>
      <c r="B228" s="1852" t="s">
        <v>16</v>
      </c>
      <c r="C228" s="1852" t="s">
        <v>2781</v>
      </c>
      <c r="D228" s="1852" t="s">
        <v>2782</v>
      </c>
      <c r="E228" s="1852" t="s">
        <v>2783</v>
      </c>
      <c r="F228" s="1852" t="s">
        <v>2267</v>
      </c>
      <c r="G228" s="1852" t="s">
        <v>2784</v>
      </c>
      <c r="H228" s="1852" t="s">
        <v>22</v>
      </c>
      <c r="I228" s="1852" t="s">
        <v>854</v>
      </c>
    </row>
    <row r="229" ht="11.25" customHeight="1">
      <c r="A229" s="1852" t="s">
        <v>2247</v>
      </c>
      <c r="B229" s="1852" t="s">
        <v>16</v>
      </c>
      <c r="C229" s="1852" t="s">
        <v>2462</v>
      </c>
      <c r="D229" s="1852" t="s">
        <v>2463</v>
      </c>
      <c r="E229" s="1852" t="s">
        <v>2464</v>
      </c>
      <c r="F229" s="1852" t="s">
        <v>2288</v>
      </c>
      <c r="G229" s="1852" t="s">
        <v>22</v>
      </c>
      <c r="H229" s="1852" t="s">
        <v>22</v>
      </c>
      <c r="I229" s="1852" t="s">
        <v>854</v>
      </c>
    </row>
    <row r="230" ht="11.25" customHeight="1">
      <c r="A230" s="1852" t="s">
        <v>2247</v>
      </c>
      <c r="B230" s="1852" t="s">
        <v>16</v>
      </c>
      <c r="C230" s="1852" t="s">
        <v>2785</v>
      </c>
      <c r="D230" s="1852" t="s">
        <v>2786</v>
      </c>
      <c r="E230" s="1852" t="s">
        <v>2787</v>
      </c>
      <c r="F230" s="1852" t="s">
        <v>2288</v>
      </c>
      <c r="G230" s="1852" t="s">
        <v>22</v>
      </c>
      <c r="H230" s="1852" t="s">
        <v>22</v>
      </c>
      <c r="I230" s="1852" t="s">
        <v>854</v>
      </c>
    </row>
    <row r="231" ht="11.25" customHeight="1">
      <c r="A231" s="1852" t="s">
        <v>2247</v>
      </c>
      <c r="B231" s="1852" t="s">
        <v>16</v>
      </c>
      <c r="C231" s="1852" t="s">
        <v>2788</v>
      </c>
      <c r="D231" s="1852" t="s">
        <v>2789</v>
      </c>
      <c r="E231" s="1852" t="s">
        <v>2790</v>
      </c>
      <c r="F231" s="1852" t="s">
        <v>2407</v>
      </c>
      <c r="G231" s="1852" t="s">
        <v>2791</v>
      </c>
      <c r="H231" s="1852" t="s">
        <v>22</v>
      </c>
      <c r="I231" s="1852" t="s">
        <v>854</v>
      </c>
    </row>
    <row r="232" ht="11.25" customHeight="1">
      <c r="A232" s="1852" t="s">
        <v>2247</v>
      </c>
      <c r="B232" s="1852" t="s">
        <v>16</v>
      </c>
      <c r="C232" s="1852" t="s">
        <v>2468</v>
      </c>
      <c r="D232" s="1852" t="s">
        <v>2469</v>
      </c>
      <c r="E232" s="1852" t="s">
        <v>2470</v>
      </c>
      <c r="F232" s="1852" t="s">
        <v>2320</v>
      </c>
      <c r="G232" s="1852" t="s">
        <v>2471</v>
      </c>
      <c r="H232" s="1852" t="s">
        <v>22</v>
      </c>
      <c r="I232" s="1852" t="s">
        <v>854</v>
      </c>
    </row>
    <row r="233" ht="11.25" customHeight="1">
      <c r="A233" s="1852" t="s">
        <v>2247</v>
      </c>
      <c r="B233" s="1852" t="s">
        <v>16</v>
      </c>
      <c r="C233" s="1852" t="s">
        <v>2472</v>
      </c>
      <c r="D233" s="1852" t="s">
        <v>2473</v>
      </c>
      <c r="E233" s="1852" t="s">
        <v>2474</v>
      </c>
      <c r="F233" s="1852" t="s">
        <v>2372</v>
      </c>
      <c r="G233" s="1852" t="s">
        <v>2475</v>
      </c>
      <c r="H233" s="1852" t="s">
        <v>22</v>
      </c>
      <c r="I233" s="1852" t="s">
        <v>854</v>
      </c>
    </row>
    <row r="234" ht="11.25" customHeight="1">
      <c r="A234" s="1852" t="s">
        <v>2247</v>
      </c>
      <c r="B234" s="1852" t="s">
        <v>16</v>
      </c>
      <c r="C234" s="1852" t="s">
        <v>2792</v>
      </c>
      <c r="D234" s="1852" t="s">
        <v>2793</v>
      </c>
      <c r="E234" s="1852" t="s">
        <v>2794</v>
      </c>
      <c r="F234" s="1852" t="s">
        <v>2382</v>
      </c>
      <c r="G234" s="1852" t="s">
        <v>2795</v>
      </c>
      <c r="H234" s="1852" t="s">
        <v>22</v>
      </c>
      <c r="I234" s="1852" t="s">
        <v>854</v>
      </c>
    </row>
    <row r="235" ht="11.25" customHeight="1">
      <c r="A235" s="1852" t="s">
        <v>2247</v>
      </c>
      <c r="B235" s="1852" t="s">
        <v>16</v>
      </c>
      <c r="C235" s="1852" t="s">
        <v>2796</v>
      </c>
      <c r="D235" s="1852" t="s">
        <v>2797</v>
      </c>
      <c r="E235" s="1852" t="s">
        <v>2798</v>
      </c>
      <c r="F235" s="1852" t="s">
        <v>2292</v>
      </c>
      <c r="G235" s="1852" t="s">
        <v>22</v>
      </c>
      <c r="H235" s="1852" t="s">
        <v>22</v>
      </c>
      <c r="I235" s="1852" t="s">
        <v>854</v>
      </c>
    </row>
    <row r="236" ht="11.25" customHeight="1">
      <c r="A236" s="1852" t="s">
        <v>2247</v>
      </c>
      <c r="B236" s="1852" t="s">
        <v>16</v>
      </c>
      <c r="C236" s="1852" t="s">
        <v>2799</v>
      </c>
      <c r="D236" s="1852" t="s">
        <v>2800</v>
      </c>
      <c r="E236" s="1852" t="s">
        <v>2801</v>
      </c>
      <c r="F236" s="1852" t="s">
        <v>2484</v>
      </c>
      <c r="G236" s="1852" t="s">
        <v>22</v>
      </c>
      <c r="H236" s="1852" t="s">
        <v>22</v>
      </c>
      <c r="I236" s="1852" t="s">
        <v>854</v>
      </c>
    </row>
    <row r="237" ht="11.25" customHeight="1">
      <c r="A237" s="1852" t="s">
        <v>2247</v>
      </c>
      <c r="B237" s="1852" t="s">
        <v>16</v>
      </c>
      <c r="C237" s="1852" t="s">
        <v>2802</v>
      </c>
      <c r="D237" s="1852" t="s">
        <v>2803</v>
      </c>
      <c r="E237" s="1852" t="s">
        <v>2804</v>
      </c>
      <c r="F237" s="1852" t="s">
        <v>2329</v>
      </c>
      <c r="G237" s="1852" t="s">
        <v>22</v>
      </c>
      <c r="H237" s="1852" t="s">
        <v>22</v>
      </c>
      <c r="I237" s="1852" t="s">
        <v>854</v>
      </c>
    </row>
    <row r="238" ht="11.25" customHeight="1">
      <c r="A238" s="1852" t="s">
        <v>2247</v>
      </c>
      <c r="B238" s="1852" t="s">
        <v>16</v>
      </c>
      <c r="C238" s="1852" t="s">
        <v>2805</v>
      </c>
      <c r="D238" s="1852" t="s">
        <v>2806</v>
      </c>
      <c r="E238" s="1852" t="s">
        <v>2807</v>
      </c>
      <c r="F238" s="1852" t="s">
        <v>2484</v>
      </c>
      <c r="G238" s="1852" t="s">
        <v>2808</v>
      </c>
      <c r="H238" s="1852" t="s">
        <v>22</v>
      </c>
      <c r="I238" s="1852" t="s">
        <v>854</v>
      </c>
    </row>
    <row r="239" ht="11.25" customHeight="1">
      <c r="A239" s="1852" t="s">
        <v>2247</v>
      </c>
      <c r="B239" s="1852" t="s">
        <v>16</v>
      </c>
      <c r="C239" s="1852" t="s">
        <v>2809</v>
      </c>
      <c r="D239" s="1852" t="s">
        <v>2810</v>
      </c>
      <c r="E239" s="1852" t="s">
        <v>2811</v>
      </c>
      <c r="F239" s="1852" t="s">
        <v>2263</v>
      </c>
      <c r="G239" s="1852" t="s">
        <v>2812</v>
      </c>
      <c r="H239" s="1852" t="s">
        <v>22</v>
      </c>
      <c r="I239" s="1852" t="s">
        <v>854</v>
      </c>
    </row>
    <row r="240" ht="11.25" customHeight="1">
      <c r="A240" s="1852" t="s">
        <v>2247</v>
      </c>
      <c r="B240" s="1852" t="s">
        <v>16</v>
      </c>
      <c r="C240" s="1852" t="s">
        <v>2813</v>
      </c>
      <c r="D240" s="1852" t="s">
        <v>2814</v>
      </c>
      <c r="E240" s="1852" t="s">
        <v>2815</v>
      </c>
      <c r="F240" s="1852" t="s">
        <v>2329</v>
      </c>
      <c r="G240" s="1852" t="s">
        <v>22</v>
      </c>
      <c r="H240" s="1852" t="s">
        <v>22</v>
      </c>
      <c r="I240" s="1852" t="s">
        <v>854</v>
      </c>
    </row>
    <row r="241" ht="11.25" customHeight="1">
      <c r="A241" s="1852" t="s">
        <v>2247</v>
      </c>
      <c r="B241" s="1852" t="s">
        <v>16</v>
      </c>
      <c r="C241" s="1852" t="s">
        <v>2816</v>
      </c>
      <c r="D241" s="1852" t="s">
        <v>2817</v>
      </c>
      <c r="E241" s="1852" t="s">
        <v>2818</v>
      </c>
      <c r="F241" s="1852" t="s">
        <v>2403</v>
      </c>
      <c r="G241" s="1852" t="s">
        <v>22</v>
      </c>
      <c r="H241" s="1852" t="s">
        <v>22</v>
      </c>
      <c r="I241" s="1852" t="s">
        <v>854</v>
      </c>
    </row>
    <row r="242" ht="11.25" customHeight="1">
      <c r="A242" s="1852" t="s">
        <v>2247</v>
      </c>
      <c r="B242" s="1852" t="s">
        <v>16</v>
      </c>
      <c r="C242" s="1852" t="s">
        <v>2819</v>
      </c>
      <c r="D242" s="1852" t="s">
        <v>2820</v>
      </c>
      <c r="E242" s="1852" t="s">
        <v>2821</v>
      </c>
      <c r="F242" s="1852" t="s">
        <v>2599</v>
      </c>
      <c r="G242" s="1852" t="s">
        <v>2822</v>
      </c>
      <c r="H242" s="1852" t="s">
        <v>22</v>
      </c>
      <c r="I242" s="1852" t="s">
        <v>854</v>
      </c>
    </row>
    <row r="243" ht="11.25" customHeight="1">
      <c r="A243" s="1852" t="s">
        <v>2247</v>
      </c>
      <c r="B243" s="1852" t="s">
        <v>16</v>
      </c>
      <c r="C243" s="1852" t="s">
        <v>2481</v>
      </c>
      <c r="D243" s="1852" t="s">
        <v>2482</v>
      </c>
      <c r="E243" s="1852" t="s">
        <v>2483</v>
      </c>
      <c r="F243" s="1852" t="s">
        <v>2484</v>
      </c>
      <c r="G243" s="1852" t="s">
        <v>2485</v>
      </c>
      <c r="H243" s="1852" t="s">
        <v>22</v>
      </c>
      <c r="I243" s="1852" t="s">
        <v>854</v>
      </c>
    </row>
    <row r="244" ht="11.25" customHeight="1">
      <c r="A244" s="1852" t="s">
        <v>2247</v>
      </c>
      <c r="B244" s="1852" t="s">
        <v>16</v>
      </c>
      <c r="C244" s="1852" t="s">
        <v>2823</v>
      </c>
      <c r="D244" s="1852" t="s">
        <v>2824</v>
      </c>
      <c r="E244" s="1852" t="s">
        <v>2825</v>
      </c>
      <c r="F244" s="1852" t="s">
        <v>2407</v>
      </c>
      <c r="G244" s="1852" t="s">
        <v>2826</v>
      </c>
      <c r="H244" s="1852" t="s">
        <v>22</v>
      </c>
      <c r="I244" s="1852" t="s">
        <v>854</v>
      </c>
    </row>
    <row r="245" ht="11.25" customHeight="1">
      <c r="A245" s="1852" t="s">
        <v>2247</v>
      </c>
      <c r="B245" s="1852" t="s">
        <v>16</v>
      </c>
      <c r="C245" s="1852" t="s">
        <v>2827</v>
      </c>
      <c r="D245" s="1852" t="s">
        <v>2828</v>
      </c>
      <c r="E245" s="1852" t="s">
        <v>2829</v>
      </c>
      <c r="F245" s="1852" t="s">
        <v>2339</v>
      </c>
      <c r="G245" s="1852" t="s">
        <v>2830</v>
      </c>
      <c r="H245" s="1852" t="s">
        <v>22</v>
      </c>
      <c r="I245" s="1852" t="s">
        <v>854</v>
      </c>
    </row>
    <row r="246" ht="11.25" customHeight="1">
      <c r="A246" s="1852" t="s">
        <v>2247</v>
      </c>
      <c r="B246" s="1852" t="s">
        <v>16</v>
      </c>
      <c r="C246" s="1852" t="s">
        <v>2831</v>
      </c>
      <c r="D246" s="1852" t="s">
        <v>2832</v>
      </c>
      <c r="E246" s="1852" t="s">
        <v>2833</v>
      </c>
      <c r="F246" s="1852" t="s">
        <v>2311</v>
      </c>
      <c r="G246" s="1852" t="s">
        <v>22</v>
      </c>
      <c r="H246" s="1852" t="s">
        <v>22</v>
      </c>
      <c r="I246" s="1852" t="s">
        <v>854</v>
      </c>
    </row>
    <row r="247" ht="11.25" customHeight="1">
      <c r="A247" s="1852" t="s">
        <v>2247</v>
      </c>
      <c r="B247" s="1852" t="s">
        <v>16</v>
      </c>
      <c r="C247" s="1852" t="s">
        <v>2834</v>
      </c>
      <c r="D247" s="1852" t="s">
        <v>2835</v>
      </c>
      <c r="E247" s="1852" t="s">
        <v>2836</v>
      </c>
      <c r="F247" s="1852" t="s">
        <v>2367</v>
      </c>
      <c r="G247" s="1852" t="s">
        <v>22</v>
      </c>
      <c r="H247" s="1852" t="s">
        <v>22</v>
      </c>
      <c r="I247" s="1852" t="s">
        <v>854</v>
      </c>
    </row>
    <row r="248" ht="11.25" customHeight="1">
      <c r="A248" s="1852" t="s">
        <v>2247</v>
      </c>
      <c r="B248" s="1852" t="s">
        <v>16</v>
      </c>
      <c r="C248" s="1852" t="s">
        <v>2837</v>
      </c>
      <c r="D248" s="1852" t="s">
        <v>2838</v>
      </c>
      <c r="E248" s="1852" t="s">
        <v>2839</v>
      </c>
      <c r="F248" s="1852" t="s">
        <v>2315</v>
      </c>
      <c r="G248" s="1852" t="s">
        <v>22</v>
      </c>
      <c r="H248" s="1852" t="s">
        <v>22</v>
      </c>
      <c r="I248" s="1852" t="s">
        <v>854</v>
      </c>
    </row>
    <row r="249" ht="11.25" customHeight="1">
      <c r="A249" s="1852" t="s">
        <v>2247</v>
      </c>
      <c r="B249" s="1852" t="s">
        <v>16</v>
      </c>
      <c r="C249" s="1852" t="s">
        <v>2840</v>
      </c>
      <c r="D249" s="1852" t="s">
        <v>2841</v>
      </c>
      <c r="E249" s="1852" t="s">
        <v>2842</v>
      </c>
      <c r="F249" s="1852" t="s">
        <v>2263</v>
      </c>
      <c r="G249" s="1852" t="s">
        <v>22</v>
      </c>
      <c r="H249" s="1852" t="s">
        <v>22</v>
      </c>
      <c r="I249" s="1852" t="s">
        <v>854</v>
      </c>
    </row>
    <row r="250" ht="11.25" customHeight="1">
      <c r="A250" s="1852" t="s">
        <v>2247</v>
      </c>
      <c r="B250" s="1852" t="s">
        <v>16</v>
      </c>
      <c r="C250" s="1852" t="s">
        <v>2843</v>
      </c>
      <c r="D250" s="1852" t="s">
        <v>2844</v>
      </c>
      <c r="E250" s="1852" t="s">
        <v>2845</v>
      </c>
      <c r="F250" s="1852" t="s">
        <v>2263</v>
      </c>
      <c r="G250" s="1852" t="s">
        <v>22</v>
      </c>
      <c r="H250" s="1852" t="s">
        <v>22</v>
      </c>
      <c r="I250" s="1852" t="s">
        <v>854</v>
      </c>
    </row>
    <row r="251" ht="11.25" customHeight="1">
      <c r="A251" s="1852" t="s">
        <v>2247</v>
      </c>
      <c r="B251" s="1852" t="s">
        <v>16</v>
      </c>
      <c r="C251" s="1852" t="s">
        <v>2846</v>
      </c>
      <c r="D251" s="1852" t="s">
        <v>2847</v>
      </c>
      <c r="E251" s="1852" t="s">
        <v>2848</v>
      </c>
      <c r="F251" s="1852" t="s">
        <v>2484</v>
      </c>
      <c r="G251" s="1852" t="s">
        <v>22</v>
      </c>
      <c r="H251" s="1852" t="s">
        <v>22</v>
      </c>
      <c r="I251" s="1852" t="s">
        <v>854</v>
      </c>
    </row>
    <row r="252" ht="11.25" customHeight="1">
      <c r="A252" s="1852" t="s">
        <v>2247</v>
      </c>
      <c r="B252" s="1852" t="s">
        <v>16</v>
      </c>
      <c r="C252" s="1852" t="s">
        <v>2849</v>
      </c>
      <c r="D252" s="1852" t="s">
        <v>2850</v>
      </c>
      <c r="E252" s="1852" t="s">
        <v>2851</v>
      </c>
      <c r="F252" s="1852" t="s">
        <v>2484</v>
      </c>
      <c r="G252" s="1852" t="s">
        <v>22</v>
      </c>
      <c r="H252" s="1852" t="s">
        <v>22</v>
      </c>
      <c r="I252" s="1852" t="s">
        <v>854</v>
      </c>
    </row>
    <row r="253" ht="11.25" customHeight="1">
      <c r="A253" s="1852" t="s">
        <v>2247</v>
      </c>
      <c r="B253" s="1852" t="s">
        <v>16</v>
      </c>
      <c r="C253" s="1852" t="s">
        <v>2852</v>
      </c>
      <c r="D253" s="1852" t="s">
        <v>2853</v>
      </c>
      <c r="E253" s="1852" t="s">
        <v>2854</v>
      </c>
      <c r="F253" s="1852" t="s">
        <v>2484</v>
      </c>
      <c r="G253" s="1852" t="s">
        <v>22</v>
      </c>
      <c r="H253" s="1852" t="s">
        <v>22</v>
      </c>
      <c r="I253" s="1852" t="s">
        <v>854</v>
      </c>
    </row>
    <row r="254" ht="11.25" customHeight="1">
      <c r="A254" s="1852" t="s">
        <v>2247</v>
      </c>
      <c r="B254" s="1852" t="s">
        <v>16</v>
      </c>
      <c r="C254" s="1852" t="s">
        <v>2855</v>
      </c>
      <c r="D254" s="1852" t="s">
        <v>2856</v>
      </c>
      <c r="E254" s="1852" t="s">
        <v>2857</v>
      </c>
      <c r="F254" s="1852" t="s">
        <v>2367</v>
      </c>
      <c r="G254" s="1852" t="s">
        <v>22</v>
      </c>
      <c r="H254" s="1852" t="s">
        <v>22</v>
      </c>
      <c r="I254" s="1852" t="s">
        <v>854</v>
      </c>
    </row>
    <row r="255" ht="11.25" customHeight="1">
      <c r="A255" s="1852" t="s">
        <v>2247</v>
      </c>
      <c r="B255" s="1852" t="s">
        <v>16</v>
      </c>
      <c r="C255" s="1852" t="s">
        <v>2858</v>
      </c>
      <c r="D255" s="1852" t="s">
        <v>2859</v>
      </c>
      <c r="E255" s="1852" t="s">
        <v>2860</v>
      </c>
      <c r="F255" s="1852" t="s">
        <v>2407</v>
      </c>
      <c r="G255" s="1852" t="s">
        <v>22</v>
      </c>
      <c r="H255" s="1852" t="s">
        <v>22</v>
      </c>
      <c r="I255" s="1852" t="s">
        <v>854</v>
      </c>
    </row>
    <row r="256" ht="11.25" customHeight="1">
      <c r="A256" s="1852" t="s">
        <v>2247</v>
      </c>
      <c r="B256" s="1852" t="s">
        <v>16</v>
      </c>
      <c r="C256" s="1852" t="s">
        <v>2861</v>
      </c>
      <c r="D256" s="1852" t="s">
        <v>2862</v>
      </c>
      <c r="E256" s="1852" t="s">
        <v>2863</v>
      </c>
      <c r="F256" s="1852" t="s">
        <v>2348</v>
      </c>
      <c r="G256" s="1852" t="s">
        <v>22</v>
      </c>
      <c r="H256" s="1852" t="s">
        <v>22</v>
      </c>
      <c r="I256" s="1852" t="s">
        <v>854</v>
      </c>
    </row>
    <row r="257" ht="11.25" customHeight="1">
      <c r="A257" s="1852" t="s">
        <v>2247</v>
      </c>
      <c r="B257" s="1852" t="s">
        <v>16</v>
      </c>
      <c r="C257" s="1852" t="s">
        <v>2864</v>
      </c>
      <c r="D257" s="1852" t="s">
        <v>2865</v>
      </c>
      <c r="E257" s="1852" t="s">
        <v>2866</v>
      </c>
      <c r="F257" s="1852" t="s">
        <v>2372</v>
      </c>
      <c r="G257" s="1852" t="s">
        <v>22</v>
      </c>
      <c r="H257" s="1852" t="s">
        <v>22</v>
      </c>
      <c r="I257" s="1852" t="s">
        <v>854</v>
      </c>
    </row>
    <row r="258" ht="11.25" customHeight="1">
      <c r="A258" s="1852" t="s">
        <v>2247</v>
      </c>
      <c r="B258" s="1852" t="s">
        <v>16</v>
      </c>
      <c r="C258" s="1852" t="s">
        <v>2867</v>
      </c>
      <c r="D258" s="1852" t="s">
        <v>2868</v>
      </c>
      <c r="E258" s="1852" t="s">
        <v>2869</v>
      </c>
      <c r="F258" s="1852" t="s">
        <v>2392</v>
      </c>
      <c r="G258" s="1852" t="s">
        <v>22</v>
      </c>
      <c r="H258" s="1852" t="s">
        <v>22</v>
      </c>
      <c r="I258" s="1852" t="s">
        <v>854</v>
      </c>
    </row>
    <row r="259" ht="11.25" customHeight="1">
      <c r="A259" s="1852" t="s">
        <v>2247</v>
      </c>
      <c r="B259" s="1852" t="s">
        <v>16</v>
      </c>
      <c r="C259" s="1852" t="s">
        <v>2522</v>
      </c>
      <c r="D259" s="1852" t="s">
        <v>2523</v>
      </c>
      <c r="E259" s="1852" t="s">
        <v>2524</v>
      </c>
      <c r="F259" s="1852" t="s">
        <v>2251</v>
      </c>
      <c r="G259" s="1852" t="s">
        <v>22</v>
      </c>
      <c r="H259" s="1852" t="s">
        <v>22</v>
      </c>
      <c r="I259" s="1852" t="s">
        <v>854</v>
      </c>
    </row>
    <row r="260" ht="11.25" customHeight="1">
      <c r="A260" s="1852" t="s">
        <v>2247</v>
      </c>
      <c r="B260" s="1852" t="s">
        <v>16</v>
      </c>
      <c r="C260" s="1852" t="s">
        <v>2870</v>
      </c>
      <c r="D260" s="1852" t="s">
        <v>2871</v>
      </c>
      <c r="E260" s="1852" t="s">
        <v>2872</v>
      </c>
      <c r="F260" s="1852" t="s">
        <v>2403</v>
      </c>
      <c r="G260" s="1852" t="s">
        <v>22</v>
      </c>
      <c r="H260" s="1852" t="s">
        <v>22</v>
      </c>
      <c r="I260" s="1852" t="s">
        <v>854</v>
      </c>
    </row>
    <row r="261" ht="11.25" customHeight="1">
      <c r="A261" s="1852" t="s">
        <v>2247</v>
      </c>
      <c r="B261" s="1852" t="s">
        <v>16</v>
      </c>
      <c r="C261" s="1852" t="s">
        <v>2535</v>
      </c>
      <c r="D261" s="1852" t="s">
        <v>2536</v>
      </c>
      <c r="E261" s="1852" t="s">
        <v>2537</v>
      </c>
      <c r="F261" s="1852" t="s">
        <v>2538</v>
      </c>
      <c r="G261" s="1852" t="s">
        <v>22</v>
      </c>
      <c r="H261" s="1852" t="s">
        <v>22</v>
      </c>
      <c r="I261" s="1852" t="s">
        <v>854</v>
      </c>
    </row>
    <row r="262" ht="11.25" customHeight="1">
      <c r="A262" s="1852" t="s">
        <v>2247</v>
      </c>
      <c r="B262" s="1852" t="s">
        <v>16</v>
      </c>
      <c r="C262" s="1852" t="s">
        <v>2873</v>
      </c>
      <c r="D262" s="1852" t="s">
        <v>2874</v>
      </c>
      <c r="E262" s="1852" t="s">
        <v>2875</v>
      </c>
      <c r="F262" s="1852" t="s">
        <v>2263</v>
      </c>
      <c r="G262" s="1852" t="s">
        <v>2876</v>
      </c>
      <c r="H262" s="1852" t="s">
        <v>22</v>
      </c>
      <c r="I262" s="1852" t="s">
        <v>854</v>
      </c>
    </row>
    <row r="263" ht="11.25" customHeight="1">
      <c r="A263" s="1852" t="s">
        <v>2247</v>
      </c>
      <c r="B263" s="1852" t="s">
        <v>16</v>
      </c>
      <c r="C263" s="1852" t="s">
        <v>2877</v>
      </c>
      <c r="D263" s="1852" t="s">
        <v>2878</v>
      </c>
      <c r="E263" s="1852" t="s">
        <v>2879</v>
      </c>
      <c r="F263" s="1852" t="s">
        <v>2311</v>
      </c>
      <c r="G263" s="1852" t="s">
        <v>22</v>
      </c>
      <c r="H263" s="1852" t="s">
        <v>22</v>
      </c>
      <c r="I263" s="1852" t="s">
        <v>854</v>
      </c>
    </row>
    <row r="264" ht="11.25" customHeight="1">
      <c r="A264" s="1852" t="s">
        <v>2247</v>
      </c>
      <c r="B264" s="1852" t="s">
        <v>16</v>
      </c>
      <c r="C264" s="1852" t="s">
        <v>2880</v>
      </c>
      <c r="D264" s="1852" t="s">
        <v>2881</v>
      </c>
      <c r="E264" s="1852" t="s">
        <v>2882</v>
      </c>
      <c r="F264" s="1852" t="s">
        <v>2387</v>
      </c>
      <c r="G264" s="1852" t="s">
        <v>22</v>
      </c>
      <c r="H264" s="1852" t="s">
        <v>22</v>
      </c>
      <c r="I264" s="1852" t="s">
        <v>854</v>
      </c>
    </row>
    <row r="265" ht="11.25" customHeight="1">
      <c r="A265" s="1852" t="s">
        <v>2247</v>
      </c>
      <c r="B265" s="1852" t="s">
        <v>16</v>
      </c>
      <c r="C265" s="1852" t="s">
        <v>2883</v>
      </c>
      <c r="D265" s="1852" t="s">
        <v>2884</v>
      </c>
      <c r="E265" s="1852" t="s">
        <v>2885</v>
      </c>
      <c r="F265" s="1852" t="s">
        <v>2367</v>
      </c>
      <c r="G265" s="1852" t="s">
        <v>22</v>
      </c>
      <c r="H265" s="1852" t="s">
        <v>22</v>
      </c>
      <c r="I265" s="1852" t="s">
        <v>854</v>
      </c>
    </row>
    <row r="266" ht="11.25" customHeight="1">
      <c r="A266" s="1852" t="s">
        <v>2247</v>
      </c>
      <c r="B266" s="1852" t="s">
        <v>16</v>
      </c>
      <c r="C266" s="1852" t="s">
        <v>2886</v>
      </c>
      <c r="D266" s="1852" t="s">
        <v>2887</v>
      </c>
      <c r="E266" s="1852" t="s">
        <v>2888</v>
      </c>
      <c r="F266" s="1852" t="s">
        <v>2251</v>
      </c>
      <c r="G266" s="1852" t="s">
        <v>22</v>
      </c>
      <c r="H266" s="1852" t="s">
        <v>22</v>
      </c>
      <c r="I266" s="1852" t="s">
        <v>854</v>
      </c>
    </row>
    <row r="267" ht="11.25" customHeight="1">
      <c r="A267" s="1852" t="s">
        <v>2247</v>
      </c>
      <c r="B267" s="1852" t="s">
        <v>16</v>
      </c>
      <c r="C267" s="1852" t="s">
        <v>2889</v>
      </c>
      <c r="D267" s="1852" t="s">
        <v>2890</v>
      </c>
      <c r="E267" s="1852" t="s">
        <v>2891</v>
      </c>
      <c r="F267" s="1852" t="s">
        <v>2542</v>
      </c>
      <c r="G267" s="1852" t="s">
        <v>22</v>
      </c>
      <c r="H267" s="1852" t="s">
        <v>22</v>
      </c>
      <c r="I267" s="1852" t="s">
        <v>854</v>
      </c>
    </row>
    <row r="268" ht="11.25" customHeight="1">
      <c r="A268" s="1852" t="s">
        <v>2247</v>
      </c>
      <c r="B268" s="1852" t="s">
        <v>16</v>
      </c>
      <c r="C268" s="1852" t="s">
        <v>2892</v>
      </c>
      <c r="D268" s="1852" t="s">
        <v>2893</v>
      </c>
      <c r="E268" s="1852" t="s">
        <v>2894</v>
      </c>
      <c r="F268" s="1852" t="s">
        <v>2704</v>
      </c>
      <c r="G268" s="1852" t="s">
        <v>2895</v>
      </c>
      <c r="H268" s="1852" t="s">
        <v>22</v>
      </c>
      <c r="I268" s="1852" t="s">
        <v>854</v>
      </c>
    </row>
    <row r="269" ht="11.25" customHeight="1">
      <c r="A269" s="1852" t="s">
        <v>2247</v>
      </c>
      <c r="B269" s="1852" t="s">
        <v>16</v>
      </c>
      <c r="C269" s="1852" t="s">
        <v>2896</v>
      </c>
      <c r="D269" s="1852" t="s">
        <v>2897</v>
      </c>
      <c r="E269" s="1852" t="s">
        <v>2898</v>
      </c>
      <c r="F269" s="1852" t="s">
        <v>2263</v>
      </c>
      <c r="G269" s="1852" t="s">
        <v>22</v>
      </c>
      <c r="H269" s="1852" t="s">
        <v>22</v>
      </c>
      <c r="I269" s="1852" t="s">
        <v>854</v>
      </c>
    </row>
    <row r="270" ht="11.25" customHeight="1">
      <c r="A270" s="1852" t="s">
        <v>2247</v>
      </c>
      <c r="B270" s="1852" t="s">
        <v>16</v>
      </c>
      <c r="C270" s="1852" t="s">
        <v>2899</v>
      </c>
      <c r="D270" s="1852" t="s">
        <v>2900</v>
      </c>
      <c r="E270" s="1852" t="s">
        <v>2901</v>
      </c>
      <c r="F270" s="1852" t="s">
        <v>2334</v>
      </c>
      <c r="G270" s="1852" t="s">
        <v>22</v>
      </c>
      <c r="H270" s="1852" t="s">
        <v>22</v>
      </c>
      <c r="I270" s="1852" t="s">
        <v>854</v>
      </c>
    </row>
    <row r="271" ht="11.25" customHeight="1">
      <c r="A271" s="1852" t="s">
        <v>2247</v>
      </c>
      <c r="B271" s="1852" t="s">
        <v>16</v>
      </c>
      <c r="C271" s="1852" t="s">
        <v>2902</v>
      </c>
      <c r="D271" s="1852" t="s">
        <v>2903</v>
      </c>
      <c r="E271" s="1852" t="s">
        <v>2904</v>
      </c>
      <c r="F271" s="1852" t="s">
        <v>2251</v>
      </c>
      <c r="G271" s="1852" t="s">
        <v>22</v>
      </c>
      <c r="H271" s="1852" t="s">
        <v>22</v>
      </c>
      <c r="I271" s="1852" t="s">
        <v>854</v>
      </c>
    </row>
    <row r="272" ht="11.25" customHeight="1">
      <c r="A272" s="1852" t="s">
        <v>2247</v>
      </c>
      <c r="B272" s="1852" t="s">
        <v>16</v>
      </c>
      <c r="C272" s="1852" t="s">
        <v>2905</v>
      </c>
      <c r="D272" s="1852" t="s">
        <v>2906</v>
      </c>
      <c r="E272" s="1852" t="s">
        <v>2907</v>
      </c>
      <c r="F272" s="1852" t="s">
        <v>2263</v>
      </c>
      <c r="G272" s="1852" t="s">
        <v>22</v>
      </c>
      <c r="H272" s="1852" t="s">
        <v>22</v>
      </c>
      <c r="I272" s="1852" t="s">
        <v>854</v>
      </c>
    </row>
    <row r="273" ht="11.25" customHeight="1">
      <c r="A273" s="1852" t="s">
        <v>2247</v>
      </c>
      <c r="B273" s="1852" t="s">
        <v>16</v>
      </c>
      <c r="C273" s="1852" t="s">
        <v>2908</v>
      </c>
      <c r="D273" s="1852" t="s">
        <v>2909</v>
      </c>
      <c r="E273" s="1852" t="s">
        <v>2910</v>
      </c>
      <c r="F273" s="1852" t="s">
        <v>2403</v>
      </c>
      <c r="G273" s="1852" t="s">
        <v>22</v>
      </c>
      <c r="H273" s="1852" t="s">
        <v>22</v>
      </c>
      <c r="I273" s="1852" t="s">
        <v>854</v>
      </c>
    </row>
    <row r="274" ht="11.25" customHeight="1">
      <c r="A274" s="1852" t="s">
        <v>2247</v>
      </c>
      <c r="B274" s="1852" t="s">
        <v>16</v>
      </c>
      <c r="C274" s="1852" t="s">
        <v>2911</v>
      </c>
      <c r="D274" s="1852" t="s">
        <v>2912</v>
      </c>
      <c r="E274" s="1852" t="s">
        <v>2913</v>
      </c>
      <c r="F274" s="1852" t="s">
        <v>2407</v>
      </c>
      <c r="G274" s="1852" t="s">
        <v>22</v>
      </c>
      <c r="H274" s="1852" t="s">
        <v>22</v>
      </c>
      <c r="I274" s="1852" t="s">
        <v>854</v>
      </c>
    </row>
    <row r="275" ht="11.25" customHeight="1">
      <c r="A275" s="1852" t="s">
        <v>2247</v>
      </c>
      <c r="B275" s="1852" t="s">
        <v>16</v>
      </c>
      <c r="C275" s="1852" t="s">
        <v>2914</v>
      </c>
      <c r="D275" s="1852" t="s">
        <v>2915</v>
      </c>
      <c r="E275" s="1852" t="s">
        <v>2916</v>
      </c>
      <c r="F275" s="1852" t="s">
        <v>2251</v>
      </c>
      <c r="G275" s="1852" t="s">
        <v>22</v>
      </c>
      <c r="H275" s="1852" t="s">
        <v>22</v>
      </c>
      <c r="I275" s="1852" t="s">
        <v>854</v>
      </c>
    </row>
    <row r="276" ht="11.25" customHeight="1">
      <c r="A276" s="1852" t="s">
        <v>2247</v>
      </c>
      <c r="B276" s="1852" t="s">
        <v>16</v>
      </c>
      <c r="C276" s="1852" t="s">
        <v>2577</v>
      </c>
      <c r="D276" s="1852" t="s">
        <v>2578</v>
      </c>
      <c r="E276" s="1852" t="s">
        <v>2424</v>
      </c>
      <c r="F276" s="1852" t="s">
        <v>2579</v>
      </c>
      <c r="G276" s="1852" t="s">
        <v>22</v>
      </c>
      <c r="H276" s="1852" t="s">
        <v>22</v>
      </c>
      <c r="I276" s="1852" t="s">
        <v>854</v>
      </c>
    </row>
    <row r="277" ht="11.25" customHeight="1">
      <c r="A277" s="1852" t="s">
        <v>2247</v>
      </c>
      <c r="B277" s="1852" t="s">
        <v>16</v>
      </c>
      <c r="C277" s="1852" t="s">
        <v>2917</v>
      </c>
      <c r="D277" s="1852" t="s">
        <v>2918</v>
      </c>
      <c r="E277" s="1852" t="s">
        <v>2919</v>
      </c>
      <c r="F277" s="1852" t="s">
        <v>2372</v>
      </c>
      <c r="G277" s="1852" t="s">
        <v>22</v>
      </c>
      <c r="H277" s="1852" t="s">
        <v>22</v>
      </c>
      <c r="I277" s="1852" t="s">
        <v>854</v>
      </c>
    </row>
    <row r="278" ht="11.25" customHeight="1">
      <c r="A278" s="1852" t="s">
        <v>2247</v>
      </c>
      <c r="B278" s="1852" t="s">
        <v>16</v>
      </c>
      <c r="C278" s="1852" t="s">
        <v>2920</v>
      </c>
      <c r="D278" s="1852" t="s">
        <v>2921</v>
      </c>
      <c r="E278" s="1852" t="s">
        <v>2922</v>
      </c>
      <c r="F278" s="1852" t="s">
        <v>2263</v>
      </c>
      <c r="G278" s="1852" t="s">
        <v>2923</v>
      </c>
      <c r="H278" s="1852" t="s">
        <v>22</v>
      </c>
      <c r="I278" s="1852" t="s">
        <v>854</v>
      </c>
    </row>
    <row r="279" ht="11.25" customHeight="1">
      <c r="A279" s="1852" t="s">
        <v>2247</v>
      </c>
      <c r="B279" s="1852" t="s">
        <v>16</v>
      </c>
      <c r="C279" s="1852" t="s">
        <v>2583</v>
      </c>
      <c r="D279" s="1852" t="s">
        <v>2584</v>
      </c>
      <c r="E279" s="1852" t="s">
        <v>2585</v>
      </c>
      <c r="F279" s="1852" t="s">
        <v>2586</v>
      </c>
      <c r="G279" s="1852" t="s">
        <v>22</v>
      </c>
      <c r="H279" s="1852" t="s">
        <v>22</v>
      </c>
      <c r="I279" s="1852" t="s">
        <v>854</v>
      </c>
    </row>
    <row r="280" ht="11.25" customHeight="1">
      <c r="A280" s="1852" t="s">
        <v>2247</v>
      </c>
      <c r="B280" s="1852" t="s">
        <v>16</v>
      </c>
      <c r="C280" s="1852" t="s">
        <v>2587</v>
      </c>
      <c r="D280" s="1852" t="s">
        <v>2588</v>
      </c>
      <c r="E280" s="1852" t="s">
        <v>2589</v>
      </c>
      <c r="F280" s="1852" t="s">
        <v>2334</v>
      </c>
      <c r="G280" s="1852" t="s">
        <v>22</v>
      </c>
      <c r="H280" s="1852" t="s">
        <v>22</v>
      </c>
      <c r="I280" s="1852" t="s">
        <v>854</v>
      </c>
    </row>
    <row r="281" ht="11.25" customHeight="1">
      <c r="A281" s="1852" t="s">
        <v>2247</v>
      </c>
      <c r="B281" s="1852" t="s">
        <v>16</v>
      </c>
      <c r="C281" s="1852" t="s">
        <v>2590</v>
      </c>
      <c r="D281" s="1852" t="s">
        <v>2591</v>
      </c>
      <c r="E281" s="1852" t="s">
        <v>2592</v>
      </c>
      <c r="F281" s="1852" t="s">
        <v>2358</v>
      </c>
      <c r="G281" s="1852" t="s">
        <v>22</v>
      </c>
      <c r="H281" s="1852" t="s">
        <v>22</v>
      </c>
      <c r="I281" s="1852" t="s">
        <v>854</v>
      </c>
    </row>
    <row r="282" ht="11.25" customHeight="1">
      <c r="A282" s="1852" t="s">
        <v>2247</v>
      </c>
      <c r="B282" s="1852" t="s">
        <v>16</v>
      </c>
      <c r="C282" s="1852" t="s">
        <v>2593</v>
      </c>
      <c r="D282" s="1852" t="s">
        <v>2594</v>
      </c>
      <c r="E282" s="1852" t="s">
        <v>2595</v>
      </c>
      <c r="F282" s="1852" t="s">
        <v>2251</v>
      </c>
      <c r="G282" s="1852" t="s">
        <v>22</v>
      </c>
      <c r="H282" s="1852" t="s">
        <v>22</v>
      </c>
      <c r="I282" s="1852" t="s">
        <v>854</v>
      </c>
    </row>
    <row r="283" ht="11.25" customHeight="1">
      <c r="A283" s="1852" t="s">
        <v>2247</v>
      </c>
      <c r="B283" s="1852" t="s">
        <v>16</v>
      </c>
      <c r="C283" s="1852" t="s">
        <v>2924</v>
      </c>
      <c r="D283" s="1852" t="s">
        <v>2925</v>
      </c>
      <c r="E283" s="1852" t="s">
        <v>2926</v>
      </c>
      <c r="F283" s="1852" t="s">
        <v>2288</v>
      </c>
      <c r="G283" s="1852" t="s">
        <v>2927</v>
      </c>
      <c r="H283" s="1852" t="s">
        <v>22</v>
      </c>
      <c r="I283" s="1852" t="s">
        <v>854</v>
      </c>
    </row>
    <row r="284" ht="11.25" customHeight="1">
      <c r="A284" s="1852" t="s">
        <v>2247</v>
      </c>
      <c r="B284" s="1852" t="s">
        <v>16</v>
      </c>
      <c r="C284" s="1852" t="s">
        <v>2596</v>
      </c>
      <c r="D284" s="1852" t="s">
        <v>2597</v>
      </c>
      <c r="E284" s="1852" t="s">
        <v>2598</v>
      </c>
      <c r="F284" s="1852" t="s">
        <v>2599</v>
      </c>
      <c r="G284" s="1852" t="s">
        <v>2600</v>
      </c>
      <c r="H284" s="1852" t="s">
        <v>22</v>
      </c>
      <c r="I284" s="1852" t="s">
        <v>854</v>
      </c>
    </row>
    <row r="285" ht="11.25" customHeight="1">
      <c r="A285" s="1852" t="s">
        <v>2247</v>
      </c>
      <c r="B285" s="1852" t="s">
        <v>16</v>
      </c>
      <c r="C285" s="1852" t="s">
        <v>2609</v>
      </c>
      <c r="D285" s="1852" t="s">
        <v>2610</v>
      </c>
      <c r="E285" s="1852" t="s">
        <v>2585</v>
      </c>
      <c r="F285" s="1852" t="s">
        <v>2611</v>
      </c>
      <c r="G285" s="1852" t="s">
        <v>22</v>
      </c>
      <c r="H285" s="1852" t="s">
        <v>22</v>
      </c>
      <c r="I285" s="1852" t="s">
        <v>854</v>
      </c>
    </row>
    <row r="286" ht="11.25" customHeight="1">
      <c r="A286" s="1852" t="s">
        <v>2247</v>
      </c>
      <c r="B286" s="1852" t="s">
        <v>16</v>
      </c>
      <c r="C286" s="1852" t="s">
        <v>2612</v>
      </c>
      <c r="D286" s="1852" t="s">
        <v>2613</v>
      </c>
      <c r="E286" s="1852" t="s">
        <v>2614</v>
      </c>
      <c r="F286" s="1852" t="s">
        <v>2615</v>
      </c>
      <c r="G286" s="1852" t="s">
        <v>2616</v>
      </c>
      <c r="H286" s="1852" t="s">
        <v>22</v>
      </c>
      <c r="I286" s="1852" t="s">
        <v>854</v>
      </c>
    </row>
    <row r="287" ht="11.25" customHeight="1">
      <c r="A287" s="1852" t="s">
        <v>2247</v>
      </c>
      <c r="B287" s="1852" t="s">
        <v>16</v>
      </c>
      <c r="C287" s="1852" t="s">
        <v>2617</v>
      </c>
      <c r="D287" s="1852" t="s">
        <v>2618</v>
      </c>
      <c r="E287" s="1852" t="s">
        <v>2619</v>
      </c>
      <c r="F287" s="1852" t="s">
        <v>2311</v>
      </c>
      <c r="G287" s="1852" t="s">
        <v>2620</v>
      </c>
      <c r="H287" s="1852" t="s">
        <v>22</v>
      </c>
      <c r="I287" s="1852" t="s">
        <v>854</v>
      </c>
    </row>
    <row r="288" ht="11.25" customHeight="1">
      <c r="A288" s="1852" t="s">
        <v>2247</v>
      </c>
      <c r="B288" s="1852" t="s">
        <v>16</v>
      </c>
      <c r="C288" s="1852" t="s">
        <v>2928</v>
      </c>
      <c r="D288" s="1852" t="s">
        <v>2929</v>
      </c>
      <c r="E288" s="1852" t="s">
        <v>2930</v>
      </c>
      <c r="F288" s="1852" t="s">
        <v>2538</v>
      </c>
      <c r="G288" s="1852" t="s">
        <v>22</v>
      </c>
      <c r="H288" s="1852" t="s">
        <v>22</v>
      </c>
      <c r="I288" s="1852" t="s">
        <v>854</v>
      </c>
    </row>
    <row r="289" ht="11.25" customHeight="1">
      <c r="A289" s="1852" t="s">
        <v>2247</v>
      </c>
      <c r="B289" s="1852" t="s">
        <v>16</v>
      </c>
      <c r="C289" s="1852" t="s">
        <v>2931</v>
      </c>
      <c r="D289" s="1852" t="s">
        <v>2932</v>
      </c>
      <c r="E289" s="1852" t="s">
        <v>2933</v>
      </c>
      <c r="F289" s="1852" t="s">
        <v>2538</v>
      </c>
      <c r="G289" s="1852" t="s">
        <v>22</v>
      </c>
      <c r="H289" s="1852" t="s">
        <v>22</v>
      </c>
      <c r="I289" s="1852" t="s">
        <v>854</v>
      </c>
    </row>
    <row r="290" ht="11.25" customHeight="1">
      <c r="A290" s="1852" t="s">
        <v>2247</v>
      </c>
      <c r="B290" s="1852" t="s">
        <v>16</v>
      </c>
      <c r="C290" s="1852" t="s">
        <v>2621</v>
      </c>
      <c r="D290" s="1852" t="s">
        <v>2622</v>
      </c>
      <c r="E290" s="1852" t="s">
        <v>2623</v>
      </c>
      <c r="F290" s="1852" t="s">
        <v>2624</v>
      </c>
      <c r="G290" s="1852" t="s">
        <v>22</v>
      </c>
      <c r="H290" s="1852" t="s">
        <v>22</v>
      </c>
      <c r="I290" s="1852" t="s">
        <v>854</v>
      </c>
    </row>
    <row r="291" ht="11.25" customHeight="1">
      <c r="A291" s="1852" t="s">
        <v>2247</v>
      </c>
      <c r="B291" s="1852" t="s">
        <v>16</v>
      </c>
      <c r="C291" s="1852" t="s">
        <v>13</v>
      </c>
      <c r="D291" s="1852" t="s">
        <v>46</v>
      </c>
      <c r="E291" s="1852" t="s">
        <v>49</v>
      </c>
      <c r="F291" s="1852" t="s">
        <v>51</v>
      </c>
      <c r="G291" s="1852" t="s">
        <v>2625</v>
      </c>
      <c r="H291" s="1852" t="s">
        <v>22</v>
      </c>
      <c r="I291" s="1852" t="s">
        <v>854</v>
      </c>
    </row>
    <row r="292" ht="11.25" customHeight="1">
      <c r="A292" s="1852" t="s">
        <v>2247</v>
      </c>
      <c r="B292" s="1852" t="s">
        <v>16</v>
      </c>
      <c r="C292" s="1852" t="s">
        <v>2626</v>
      </c>
      <c r="D292" s="1852" t="s">
        <v>2627</v>
      </c>
      <c r="E292" s="1852" t="s">
        <v>2628</v>
      </c>
      <c r="F292" s="1852" t="s">
        <v>2629</v>
      </c>
      <c r="G292" s="1852" t="s">
        <v>22</v>
      </c>
      <c r="H292" s="1852" t="s">
        <v>22</v>
      </c>
      <c r="I292" s="1852" t="s">
        <v>854</v>
      </c>
    </row>
    <row r="293" ht="11.25" customHeight="1">
      <c r="A293" s="1852" t="s">
        <v>2247</v>
      </c>
      <c r="B293" s="1852" t="s">
        <v>16</v>
      </c>
      <c r="C293" s="1852" t="s">
        <v>2256</v>
      </c>
      <c r="D293" s="1852" t="s">
        <v>2257</v>
      </c>
      <c r="E293" s="1852" t="s">
        <v>2258</v>
      </c>
      <c r="F293" s="1852" t="s">
        <v>2259</v>
      </c>
      <c r="G293" s="1852" t="s">
        <v>22</v>
      </c>
      <c r="H293" s="1852" t="s">
        <v>22</v>
      </c>
      <c r="I293" s="1852" t="s">
        <v>907</v>
      </c>
    </row>
    <row r="294" ht="11.25" customHeight="1">
      <c r="A294" s="1852" t="s">
        <v>2247</v>
      </c>
      <c r="B294" s="1852" t="s">
        <v>16</v>
      </c>
      <c r="C294" s="1852" t="s">
        <v>2934</v>
      </c>
      <c r="D294" s="1852" t="s">
        <v>2935</v>
      </c>
      <c r="E294" s="1852" t="s">
        <v>2936</v>
      </c>
      <c r="F294" s="1852" t="s">
        <v>2484</v>
      </c>
      <c r="G294" s="1852" t="s">
        <v>22</v>
      </c>
      <c r="H294" s="1852" t="s">
        <v>22</v>
      </c>
      <c r="I294" s="1852" t="s">
        <v>907</v>
      </c>
    </row>
    <row r="295" ht="11.25" customHeight="1">
      <c r="A295" s="1852" t="s">
        <v>2247</v>
      </c>
      <c r="B295" s="1852" t="s">
        <v>16</v>
      </c>
      <c r="C295" s="1852" t="s">
        <v>2937</v>
      </c>
      <c r="D295" s="1852" t="s">
        <v>2938</v>
      </c>
      <c r="E295" s="1852" t="s">
        <v>2939</v>
      </c>
      <c r="F295" s="1852" t="s">
        <v>2263</v>
      </c>
      <c r="G295" s="1852" t="s">
        <v>2940</v>
      </c>
      <c r="H295" s="1852" t="s">
        <v>22</v>
      </c>
      <c r="I295" s="1852" t="s">
        <v>907</v>
      </c>
    </row>
    <row r="296" ht="11.25" customHeight="1">
      <c r="A296" s="1852" t="s">
        <v>2247</v>
      </c>
      <c r="B296" s="1852" t="s">
        <v>16</v>
      </c>
      <c r="C296" s="1852" t="s">
        <v>2264</v>
      </c>
      <c r="D296" s="1852" t="s">
        <v>2265</v>
      </c>
      <c r="E296" s="1852" t="s">
        <v>2266</v>
      </c>
      <c r="F296" s="1852" t="s">
        <v>2267</v>
      </c>
      <c r="G296" s="1852" t="s">
        <v>2268</v>
      </c>
      <c r="H296" s="1852" t="s">
        <v>22</v>
      </c>
      <c r="I296" s="1852" t="s">
        <v>907</v>
      </c>
    </row>
    <row r="297" ht="11.25" customHeight="1">
      <c r="A297" s="1852" t="s">
        <v>2247</v>
      </c>
      <c r="B297" s="1852" t="s">
        <v>16</v>
      </c>
      <c r="C297" s="1852" t="s">
        <v>2269</v>
      </c>
      <c r="D297" s="1852" t="s">
        <v>2270</v>
      </c>
      <c r="E297" s="1852" t="s">
        <v>2271</v>
      </c>
      <c r="F297" s="1852" t="s">
        <v>2263</v>
      </c>
      <c r="G297" s="1852" t="s">
        <v>22</v>
      </c>
      <c r="H297" s="1852" t="s">
        <v>22</v>
      </c>
      <c r="I297" s="1852" t="s">
        <v>907</v>
      </c>
    </row>
    <row r="298" ht="11.25" customHeight="1">
      <c r="A298" s="1852" t="s">
        <v>2247</v>
      </c>
      <c r="B298" s="1852" t="s">
        <v>16</v>
      </c>
      <c r="C298" s="1852" t="s">
        <v>2941</v>
      </c>
      <c r="D298" s="1852" t="s">
        <v>2942</v>
      </c>
      <c r="E298" s="1852" t="s">
        <v>2943</v>
      </c>
      <c r="F298" s="1852" t="s">
        <v>2288</v>
      </c>
      <c r="G298" s="1852" t="s">
        <v>22</v>
      </c>
      <c r="H298" s="1852" t="s">
        <v>22</v>
      </c>
      <c r="I298" s="1852" t="s">
        <v>907</v>
      </c>
    </row>
    <row r="299" ht="11.25" customHeight="1">
      <c r="A299" s="1852" t="s">
        <v>2247</v>
      </c>
      <c r="B299" s="1852" t="s">
        <v>16</v>
      </c>
      <c r="C299" s="1852" t="s">
        <v>2639</v>
      </c>
      <c r="D299" s="1852" t="s">
        <v>2640</v>
      </c>
      <c r="E299" s="1852" t="s">
        <v>2641</v>
      </c>
      <c r="F299" s="1852" t="s">
        <v>2396</v>
      </c>
      <c r="G299" s="1852" t="s">
        <v>22</v>
      </c>
      <c r="H299" s="1852" t="s">
        <v>22</v>
      </c>
      <c r="I299" s="1852" t="s">
        <v>907</v>
      </c>
    </row>
    <row r="300" ht="11.25" customHeight="1">
      <c r="A300" s="1852" t="s">
        <v>2247</v>
      </c>
      <c r="B300" s="1852" t="s">
        <v>16</v>
      </c>
      <c r="C300" s="1852" t="s">
        <v>22</v>
      </c>
      <c r="D300" s="1852" t="s">
        <v>2296</v>
      </c>
      <c r="E300" s="1852" t="s">
        <v>2297</v>
      </c>
      <c r="F300" s="1852" t="s">
        <v>2263</v>
      </c>
      <c r="G300" s="1852" t="s">
        <v>22</v>
      </c>
      <c r="H300" s="1852" t="s">
        <v>22</v>
      </c>
      <c r="I300" s="1852" t="s">
        <v>907</v>
      </c>
    </row>
    <row r="301" ht="11.25" customHeight="1">
      <c r="A301" s="1852" t="s">
        <v>2247</v>
      </c>
      <c r="B301" s="1852" t="s">
        <v>16</v>
      </c>
      <c r="C301" s="1852" t="s">
        <v>2298</v>
      </c>
      <c r="D301" s="1852" t="s">
        <v>2299</v>
      </c>
      <c r="E301" s="1852" t="s">
        <v>2300</v>
      </c>
      <c r="F301" s="1852" t="s">
        <v>2301</v>
      </c>
      <c r="G301" s="1852" t="s">
        <v>22</v>
      </c>
      <c r="H301" s="1852" t="s">
        <v>22</v>
      </c>
      <c r="I301" s="1852" t="s">
        <v>907</v>
      </c>
    </row>
    <row r="302" ht="11.25" customHeight="1">
      <c r="A302" s="1852" t="s">
        <v>2247</v>
      </c>
      <c r="B302" s="1852" t="s">
        <v>16</v>
      </c>
      <c r="C302" s="1852" t="s">
        <v>2658</v>
      </c>
      <c r="D302" s="1852" t="s">
        <v>2659</v>
      </c>
      <c r="E302" s="1852" t="s">
        <v>2660</v>
      </c>
      <c r="F302" s="1852" t="s">
        <v>2288</v>
      </c>
      <c r="G302" s="1852" t="s">
        <v>22</v>
      </c>
      <c r="H302" s="1852" t="s">
        <v>2661</v>
      </c>
      <c r="I302" s="1852" t="s">
        <v>907</v>
      </c>
    </row>
    <row r="303" ht="11.25" customHeight="1">
      <c r="A303" s="1852" t="s">
        <v>2247</v>
      </c>
      <c r="B303" s="1852" t="s">
        <v>16</v>
      </c>
      <c r="C303" s="1852" t="s">
        <v>2308</v>
      </c>
      <c r="D303" s="1852" t="s">
        <v>2309</v>
      </c>
      <c r="E303" s="1852" t="s">
        <v>2310</v>
      </c>
      <c r="F303" s="1852" t="s">
        <v>2311</v>
      </c>
      <c r="G303" s="1852" t="s">
        <v>22</v>
      </c>
      <c r="H303" s="1852" t="s">
        <v>22</v>
      </c>
      <c r="I303" s="1852" t="s">
        <v>907</v>
      </c>
    </row>
    <row r="304" ht="11.25" customHeight="1">
      <c r="A304" s="1852" t="s">
        <v>2247</v>
      </c>
      <c r="B304" s="1852" t="s">
        <v>16</v>
      </c>
      <c r="C304" s="1852" t="s">
        <v>2674</v>
      </c>
      <c r="D304" s="1852" t="s">
        <v>2675</v>
      </c>
      <c r="E304" s="1852" t="s">
        <v>2676</v>
      </c>
      <c r="F304" s="1852" t="s">
        <v>2677</v>
      </c>
      <c r="G304" s="1852" t="s">
        <v>2678</v>
      </c>
      <c r="H304" s="1852" t="s">
        <v>22</v>
      </c>
      <c r="I304" s="1852" t="s">
        <v>907</v>
      </c>
    </row>
    <row r="305" ht="11.25" customHeight="1">
      <c r="A305" s="1852" t="s">
        <v>2247</v>
      </c>
      <c r="B305" s="1852" t="s">
        <v>16</v>
      </c>
      <c r="C305" s="1852" t="s">
        <v>2944</v>
      </c>
      <c r="D305" s="1852" t="s">
        <v>2945</v>
      </c>
      <c r="E305" s="1852" t="s">
        <v>2946</v>
      </c>
      <c r="F305" s="1852" t="s">
        <v>2599</v>
      </c>
      <c r="G305" s="1852" t="s">
        <v>2947</v>
      </c>
      <c r="H305" s="1852" t="s">
        <v>2691</v>
      </c>
      <c r="I305" s="1852" t="s">
        <v>907</v>
      </c>
    </row>
    <row r="306" ht="11.25" customHeight="1">
      <c r="A306" s="1852" t="s">
        <v>2247</v>
      </c>
      <c r="B306" s="1852" t="s">
        <v>16</v>
      </c>
      <c r="C306" s="1852" t="s">
        <v>2679</v>
      </c>
      <c r="D306" s="1852" t="s">
        <v>2680</v>
      </c>
      <c r="E306" s="1852" t="s">
        <v>2681</v>
      </c>
      <c r="F306" s="1852" t="s">
        <v>2387</v>
      </c>
      <c r="G306" s="1852" t="s">
        <v>2682</v>
      </c>
      <c r="H306" s="1852" t="s">
        <v>22</v>
      </c>
      <c r="I306" s="1852" t="s">
        <v>907</v>
      </c>
    </row>
    <row r="307" ht="11.25" customHeight="1">
      <c r="A307" s="1852" t="s">
        <v>2247</v>
      </c>
      <c r="B307" s="1852" t="s">
        <v>16</v>
      </c>
      <c r="C307" s="1852" t="s">
        <v>2312</v>
      </c>
      <c r="D307" s="1852" t="s">
        <v>2313</v>
      </c>
      <c r="E307" s="1852" t="s">
        <v>2314</v>
      </c>
      <c r="F307" s="1852" t="s">
        <v>2315</v>
      </c>
      <c r="G307" s="1852" t="s">
        <v>2316</v>
      </c>
      <c r="H307" s="1852" t="s">
        <v>22</v>
      </c>
      <c r="I307" s="1852" t="s">
        <v>907</v>
      </c>
    </row>
    <row r="308" ht="11.25" customHeight="1">
      <c r="A308" s="1852" t="s">
        <v>2247</v>
      </c>
      <c r="B308" s="1852" t="s">
        <v>16</v>
      </c>
      <c r="C308" s="1852" t="s">
        <v>2692</v>
      </c>
      <c r="D308" s="1852" t="s">
        <v>2693</v>
      </c>
      <c r="E308" s="1852" t="s">
        <v>2694</v>
      </c>
      <c r="F308" s="1852" t="s">
        <v>2695</v>
      </c>
      <c r="G308" s="1852" t="s">
        <v>2696</v>
      </c>
      <c r="H308" s="1852" t="s">
        <v>22</v>
      </c>
      <c r="I308" s="1852" t="s">
        <v>907</v>
      </c>
    </row>
    <row r="309" ht="11.25" customHeight="1">
      <c r="A309" s="1852" t="s">
        <v>2247</v>
      </c>
      <c r="B309" s="1852" t="s">
        <v>16</v>
      </c>
      <c r="C309" s="1852" t="s">
        <v>2697</v>
      </c>
      <c r="D309" s="1852" t="s">
        <v>2698</v>
      </c>
      <c r="E309" s="1852" t="s">
        <v>2699</v>
      </c>
      <c r="F309" s="1852" t="s">
        <v>2538</v>
      </c>
      <c r="G309" s="1852" t="s">
        <v>2700</v>
      </c>
      <c r="H309" s="1852" t="s">
        <v>22</v>
      </c>
      <c r="I309" s="1852" t="s">
        <v>907</v>
      </c>
    </row>
    <row r="310" ht="11.25" customHeight="1">
      <c r="A310" s="1852" t="s">
        <v>2247</v>
      </c>
      <c r="B310" s="1852" t="s">
        <v>16</v>
      </c>
      <c r="C310" s="1852" t="s">
        <v>2317</v>
      </c>
      <c r="D310" s="1852" t="s">
        <v>2318</v>
      </c>
      <c r="E310" s="1852" t="s">
        <v>2319</v>
      </c>
      <c r="F310" s="1852" t="s">
        <v>2320</v>
      </c>
      <c r="G310" s="1852" t="s">
        <v>2321</v>
      </c>
      <c r="H310" s="1852" t="s">
        <v>22</v>
      </c>
      <c r="I310" s="1852" t="s">
        <v>907</v>
      </c>
    </row>
    <row r="311" ht="11.25" customHeight="1">
      <c r="A311" s="1852" t="s">
        <v>2247</v>
      </c>
      <c r="B311" s="1852" t="s">
        <v>16</v>
      </c>
      <c r="C311" s="1852" t="s">
        <v>2326</v>
      </c>
      <c r="D311" s="1852" t="s">
        <v>2327</v>
      </c>
      <c r="E311" s="1852" t="s">
        <v>2328</v>
      </c>
      <c r="F311" s="1852" t="s">
        <v>2329</v>
      </c>
      <c r="G311" s="1852" t="s">
        <v>2330</v>
      </c>
      <c r="H311" s="1852" t="s">
        <v>22</v>
      </c>
      <c r="I311" s="1852" t="s">
        <v>907</v>
      </c>
    </row>
    <row r="312" ht="11.25" customHeight="1">
      <c r="A312" s="1852" t="s">
        <v>2247</v>
      </c>
      <c r="B312" s="1852" t="s">
        <v>16</v>
      </c>
      <c r="C312" s="1852" t="s">
        <v>2331</v>
      </c>
      <c r="D312" s="1852" t="s">
        <v>2332</v>
      </c>
      <c r="E312" s="1852" t="s">
        <v>2333</v>
      </c>
      <c r="F312" s="1852" t="s">
        <v>2334</v>
      </c>
      <c r="G312" s="1852" t="s">
        <v>2335</v>
      </c>
      <c r="H312" s="1852" t="s">
        <v>22</v>
      </c>
      <c r="I312" s="1852" t="s">
        <v>907</v>
      </c>
    </row>
    <row r="313" ht="11.25" customHeight="1">
      <c r="A313" s="1852" t="s">
        <v>2247</v>
      </c>
      <c r="B313" s="1852" t="s">
        <v>16</v>
      </c>
      <c r="C313" s="1852" t="s">
        <v>2336</v>
      </c>
      <c r="D313" s="1852" t="s">
        <v>2337</v>
      </c>
      <c r="E313" s="1852" t="s">
        <v>2338</v>
      </c>
      <c r="F313" s="1852" t="s">
        <v>2339</v>
      </c>
      <c r="G313" s="1852" t="s">
        <v>2340</v>
      </c>
      <c r="H313" s="1852" t="s">
        <v>22</v>
      </c>
      <c r="I313" s="1852" t="s">
        <v>907</v>
      </c>
    </row>
    <row r="314" ht="11.25" customHeight="1">
      <c r="A314" s="1852" t="s">
        <v>2247</v>
      </c>
      <c r="B314" s="1852" t="s">
        <v>16</v>
      </c>
      <c r="C314" s="1852" t="s">
        <v>2706</v>
      </c>
      <c r="D314" s="1852" t="s">
        <v>2707</v>
      </c>
      <c r="E314" s="1852" t="s">
        <v>2708</v>
      </c>
      <c r="F314" s="1852" t="s">
        <v>2387</v>
      </c>
      <c r="G314" s="1852" t="s">
        <v>22</v>
      </c>
      <c r="H314" s="1852" t="s">
        <v>22</v>
      </c>
      <c r="I314" s="1852" t="s">
        <v>907</v>
      </c>
    </row>
    <row r="315" ht="11.25" customHeight="1">
      <c r="A315" s="1852" t="s">
        <v>2247</v>
      </c>
      <c r="B315" s="1852" t="s">
        <v>16</v>
      </c>
      <c r="C315" s="1852" t="s">
        <v>2341</v>
      </c>
      <c r="D315" s="1852" t="s">
        <v>2342</v>
      </c>
      <c r="E315" s="1852" t="s">
        <v>2343</v>
      </c>
      <c r="F315" s="1852" t="s">
        <v>2267</v>
      </c>
      <c r="G315" s="1852" t="s">
        <v>2344</v>
      </c>
      <c r="H315" s="1852" t="s">
        <v>22</v>
      </c>
      <c r="I315" s="1852" t="s">
        <v>907</v>
      </c>
    </row>
    <row r="316" ht="11.25" customHeight="1">
      <c r="A316" s="1852" t="s">
        <v>2247</v>
      </c>
      <c r="B316" s="1852" t="s">
        <v>16</v>
      </c>
      <c r="C316" s="1852" t="s">
        <v>2709</v>
      </c>
      <c r="D316" s="1852" t="s">
        <v>2710</v>
      </c>
      <c r="E316" s="1852" t="s">
        <v>2711</v>
      </c>
      <c r="F316" s="1852" t="s">
        <v>2484</v>
      </c>
      <c r="G316" s="1852" t="s">
        <v>2712</v>
      </c>
      <c r="H316" s="1852" t="s">
        <v>22</v>
      </c>
      <c r="I316" s="1852" t="s">
        <v>907</v>
      </c>
    </row>
    <row r="317" ht="11.25" customHeight="1">
      <c r="A317" s="1852" t="s">
        <v>2247</v>
      </c>
      <c r="B317" s="1852" t="s">
        <v>16</v>
      </c>
      <c r="C317" s="1852" t="s">
        <v>2345</v>
      </c>
      <c r="D317" s="1852" t="s">
        <v>2346</v>
      </c>
      <c r="E317" s="1852" t="s">
        <v>2347</v>
      </c>
      <c r="F317" s="1852" t="s">
        <v>2348</v>
      </c>
      <c r="G317" s="1852" t="s">
        <v>2349</v>
      </c>
      <c r="H317" s="1852" t="s">
        <v>22</v>
      </c>
      <c r="I317" s="1852" t="s">
        <v>907</v>
      </c>
    </row>
    <row r="318" ht="11.25" customHeight="1">
      <c r="A318" s="1852" t="s">
        <v>2247</v>
      </c>
      <c r="B318" s="1852" t="s">
        <v>16</v>
      </c>
      <c r="C318" s="1852" t="s">
        <v>2713</v>
      </c>
      <c r="D318" s="1852" t="s">
        <v>2714</v>
      </c>
      <c r="E318" s="1852" t="s">
        <v>2715</v>
      </c>
      <c r="F318" s="1852" t="s">
        <v>2353</v>
      </c>
      <c r="G318" s="1852" t="s">
        <v>2716</v>
      </c>
      <c r="H318" s="1852" t="s">
        <v>22</v>
      </c>
      <c r="I318" s="1852" t="s">
        <v>907</v>
      </c>
    </row>
    <row r="319" ht="11.25" customHeight="1">
      <c r="A319" s="1852" t="s">
        <v>2247</v>
      </c>
      <c r="B319" s="1852" t="s">
        <v>16</v>
      </c>
      <c r="C319" s="1852" t="s">
        <v>2717</v>
      </c>
      <c r="D319" s="1852" t="s">
        <v>2718</v>
      </c>
      <c r="E319" s="1852" t="s">
        <v>2719</v>
      </c>
      <c r="F319" s="1852" t="s">
        <v>2353</v>
      </c>
      <c r="G319" s="1852" t="s">
        <v>22</v>
      </c>
      <c r="H319" s="1852" t="s">
        <v>22</v>
      </c>
      <c r="I319" s="1852" t="s">
        <v>907</v>
      </c>
    </row>
    <row r="320" ht="11.25" customHeight="1">
      <c r="A320" s="1852" t="s">
        <v>2247</v>
      </c>
      <c r="B320" s="1852" t="s">
        <v>16</v>
      </c>
      <c r="C320" s="1852" t="s">
        <v>2350</v>
      </c>
      <c r="D320" s="1852" t="s">
        <v>2351</v>
      </c>
      <c r="E320" s="1852" t="s">
        <v>2352</v>
      </c>
      <c r="F320" s="1852" t="s">
        <v>2353</v>
      </c>
      <c r="G320" s="1852" t="s">
        <v>2354</v>
      </c>
      <c r="H320" s="1852" t="s">
        <v>22</v>
      </c>
      <c r="I320" s="1852" t="s">
        <v>907</v>
      </c>
    </row>
    <row r="321" ht="11.25" customHeight="1">
      <c r="A321" s="1852" t="s">
        <v>2247</v>
      </c>
      <c r="B321" s="1852" t="s">
        <v>16</v>
      </c>
      <c r="C321" s="1852" t="s">
        <v>2355</v>
      </c>
      <c r="D321" s="1852" t="s">
        <v>2356</v>
      </c>
      <c r="E321" s="1852" t="s">
        <v>2357</v>
      </c>
      <c r="F321" s="1852" t="s">
        <v>2358</v>
      </c>
      <c r="G321" s="1852" t="s">
        <v>22</v>
      </c>
      <c r="H321" s="1852" t="s">
        <v>22</v>
      </c>
      <c r="I321" s="1852" t="s">
        <v>907</v>
      </c>
    </row>
    <row r="322" ht="11.25" customHeight="1">
      <c r="A322" s="1852" t="s">
        <v>2247</v>
      </c>
      <c r="B322" s="1852" t="s">
        <v>16</v>
      </c>
      <c r="C322" s="1852" t="s">
        <v>2364</v>
      </c>
      <c r="D322" s="1852" t="s">
        <v>2365</v>
      </c>
      <c r="E322" s="1852" t="s">
        <v>2366</v>
      </c>
      <c r="F322" s="1852" t="s">
        <v>2367</v>
      </c>
      <c r="G322" s="1852" t="s">
        <v>2368</v>
      </c>
      <c r="H322" s="1852" t="s">
        <v>22</v>
      </c>
      <c r="I322" s="1852" t="s">
        <v>907</v>
      </c>
    </row>
    <row r="323" ht="11.25" customHeight="1">
      <c r="A323" s="1852" t="s">
        <v>2247</v>
      </c>
      <c r="B323" s="1852" t="s">
        <v>16</v>
      </c>
      <c r="C323" s="1852" t="s">
        <v>2720</v>
      </c>
      <c r="D323" s="1852" t="s">
        <v>2721</v>
      </c>
      <c r="E323" s="1852" t="s">
        <v>2722</v>
      </c>
      <c r="F323" s="1852" t="s">
        <v>2599</v>
      </c>
      <c r="G323" s="1852" t="s">
        <v>2723</v>
      </c>
      <c r="H323" s="1852" t="s">
        <v>22</v>
      </c>
      <c r="I323" s="1852" t="s">
        <v>907</v>
      </c>
    </row>
    <row r="324" ht="11.25" customHeight="1">
      <c r="A324" s="1852" t="s">
        <v>2247</v>
      </c>
      <c r="B324" s="1852" t="s">
        <v>16</v>
      </c>
      <c r="C324" s="1852" t="s">
        <v>2374</v>
      </c>
      <c r="D324" s="1852" t="s">
        <v>2375</v>
      </c>
      <c r="E324" s="1852" t="s">
        <v>2376</v>
      </c>
      <c r="F324" s="1852" t="s">
        <v>2377</v>
      </c>
      <c r="G324" s="1852" t="s">
        <v>2378</v>
      </c>
      <c r="H324" s="1852" t="s">
        <v>22</v>
      </c>
      <c r="I324" s="1852" t="s">
        <v>907</v>
      </c>
    </row>
    <row r="325" ht="11.25" customHeight="1">
      <c r="A325" s="1852" t="s">
        <v>2247</v>
      </c>
      <c r="B325" s="1852" t="s">
        <v>16</v>
      </c>
      <c r="C325" s="1852" t="s">
        <v>2724</v>
      </c>
      <c r="D325" s="1852" t="s">
        <v>2725</v>
      </c>
      <c r="E325" s="1852" t="s">
        <v>2726</v>
      </c>
      <c r="F325" s="1852" t="s">
        <v>2412</v>
      </c>
      <c r="G325" s="1852" t="s">
        <v>2727</v>
      </c>
      <c r="H325" s="1852" t="s">
        <v>22</v>
      </c>
      <c r="I325" s="1852" t="s">
        <v>907</v>
      </c>
    </row>
    <row r="326" ht="11.25" customHeight="1">
      <c r="A326" s="1852" t="s">
        <v>2247</v>
      </c>
      <c r="B326" s="1852" t="s">
        <v>16</v>
      </c>
      <c r="C326" s="1852" t="s">
        <v>2728</v>
      </c>
      <c r="D326" s="1852" t="s">
        <v>2729</v>
      </c>
      <c r="E326" s="1852" t="s">
        <v>2730</v>
      </c>
      <c r="F326" s="1852" t="s">
        <v>2599</v>
      </c>
      <c r="G326" s="1852" t="s">
        <v>2731</v>
      </c>
      <c r="H326" s="1852" t="s">
        <v>22</v>
      </c>
      <c r="I326" s="1852" t="s">
        <v>907</v>
      </c>
    </row>
    <row r="327" ht="11.25" customHeight="1">
      <c r="A327" s="1852" t="s">
        <v>2247</v>
      </c>
      <c r="B327" s="1852" t="s">
        <v>16</v>
      </c>
      <c r="C327" s="1852" t="s">
        <v>2732</v>
      </c>
      <c r="D327" s="1852" t="s">
        <v>2733</v>
      </c>
      <c r="E327" s="1852" t="s">
        <v>2734</v>
      </c>
      <c r="F327" s="1852" t="s">
        <v>2339</v>
      </c>
      <c r="G327" s="1852" t="s">
        <v>2735</v>
      </c>
      <c r="H327" s="1852" t="s">
        <v>22</v>
      </c>
      <c r="I327" s="1852" t="s">
        <v>907</v>
      </c>
    </row>
    <row r="328" ht="11.25" customHeight="1">
      <c r="A328" s="1852" t="s">
        <v>2247</v>
      </c>
      <c r="B328" s="1852" t="s">
        <v>16</v>
      </c>
      <c r="C328" s="1852" t="s">
        <v>2736</v>
      </c>
      <c r="D328" s="1852" t="s">
        <v>2737</v>
      </c>
      <c r="E328" s="1852" t="s">
        <v>2738</v>
      </c>
      <c r="F328" s="1852" t="s">
        <v>2348</v>
      </c>
      <c r="G328" s="1852" t="s">
        <v>2739</v>
      </c>
      <c r="H328" s="1852" t="s">
        <v>22</v>
      </c>
      <c r="I328" s="1852" t="s">
        <v>907</v>
      </c>
    </row>
    <row r="329" ht="11.25" customHeight="1">
      <c r="A329" s="1852" t="s">
        <v>2247</v>
      </c>
      <c r="B329" s="1852" t="s">
        <v>16</v>
      </c>
      <c r="C329" s="1852" t="s">
        <v>2384</v>
      </c>
      <c r="D329" s="1852" t="s">
        <v>2385</v>
      </c>
      <c r="E329" s="1852" t="s">
        <v>2386</v>
      </c>
      <c r="F329" s="1852" t="s">
        <v>2387</v>
      </c>
      <c r="G329" s="1852" t="s">
        <v>2388</v>
      </c>
      <c r="H329" s="1852" t="s">
        <v>22</v>
      </c>
      <c r="I329" s="1852" t="s">
        <v>907</v>
      </c>
    </row>
    <row r="330" ht="11.25" customHeight="1">
      <c r="A330" s="1852" t="s">
        <v>2247</v>
      </c>
      <c r="B330" s="1852" t="s">
        <v>16</v>
      </c>
      <c r="C330" s="1852" t="s">
        <v>2393</v>
      </c>
      <c r="D330" s="1852" t="s">
        <v>2394</v>
      </c>
      <c r="E330" s="1852" t="s">
        <v>2395</v>
      </c>
      <c r="F330" s="1852" t="s">
        <v>2396</v>
      </c>
      <c r="G330" s="1852" t="s">
        <v>22</v>
      </c>
      <c r="H330" s="1852" t="s">
        <v>22</v>
      </c>
      <c r="I330" s="1852" t="s">
        <v>907</v>
      </c>
    </row>
    <row r="331" ht="11.25" customHeight="1">
      <c r="A331" s="1852" t="s">
        <v>2247</v>
      </c>
      <c r="B331" s="1852" t="s">
        <v>16</v>
      </c>
      <c r="C331" s="1852" t="s">
        <v>2740</v>
      </c>
      <c r="D331" s="1852" t="s">
        <v>2741</v>
      </c>
      <c r="E331" s="1852" t="s">
        <v>2742</v>
      </c>
      <c r="F331" s="1852" t="s">
        <v>2542</v>
      </c>
      <c r="G331" s="1852" t="s">
        <v>2743</v>
      </c>
      <c r="H331" s="1852" t="s">
        <v>22</v>
      </c>
      <c r="I331" s="1852" t="s">
        <v>907</v>
      </c>
    </row>
    <row r="332" ht="11.25" customHeight="1">
      <c r="A332" s="1852" t="s">
        <v>2247</v>
      </c>
      <c r="B332" s="1852" t="s">
        <v>16</v>
      </c>
      <c r="C332" s="1852" t="s">
        <v>2397</v>
      </c>
      <c r="D332" s="1852" t="s">
        <v>2398</v>
      </c>
      <c r="E332" s="1852" t="s">
        <v>2399</v>
      </c>
      <c r="F332" s="1852" t="s">
        <v>2358</v>
      </c>
      <c r="G332" s="1852" t="s">
        <v>22</v>
      </c>
      <c r="H332" s="1852" t="s">
        <v>22</v>
      </c>
      <c r="I332" s="1852" t="s">
        <v>907</v>
      </c>
    </row>
    <row r="333" ht="11.25" customHeight="1">
      <c r="A333" s="1852" t="s">
        <v>2247</v>
      </c>
      <c r="B333" s="1852" t="s">
        <v>16</v>
      </c>
      <c r="C333" s="1852" t="s">
        <v>2400</v>
      </c>
      <c r="D333" s="1852" t="s">
        <v>2401</v>
      </c>
      <c r="E333" s="1852" t="s">
        <v>2402</v>
      </c>
      <c r="F333" s="1852" t="s">
        <v>2403</v>
      </c>
      <c r="G333" s="1852" t="s">
        <v>2330</v>
      </c>
      <c r="H333" s="1852" t="s">
        <v>22</v>
      </c>
      <c r="I333" s="1852" t="s">
        <v>907</v>
      </c>
    </row>
    <row r="334" ht="11.25" customHeight="1">
      <c r="A334" s="1852" t="s">
        <v>2247</v>
      </c>
      <c r="B334" s="1852" t="s">
        <v>16</v>
      </c>
      <c r="C334" s="1852" t="s">
        <v>2744</v>
      </c>
      <c r="D334" s="1852" t="s">
        <v>2745</v>
      </c>
      <c r="E334" s="1852" t="s">
        <v>2746</v>
      </c>
      <c r="F334" s="1852" t="s">
        <v>2288</v>
      </c>
      <c r="G334" s="1852" t="s">
        <v>2747</v>
      </c>
      <c r="H334" s="1852" t="s">
        <v>22</v>
      </c>
      <c r="I334" s="1852" t="s">
        <v>907</v>
      </c>
    </row>
    <row r="335" ht="11.25" customHeight="1">
      <c r="A335" s="1852" t="s">
        <v>2247</v>
      </c>
      <c r="B335" s="1852" t="s">
        <v>16</v>
      </c>
      <c r="C335" s="1852" t="s">
        <v>2754</v>
      </c>
      <c r="D335" s="1852" t="s">
        <v>2755</v>
      </c>
      <c r="E335" s="1852" t="s">
        <v>2756</v>
      </c>
      <c r="F335" s="1852" t="s">
        <v>2263</v>
      </c>
      <c r="G335" s="1852" t="s">
        <v>22</v>
      </c>
      <c r="H335" s="1852" t="s">
        <v>22</v>
      </c>
      <c r="I335" s="1852" t="s">
        <v>907</v>
      </c>
    </row>
    <row r="336" ht="11.25" customHeight="1">
      <c r="A336" s="1852" t="s">
        <v>2247</v>
      </c>
      <c r="B336" s="1852" t="s">
        <v>16</v>
      </c>
      <c r="C336" s="1852" t="s">
        <v>2757</v>
      </c>
      <c r="D336" s="1852" t="s">
        <v>2758</v>
      </c>
      <c r="E336" s="1852" t="s">
        <v>2759</v>
      </c>
      <c r="F336" s="1852" t="s">
        <v>2367</v>
      </c>
      <c r="G336" s="1852" t="s">
        <v>22</v>
      </c>
      <c r="H336" s="1852" t="s">
        <v>22</v>
      </c>
      <c r="I336" s="1852" t="s">
        <v>907</v>
      </c>
    </row>
    <row r="337" ht="11.25" customHeight="1">
      <c r="A337" s="1852" t="s">
        <v>2247</v>
      </c>
      <c r="B337" s="1852" t="s">
        <v>16</v>
      </c>
      <c r="C337" s="1852" t="s">
        <v>2413</v>
      </c>
      <c r="D337" s="1852" t="s">
        <v>2414</v>
      </c>
      <c r="E337" s="1852" t="s">
        <v>2415</v>
      </c>
      <c r="F337" s="1852" t="s">
        <v>2382</v>
      </c>
      <c r="G337" s="1852" t="s">
        <v>22</v>
      </c>
      <c r="H337" s="1852" t="s">
        <v>22</v>
      </c>
      <c r="I337" s="1852" t="s">
        <v>907</v>
      </c>
    </row>
    <row r="338" ht="11.25" customHeight="1">
      <c r="A338" s="1852" t="s">
        <v>2247</v>
      </c>
      <c r="B338" s="1852" t="s">
        <v>16</v>
      </c>
      <c r="C338" s="1852" t="s">
        <v>2764</v>
      </c>
      <c r="D338" s="1852" t="s">
        <v>2765</v>
      </c>
      <c r="E338" s="1852" t="s">
        <v>2766</v>
      </c>
      <c r="F338" s="1852" t="s">
        <v>2267</v>
      </c>
      <c r="G338" s="1852" t="s">
        <v>22</v>
      </c>
      <c r="H338" s="1852" t="s">
        <v>22</v>
      </c>
      <c r="I338" s="1852" t="s">
        <v>907</v>
      </c>
    </row>
    <row r="339" ht="11.25" customHeight="1">
      <c r="A339" s="1852" t="s">
        <v>2247</v>
      </c>
      <c r="B339" s="1852" t="s">
        <v>16</v>
      </c>
      <c r="C339" s="1852" t="s">
        <v>2767</v>
      </c>
      <c r="D339" s="1852" t="s">
        <v>2768</v>
      </c>
      <c r="E339" s="1852" t="s">
        <v>2769</v>
      </c>
      <c r="F339" s="1852" t="s">
        <v>2412</v>
      </c>
      <c r="G339" s="1852" t="s">
        <v>22</v>
      </c>
      <c r="H339" s="1852" t="s">
        <v>22</v>
      </c>
      <c r="I339" s="1852" t="s">
        <v>907</v>
      </c>
    </row>
    <row r="340" ht="11.25" customHeight="1">
      <c r="A340" s="1852" t="s">
        <v>2247</v>
      </c>
      <c r="B340" s="1852" t="s">
        <v>16</v>
      </c>
      <c r="C340" s="1852" t="s">
        <v>2419</v>
      </c>
      <c r="D340" s="1852" t="s">
        <v>2420</v>
      </c>
      <c r="E340" s="1852" t="s">
        <v>2421</v>
      </c>
      <c r="F340" s="1852" t="s">
        <v>2288</v>
      </c>
      <c r="G340" s="1852" t="s">
        <v>22</v>
      </c>
      <c r="H340" s="1852" t="s">
        <v>22</v>
      </c>
      <c r="I340" s="1852" t="s">
        <v>907</v>
      </c>
    </row>
    <row r="341" ht="11.25" customHeight="1">
      <c r="A341" s="1852" t="s">
        <v>2247</v>
      </c>
      <c r="B341" s="1852" t="s">
        <v>16</v>
      </c>
      <c r="C341" s="1852" t="s">
        <v>2422</v>
      </c>
      <c r="D341" s="1852" t="s">
        <v>2423</v>
      </c>
      <c r="E341" s="1852" t="s">
        <v>2424</v>
      </c>
      <c r="F341" s="1852" t="s">
        <v>2425</v>
      </c>
      <c r="G341" s="1852" t="s">
        <v>22</v>
      </c>
      <c r="H341" s="1852" t="s">
        <v>22</v>
      </c>
      <c r="I341" s="1852" t="s">
        <v>907</v>
      </c>
    </row>
    <row r="342" ht="11.25" customHeight="1">
      <c r="A342" s="1852" t="s">
        <v>2247</v>
      </c>
      <c r="B342" s="1852" t="s">
        <v>16</v>
      </c>
      <c r="C342" s="1852" t="s">
        <v>2778</v>
      </c>
      <c r="D342" s="1852" t="s">
        <v>2779</v>
      </c>
      <c r="E342" s="1852" t="s">
        <v>2780</v>
      </c>
      <c r="F342" s="1852" t="s">
        <v>2358</v>
      </c>
      <c r="G342" s="1852" t="s">
        <v>22</v>
      </c>
      <c r="H342" s="1852" t="s">
        <v>22</v>
      </c>
      <c r="I342" s="1852" t="s">
        <v>907</v>
      </c>
    </row>
    <row r="343" ht="11.25" customHeight="1">
      <c r="A343" s="1852" t="s">
        <v>2247</v>
      </c>
      <c r="B343" s="1852" t="s">
        <v>16</v>
      </c>
      <c r="C343" s="1852" t="s">
        <v>2781</v>
      </c>
      <c r="D343" s="1852" t="s">
        <v>2782</v>
      </c>
      <c r="E343" s="1852" t="s">
        <v>2783</v>
      </c>
      <c r="F343" s="1852" t="s">
        <v>2267</v>
      </c>
      <c r="G343" s="1852" t="s">
        <v>2784</v>
      </c>
      <c r="H343" s="1852" t="s">
        <v>22</v>
      </c>
      <c r="I343" s="1852" t="s">
        <v>907</v>
      </c>
    </row>
    <row r="344" ht="11.25" customHeight="1">
      <c r="A344" s="1852" t="s">
        <v>2247</v>
      </c>
      <c r="B344" s="1852" t="s">
        <v>16</v>
      </c>
      <c r="C344" s="1852" t="s">
        <v>2462</v>
      </c>
      <c r="D344" s="1852" t="s">
        <v>2463</v>
      </c>
      <c r="E344" s="1852" t="s">
        <v>2464</v>
      </c>
      <c r="F344" s="1852" t="s">
        <v>2288</v>
      </c>
      <c r="G344" s="1852" t="s">
        <v>22</v>
      </c>
      <c r="H344" s="1852" t="s">
        <v>22</v>
      </c>
      <c r="I344" s="1852" t="s">
        <v>907</v>
      </c>
    </row>
    <row r="345" ht="11.25" customHeight="1">
      <c r="A345" s="1852" t="s">
        <v>2247</v>
      </c>
      <c r="B345" s="1852" t="s">
        <v>16</v>
      </c>
      <c r="C345" s="1852" t="s">
        <v>2948</v>
      </c>
      <c r="D345" s="1852" t="s">
        <v>2949</v>
      </c>
      <c r="E345" s="1852" t="s">
        <v>2950</v>
      </c>
      <c r="F345" s="1852" t="s">
        <v>2263</v>
      </c>
      <c r="G345" s="1852" t="s">
        <v>22</v>
      </c>
      <c r="H345" s="1852" t="s">
        <v>22</v>
      </c>
      <c r="I345" s="1852" t="s">
        <v>907</v>
      </c>
    </row>
    <row r="346" ht="11.25" customHeight="1">
      <c r="A346" s="1852" t="s">
        <v>2247</v>
      </c>
      <c r="B346" s="1852" t="s">
        <v>16</v>
      </c>
      <c r="C346" s="1852" t="s">
        <v>2468</v>
      </c>
      <c r="D346" s="1852" t="s">
        <v>2469</v>
      </c>
      <c r="E346" s="1852" t="s">
        <v>2470</v>
      </c>
      <c r="F346" s="1852" t="s">
        <v>2320</v>
      </c>
      <c r="G346" s="1852" t="s">
        <v>2471</v>
      </c>
      <c r="H346" s="1852" t="s">
        <v>22</v>
      </c>
      <c r="I346" s="1852" t="s">
        <v>907</v>
      </c>
    </row>
    <row r="347" ht="11.25" customHeight="1">
      <c r="A347" s="1852" t="s">
        <v>2247</v>
      </c>
      <c r="B347" s="1852" t="s">
        <v>16</v>
      </c>
      <c r="C347" s="1852" t="s">
        <v>2472</v>
      </c>
      <c r="D347" s="1852" t="s">
        <v>2473</v>
      </c>
      <c r="E347" s="1852" t="s">
        <v>2474</v>
      </c>
      <c r="F347" s="1852" t="s">
        <v>2372</v>
      </c>
      <c r="G347" s="1852" t="s">
        <v>2475</v>
      </c>
      <c r="H347" s="1852" t="s">
        <v>22</v>
      </c>
      <c r="I347" s="1852" t="s">
        <v>907</v>
      </c>
    </row>
    <row r="348" ht="11.25" customHeight="1">
      <c r="A348" s="1852" t="s">
        <v>2247</v>
      </c>
      <c r="B348" s="1852" t="s">
        <v>16</v>
      </c>
      <c r="C348" s="1852" t="s">
        <v>2951</v>
      </c>
      <c r="D348" s="1852" t="s">
        <v>2952</v>
      </c>
      <c r="E348" s="1852" t="s">
        <v>2953</v>
      </c>
      <c r="F348" s="1852" t="s">
        <v>2382</v>
      </c>
      <c r="G348" s="1852" t="s">
        <v>2954</v>
      </c>
      <c r="H348" s="1852" t="s">
        <v>22</v>
      </c>
      <c r="I348" s="1852" t="s">
        <v>907</v>
      </c>
    </row>
    <row r="349" ht="11.25" customHeight="1">
      <c r="A349" s="1852" t="s">
        <v>2247</v>
      </c>
      <c r="B349" s="1852" t="s">
        <v>16</v>
      </c>
      <c r="C349" s="1852" t="s">
        <v>2802</v>
      </c>
      <c r="D349" s="1852" t="s">
        <v>2803</v>
      </c>
      <c r="E349" s="1852" t="s">
        <v>2804</v>
      </c>
      <c r="F349" s="1852" t="s">
        <v>2329</v>
      </c>
      <c r="G349" s="1852" t="s">
        <v>22</v>
      </c>
      <c r="H349" s="1852" t="s">
        <v>22</v>
      </c>
      <c r="I349" s="1852" t="s">
        <v>907</v>
      </c>
    </row>
    <row r="350" ht="11.25" customHeight="1">
      <c r="A350" s="1852" t="s">
        <v>2247</v>
      </c>
      <c r="B350" s="1852" t="s">
        <v>16</v>
      </c>
      <c r="C350" s="1852" t="s">
        <v>2809</v>
      </c>
      <c r="D350" s="1852" t="s">
        <v>2810</v>
      </c>
      <c r="E350" s="1852" t="s">
        <v>2811</v>
      </c>
      <c r="F350" s="1852" t="s">
        <v>2263</v>
      </c>
      <c r="G350" s="1852" t="s">
        <v>2812</v>
      </c>
      <c r="H350" s="1852" t="s">
        <v>22</v>
      </c>
      <c r="I350" s="1852" t="s">
        <v>907</v>
      </c>
    </row>
    <row r="351" ht="11.25" customHeight="1">
      <c r="A351" s="1852" t="s">
        <v>2247</v>
      </c>
      <c r="B351" s="1852" t="s">
        <v>16</v>
      </c>
      <c r="C351" s="1852" t="s">
        <v>2813</v>
      </c>
      <c r="D351" s="1852" t="s">
        <v>2814</v>
      </c>
      <c r="E351" s="1852" t="s">
        <v>2815</v>
      </c>
      <c r="F351" s="1852" t="s">
        <v>2329</v>
      </c>
      <c r="G351" s="1852" t="s">
        <v>22</v>
      </c>
      <c r="H351" s="1852" t="s">
        <v>22</v>
      </c>
      <c r="I351" s="1852" t="s">
        <v>907</v>
      </c>
    </row>
    <row r="352" ht="11.25" customHeight="1">
      <c r="A352" s="1852" t="s">
        <v>2247</v>
      </c>
      <c r="B352" s="1852" t="s">
        <v>16</v>
      </c>
      <c r="C352" s="1852" t="s">
        <v>2816</v>
      </c>
      <c r="D352" s="1852" t="s">
        <v>2817</v>
      </c>
      <c r="E352" s="1852" t="s">
        <v>2818</v>
      </c>
      <c r="F352" s="1852" t="s">
        <v>2403</v>
      </c>
      <c r="G352" s="1852" t="s">
        <v>22</v>
      </c>
      <c r="H352" s="1852" t="s">
        <v>22</v>
      </c>
      <c r="I352" s="1852" t="s">
        <v>907</v>
      </c>
    </row>
    <row r="353" ht="11.25" customHeight="1">
      <c r="A353" s="1852" t="s">
        <v>2247</v>
      </c>
      <c r="B353" s="1852" t="s">
        <v>16</v>
      </c>
      <c r="C353" s="1852" t="s">
        <v>2823</v>
      </c>
      <c r="D353" s="1852" t="s">
        <v>2824</v>
      </c>
      <c r="E353" s="1852" t="s">
        <v>2825</v>
      </c>
      <c r="F353" s="1852" t="s">
        <v>2407</v>
      </c>
      <c r="G353" s="1852" t="s">
        <v>2826</v>
      </c>
      <c r="H353" s="1852" t="s">
        <v>22</v>
      </c>
      <c r="I353" s="1852" t="s">
        <v>907</v>
      </c>
    </row>
    <row r="354" ht="11.25" customHeight="1">
      <c r="A354" s="1852" t="s">
        <v>2247</v>
      </c>
      <c r="B354" s="1852" t="s">
        <v>16</v>
      </c>
      <c r="C354" s="1852" t="s">
        <v>2831</v>
      </c>
      <c r="D354" s="1852" t="s">
        <v>2832</v>
      </c>
      <c r="E354" s="1852" t="s">
        <v>2833</v>
      </c>
      <c r="F354" s="1852" t="s">
        <v>2311</v>
      </c>
      <c r="G354" s="1852" t="s">
        <v>22</v>
      </c>
      <c r="H354" s="1852" t="s">
        <v>22</v>
      </c>
      <c r="I354" s="1852" t="s">
        <v>907</v>
      </c>
    </row>
    <row r="355" ht="11.25" customHeight="1">
      <c r="A355" s="1852" t="s">
        <v>2247</v>
      </c>
      <c r="B355" s="1852" t="s">
        <v>16</v>
      </c>
      <c r="C355" s="1852" t="s">
        <v>2955</v>
      </c>
      <c r="D355" s="1852" t="s">
        <v>2956</v>
      </c>
      <c r="E355" s="1852" t="s">
        <v>2957</v>
      </c>
      <c r="F355" s="1852" t="s">
        <v>2263</v>
      </c>
      <c r="G355" s="1852" t="s">
        <v>2958</v>
      </c>
      <c r="H355" s="1852" t="s">
        <v>22</v>
      </c>
      <c r="I355" s="1852" t="s">
        <v>907</v>
      </c>
    </row>
    <row r="356" ht="11.25" customHeight="1">
      <c r="A356" s="1852" t="s">
        <v>2247</v>
      </c>
      <c r="B356" s="1852" t="s">
        <v>16</v>
      </c>
      <c r="C356" s="1852" t="s">
        <v>2840</v>
      </c>
      <c r="D356" s="1852" t="s">
        <v>2841</v>
      </c>
      <c r="E356" s="1852" t="s">
        <v>2842</v>
      </c>
      <c r="F356" s="1852" t="s">
        <v>2263</v>
      </c>
      <c r="G356" s="1852" t="s">
        <v>22</v>
      </c>
      <c r="H356" s="1852" t="s">
        <v>22</v>
      </c>
      <c r="I356" s="1852" t="s">
        <v>907</v>
      </c>
    </row>
    <row r="357" ht="11.25" customHeight="1">
      <c r="A357" s="1852" t="s">
        <v>2247</v>
      </c>
      <c r="B357" s="1852" t="s">
        <v>16</v>
      </c>
      <c r="C357" s="1852" t="s">
        <v>2846</v>
      </c>
      <c r="D357" s="1852" t="s">
        <v>2847</v>
      </c>
      <c r="E357" s="1852" t="s">
        <v>2848</v>
      </c>
      <c r="F357" s="1852" t="s">
        <v>2484</v>
      </c>
      <c r="G357" s="1852" t="s">
        <v>22</v>
      </c>
      <c r="H357" s="1852" t="s">
        <v>22</v>
      </c>
      <c r="I357" s="1852" t="s">
        <v>907</v>
      </c>
    </row>
    <row r="358" ht="11.25" customHeight="1">
      <c r="A358" s="1852" t="s">
        <v>2247</v>
      </c>
      <c r="B358" s="1852" t="s">
        <v>16</v>
      </c>
      <c r="C358" s="1852" t="s">
        <v>2852</v>
      </c>
      <c r="D358" s="1852" t="s">
        <v>2853</v>
      </c>
      <c r="E358" s="1852" t="s">
        <v>2854</v>
      </c>
      <c r="F358" s="1852" t="s">
        <v>2484</v>
      </c>
      <c r="G358" s="1852" t="s">
        <v>22</v>
      </c>
      <c r="H358" s="1852" t="s">
        <v>22</v>
      </c>
      <c r="I358" s="1852" t="s">
        <v>907</v>
      </c>
    </row>
    <row r="359" ht="11.25" customHeight="1">
      <c r="A359" s="1852" t="s">
        <v>2247</v>
      </c>
      <c r="B359" s="1852" t="s">
        <v>16</v>
      </c>
      <c r="C359" s="1852" t="s">
        <v>2861</v>
      </c>
      <c r="D359" s="1852" t="s">
        <v>2862</v>
      </c>
      <c r="E359" s="1852" t="s">
        <v>2863</v>
      </c>
      <c r="F359" s="1852" t="s">
        <v>2348</v>
      </c>
      <c r="G359" s="1852" t="s">
        <v>22</v>
      </c>
      <c r="H359" s="1852" t="s">
        <v>22</v>
      </c>
      <c r="I359" s="1852" t="s">
        <v>907</v>
      </c>
    </row>
    <row r="360" ht="11.25" customHeight="1">
      <c r="A360" s="1852" t="s">
        <v>2247</v>
      </c>
      <c r="B360" s="1852" t="s">
        <v>16</v>
      </c>
      <c r="C360" s="1852" t="s">
        <v>2959</v>
      </c>
      <c r="D360" s="1852" t="s">
        <v>2960</v>
      </c>
      <c r="E360" s="1852" t="s">
        <v>2961</v>
      </c>
      <c r="F360" s="1852" t="s">
        <v>2251</v>
      </c>
      <c r="G360" s="1852" t="s">
        <v>22</v>
      </c>
      <c r="H360" s="1852" t="s">
        <v>22</v>
      </c>
      <c r="I360" s="1852" t="s">
        <v>907</v>
      </c>
    </row>
    <row r="361" ht="11.25" customHeight="1">
      <c r="A361" s="1852" t="s">
        <v>2247</v>
      </c>
      <c r="B361" s="1852" t="s">
        <v>16</v>
      </c>
      <c r="C361" s="1852" t="s">
        <v>2864</v>
      </c>
      <c r="D361" s="1852" t="s">
        <v>2865</v>
      </c>
      <c r="E361" s="1852" t="s">
        <v>2866</v>
      </c>
      <c r="F361" s="1852" t="s">
        <v>2372</v>
      </c>
      <c r="G361" s="1852" t="s">
        <v>22</v>
      </c>
      <c r="H361" s="1852" t="s">
        <v>22</v>
      </c>
      <c r="I361" s="1852" t="s">
        <v>907</v>
      </c>
    </row>
    <row r="362" ht="11.25" customHeight="1">
      <c r="A362" s="1852" t="s">
        <v>2247</v>
      </c>
      <c r="B362" s="1852" t="s">
        <v>16</v>
      </c>
      <c r="C362" s="1852" t="s">
        <v>2867</v>
      </c>
      <c r="D362" s="1852" t="s">
        <v>2868</v>
      </c>
      <c r="E362" s="1852" t="s">
        <v>2869</v>
      </c>
      <c r="F362" s="1852" t="s">
        <v>2392</v>
      </c>
      <c r="G362" s="1852" t="s">
        <v>22</v>
      </c>
      <c r="H362" s="1852" t="s">
        <v>22</v>
      </c>
      <c r="I362" s="1852" t="s">
        <v>907</v>
      </c>
    </row>
    <row r="363" ht="11.25" customHeight="1">
      <c r="A363" s="1852" t="s">
        <v>2247</v>
      </c>
      <c r="B363" s="1852" t="s">
        <v>16</v>
      </c>
      <c r="C363" s="1852" t="s">
        <v>2522</v>
      </c>
      <c r="D363" s="1852" t="s">
        <v>2523</v>
      </c>
      <c r="E363" s="1852" t="s">
        <v>2524</v>
      </c>
      <c r="F363" s="1852" t="s">
        <v>2251</v>
      </c>
      <c r="G363" s="1852" t="s">
        <v>22</v>
      </c>
      <c r="H363" s="1852" t="s">
        <v>22</v>
      </c>
      <c r="I363" s="1852" t="s">
        <v>907</v>
      </c>
    </row>
    <row r="364" ht="11.25" customHeight="1">
      <c r="A364" s="1852" t="s">
        <v>2247</v>
      </c>
      <c r="B364" s="1852" t="s">
        <v>16</v>
      </c>
      <c r="C364" s="1852" t="s">
        <v>2535</v>
      </c>
      <c r="D364" s="1852" t="s">
        <v>2536</v>
      </c>
      <c r="E364" s="1852" t="s">
        <v>2537</v>
      </c>
      <c r="F364" s="1852" t="s">
        <v>2538</v>
      </c>
      <c r="G364" s="1852" t="s">
        <v>22</v>
      </c>
      <c r="H364" s="1852" t="s">
        <v>22</v>
      </c>
      <c r="I364" s="1852" t="s">
        <v>907</v>
      </c>
    </row>
    <row r="365" ht="11.25" customHeight="1">
      <c r="A365" s="1852" t="s">
        <v>2247</v>
      </c>
      <c r="B365" s="1852" t="s">
        <v>16</v>
      </c>
      <c r="C365" s="1852" t="s">
        <v>2873</v>
      </c>
      <c r="D365" s="1852" t="s">
        <v>2874</v>
      </c>
      <c r="E365" s="1852" t="s">
        <v>2875</v>
      </c>
      <c r="F365" s="1852" t="s">
        <v>2263</v>
      </c>
      <c r="G365" s="1852" t="s">
        <v>2876</v>
      </c>
      <c r="H365" s="1852" t="s">
        <v>22</v>
      </c>
      <c r="I365" s="1852" t="s">
        <v>907</v>
      </c>
    </row>
    <row r="366" ht="11.25" customHeight="1">
      <c r="A366" s="1852" t="s">
        <v>2247</v>
      </c>
      <c r="B366" s="1852" t="s">
        <v>16</v>
      </c>
      <c r="C366" s="1852" t="s">
        <v>2883</v>
      </c>
      <c r="D366" s="1852" t="s">
        <v>2884</v>
      </c>
      <c r="E366" s="1852" t="s">
        <v>2885</v>
      </c>
      <c r="F366" s="1852" t="s">
        <v>2367</v>
      </c>
      <c r="G366" s="1852" t="s">
        <v>22</v>
      </c>
      <c r="H366" s="1852" t="s">
        <v>22</v>
      </c>
      <c r="I366" s="1852" t="s">
        <v>907</v>
      </c>
    </row>
    <row r="367" ht="11.25" customHeight="1">
      <c r="A367" s="1852" t="s">
        <v>2247</v>
      </c>
      <c r="B367" s="1852" t="s">
        <v>16</v>
      </c>
      <c r="C367" s="1852" t="s">
        <v>2886</v>
      </c>
      <c r="D367" s="1852" t="s">
        <v>2887</v>
      </c>
      <c r="E367" s="1852" t="s">
        <v>2888</v>
      </c>
      <c r="F367" s="1852" t="s">
        <v>2251</v>
      </c>
      <c r="G367" s="1852" t="s">
        <v>22</v>
      </c>
      <c r="H367" s="1852" t="s">
        <v>22</v>
      </c>
      <c r="I367" s="1852" t="s">
        <v>907</v>
      </c>
    </row>
    <row r="368" ht="11.25" customHeight="1">
      <c r="A368" s="1852" t="s">
        <v>2247</v>
      </c>
      <c r="B368" s="1852" t="s">
        <v>16</v>
      </c>
      <c r="C368" s="1852" t="s">
        <v>2889</v>
      </c>
      <c r="D368" s="1852" t="s">
        <v>2890</v>
      </c>
      <c r="E368" s="1852" t="s">
        <v>2891</v>
      </c>
      <c r="F368" s="1852" t="s">
        <v>2542</v>
      </c>
      <c r="G368" s="1852" t="s">
        <v>22</v>
      </c>
      <c r="H368" s="1852" t="s">
        <v>22</v>
      </c>
      <c r="I368" s="1852" t="s">
        <v>907</v>
      </c>
    </row>
    <row r="369" ht="11.25" customHeight="1">
      <c r="A369" s="1852" t="s">
        <v>2247</v>
      </c>
      <c r="B369" s="1852" t="s">
        <v>16</v>
      </c>
      <c r="C369" s="1852" t="s">
        <v>2962</v>
      </c>
      <c r="D369" s="1852" t="s">
        <v>2963</v>
      </c>
      <c r="E369" s="1852" t="s">
        <v>2964</v>
      </c>
      <c r="F369" s="1852" t="s">
        <v>2255</v>
      </c>
      <c r="G369" s="1852" t="s">
        <v>22</v>
      </c>
      <c r="H369" s="1852" t="s">
        <v>22</v>
      </c>
      <c r="I369" s="1852" t="s">
        <v>907</v>
      </c>
    </row>
    <row r="370" ht="11.25" customHeight="1">
      <c r="A370" s="1852" t="s">
        <v>2247</v>
      </c>
      <c r="B370" s="1852" t="s">
        <v>16</v>
      </c>
      <c r="C370" s="1852" t="s">
        <v>2899</v>
      </c>
      <c r="D370" s="1852" t="s">
        <v>2900</v>
      </c>
      <c r="E370" s="1852" t="s">
        <v>2901</v>
      </c>
      <c r="F370" s="1852" t="s">
        <v>2334</v>
      </c>
      <c r="G370" s="1852" t="s">
        <v>22</v>
      </c>
      <c r="H370" s="1852" t="s">
        <v>22</v>
      </c>
      <c r="I370" s="1852" t="s">
        <v>907</v>
      </c>
    </row>
    <row r="371" ht="11.25" customHeight="1">
      <c r="A371" s="1852" t="s">
        <v>2247</v>
      </c>
      <c r="B371" s="1852" t="s">
        <v>16</v>
      </c>
      <c r="C371" s="1852" t="s">
        <v>2902</v>
      </c>
      <c r="D371" s="1852" t="s">
        <v>2903</v>
      </c>
      <c r="E371" s="1852" t="s">
        <v>2904</v>
      </c>
      <c r="F371" s="1852" t="s">
        <v>2251</v>
      </c>
      <c r="G371" s="1852" t="s">
        <v>22</v>
      </c>
      <c r="H371" s="1852" t="s">
        <v>22</v>
      </c>
      <c r="I371" s="1852" t="s">
        <v>907</v>
      </c>
    </row>
    <row r="372" ht="11.25" customHeight="1">
      <c r="A372" s="1852" t="s">
        <v>2247</v>
      </c>
      <c r="B372" s="1852" t="s">
        <v>16</v>
      </c>
      <c r="C372" s="1852" t="s">
        <v>2905</v>
      </c>
      <c r="D372" s="1852" t="s">
        <v>2906</v>
      </c>
      <c r="E372" s="1852" t="s">
        <v>2907</v>
      </c>
      <c r="F372" s="1852" t="s">
        <v>2263</v>
      </c>
      <c r="G372" s="1852" t="s">
        <v>22</v>
      </c>
      <c r="H372" s="1852" t="s">
        <v>22</v>
      </c>
      <c r="I372" s="1852" t="s">
        <v>907</v>
      </c>
    </row>
    <row r="373" ht="11.25" customHeight="1">
      <c r="A373" s="1852" t="s">
        <v>2247</v>
      </c>
      <c r="B373" s="1852" t="s">
        <v>16</v>
      </c>
      <c r="C373" s="1852" t="s">
        <v>2561</v>
      </c>
      <c r="D373" s="1852" t="s">
        <v>2562</v>
      </c>
      <c r="E373" s="1852" t="s">
        <v>2563</v>
      </c>
      <c r="F373" s="1852" t="s">
        <v>2263</v>
      </c>
      <c r="G373" s="1852" t="s">
        <v>22</v>
      </c>
      <c r="H373" s="1852" t="s">
        <v>22</v>
      </c>
      <c r="I373" s="1852" t="s">
        <v>907</v>
      </c>
    </row>
    <row r="374" ht="11.25" customHeight="1">
      <c r="A374" s="1852" t="s">
        <v>2247</v>
      </c>
      <c r="B374" s="1852" t="s">
        <v>16</v>
      </c>
      <c r="C374" s="1852" t="s">
        <v>2914</v>
      </c>
      <c r="D374" s="1852" t="s">
        <v>2915</v>
      </c>
      <c r="E374" s="1852" t="s">
        <v>2916</v>
      </c>
      <c r="F374" s="1852" t="s">
        <v>2251</v>
      </c>
      <c r="G374" s="1852" t="s">
        <v>22</v>
      </c>
      <c r="H374" s="1852" t="s">
        <v>22</v>
      </c>
      <c r="I374" s="1852" t="s">
        <v>907</v>
      </c>
    </row>
    <row r="375" ht="11.25" customHeight="1">
      <c r="A375" s="1852" t="s">
        <v>2247</v>
      </c>
      <c r="B375" s="1852" t="s">
        <v>16</v>
      </c>
      <c r="C375" s="1852" t="s">
        <v>2577</v>
      </c>
      <c r="D375" s="1852" t="s">
        <v>2578</v>
      </c>
      <c r="E375" s="1852" t="s">
        <v>2424</v>
      </c>
      <c r="F375" s="1852" t="s">
        <v>2579</v>
      </c>
      <c r="G375" s="1852" t="s">
        <v>22</v>
      </c>
      <c r="H375" s="1852" t="s">
        <v>22</v>
      </c>
      <c r="I375" s="1852" t="s">
        <v>907</v>
      </c>
    </row>
    <row r="376" ht="11.25" customHeight="1">
      <c r="A376" s="1852" t="s">
        <v>2247</v>
      </c>
      <c r="B376" s="1852" t="s">
        <v>16</v>
      </c>
      <c r="C376" s="1852" t="s">
        <v>2920</v>
      </c>
      <c r="D376" s="1852" t="s">
        <v>2921</v>
      </c>
      <c r="E376" s="1852" t="s">
        <v>2922</v>
      </c>
      <c r="F376" s="1852" t="s">
        <v>2263</v>
      </c>
      <c r="G376" s="1852" t="s">
        <v>2923</v>
      </c>
      <c r="H376" s="1852" t="s">
        <v>22</v>
      </c>
      <c r="I376" s="1852" t="s">
        <v>907</v>
      </c>
    </row>
    <row r="377" ht="11.25" customHeight="1">
      <c r="A377" s="1852" t="s">
        <v>2247</v>
      </c>
      <c r="B377" s="1852" t="s">
        <v>16</v>
      </c>
      <c r="C377" s="1852" t="s">
        <v>2583</v>
      </c>
      <c r="D377" s="1852" t="s">
        <v>2584</v>
      </c>
      <c r="E377" s="1852" t="s">
        <v>2585</v>
      </c>
      <c r="F377" s="1852" t="s">
        <v>2586</v>
      </c>
      <c r="G377" s="1852" t="s">
        <v>22</v>
      </c>
      <c r="H377" s="1852" t="s">
        <v>22</v>
      </c>
      <c r="I377" s="1852" t="s">
        <v>907</v>
      </c>
    </row>
    <row r="378" ht="11.25" customHeight="1">
      <c r="A378" s="1852" t="s">
        <v>2247</v>
      </c>
      <c r="B378" s="1852" t="s">
        <v>16</v>
      </c>
      <c r="C378" s="1852" t="s">
        <v>2587</v>
      </c>
      <c r="D378" s="1852" t="s">
        <v>2588</v>
      </c>
      <c r="E378" s="1852" t="s">
        <v>2589</v>
      </c>
      <c r="F378" s="1852" t="s">
        <v>2334</v>
      </c>
      <c r="G378" s="1852" t="s">
        <v>22</v>
      </c>
      <c r="H378" s="1852" t="s">
        <v>22</v>
      </c>
      <c r="I378" s="1852" t="s">
        <v>907</v>
      </c>
    </row>
    <row r="379" ht="11.25" customHeight="1">
      <c r="A379" s="1852" t="s">
        <v>2247</v>
      </c>
      <c r="B379" s="1852" t="s">
        <v>16</v>
      </c>
      <c r="C379" s="1852" t="s">
        <v>2593</v>
      </c>
      <c r="D379" s="1852" t="s">
        <v>2594</v>
      </c>
      <c r="E379" s="1852" t="s">
        <v>2595</v>
      </c>
      <c r="F379" s="1852" t="s">
        <v>2251</v>
      </c>
      <c r="G379" s="1852" t="s">
        <v>22</v>
      </c>
      <c r="H379" s="1852" t="s">
        <v>22</v>
      </c>
      <c r="I379" s="1852" t="s">
        <v>907</v>
      </c>
    </row>
    <row r="380" ht="11.25" customHeight="1">
      <c r="A380" s="1852" t="s">
        <v>2247</v>
      </c>
      <c r="B380" s="1852" t="s">
        <v>16</v>
      </c>
      <c r="C380" s="1852" t="s">
        <v>2924</v>
      </c>
      <c r="D380" s="1852" t="s">
        <v>2925</v>
      </c>
      <c r="E380" s="1852" t="s">
        <v>2926</v>
      </c>
      <c r="F380" s="1852" t="s">
        <v>2288</v>
      </c>
      <c r="G380" s="1852" t="s">
        <v>2927</v>
      </c>
      <c r="H380" s="1852" t="s">
        <v>22</v>
      </c>
      <c r="I380" s="1852" t="s">
        <v>907</v>
      </c>
    </row>
    <row r="381" ht="11.25" customHeight="1">
      <c r="A381" s="1852" t="s">
        <v>2247</v>
      </c>
      <c r="B381" s="1852" t="s">
        <v>16</v>
      </c>
      <c r="C381" s="1852" t="s">
        <v>2596</v>
      </c>
      <c r="D381" s="1852" t="s">
        <v>2597</v>
      </c>
      <c r="E381" s="1852" t="s">
        <v>2598</v>
      </c>
      <c r="F381" s="1852" t="s">
        <v>2599</v>
      </c>
      <c r="G381" s="1852" t="s">
        <v>2600</v>
      </c>
      <c r="H381" s="1852" t="s">
        <v>22</v>
      </c>
      <c r="I381" s="1852" t="s">
        <v>907</v>
      </c>
    </row>
    <row r="382" ht="11.25" customHeight="1">
      <c r="A382" s="1852" t="s">
        <v>2247</v>
      </c>
      <c r="B382" s="1852" t="s">
        <v>16</v>
      </c>
      <c r="C382" s="1852" t="s">
        <v>2606</v>
      </c>
      <c r="D382" s="1852" t="s">
        <v>2607</v>
      </c>
      <c r="E382" s="1852" t="s">
        <v>2603</v>
      </c>
      <c r="F382" s="1852" t="s">
        <v>2608</v>
      </c>
      <c r="G382" s="1852" t="s">
        <v>2605</v>
      </c>
      <c r="H382" s="1852" t="s">
        <v>22</v>
      </c>
      <c r="I382" s="1852" t="s">
        <v>907</v>
      </c>
    </row>
    <row r="383" ht="11.25" customHeight="1">
      <c r="A383" s="1852" t="s">
        <v>2247</v>
      </c>
      <c r="B383" s="1852" t="s">
        <v>16</v>
      </c>
      <c r="C383" s="1852" t="s">
        <v>2609</v>
      </c>
      <c r="D383" s="1852" t="s">
        <v>2610</v>
      </c>
      <c r="E383" s="1852" t="s">
        <v>2585</v>
      </c>
      <c r="F383" s="1852" t="s">
        <v>2611</v>
      </c>
      <c r="G383" s="1852" t="s">
        <v>22</v>
      </c>
      <c r="H383" s="1852" t="s">
        <v>22</v>
      </c>
      <c r="I383" s="1852" t="s">
        <v>907</v>
      </c>
    </row>
    <row r="384" ht="11.25" customHeight="1">
      <c r="A384" s="1852" t="s">
        <v>2247</v>
      </c>
      <c r="B384" s="1852" t="s">
        <v>16</v>
      </c>
      <c r="C384" s="1852" t="s">
        <v>2612</v>
      </c>
      <c r="D384" s="1852" t="s">
        <v>2613</v>
      </c>
      <c r="E384" s="1852" t="s">
        <v>2614</v>
      </c>
      <c r="F384" s="1852" t="s">
        <v>2615</v>
      </c>
      <c r="G384" s="1852" t="s">
        <v>2616</v>
      </c>
      <c r="H384" s="1852" t="s">
        <v>22</v>
      </c>
      <c r="I384" s="1852" t="s">
        <v>907</v>
      </c>
    </row>
    <row r="385" ht="11.25" customHeight="1">
      <c r="A385" s="1852" t="s">
        <v>2247</v>
      </c>
      <c r="B385" s="1852" t="s">
        <v>16</v>
      </c>
      <c r="C385" s="1852" t="s">
        <v>2617</v>
      </c>
      <c r="D385" s="1852" t="s">
        <v>2618</v>
      </c>
      <c r="E385" s="1852" t="s">
        <v>2619</v>
      </c>
      <c r="F385" s="1852" t="s">
        <v>2311</v>
      </c>
      <c r="G385" s="1852" t="s">
        <v>2620</v>
      </c>
      <c r="H385" s="1852" t="s">
        <v>22</v>
      </c>
      <c r="I385" s="1852" t="s">
        <v>907</v>
      </c>
    </row>
    <row r="386" ht="11.25" customHeight="1">
      <c r="A386" s="1852" t="s">
        <v>2247</v>
      </c>
      <c r="B386" s="1852" t="s">
        <v>16</v>
      </c>
      <c r="C386" s="1852" t="s">
        <v>2928</v>
      </c>
      <c r="D386" s="1852" t="s">
        <v>2929</v>
      </c>
      <c r="E386" s="1852" t="s">
        <v>2930</v>
      </c>
      <c r="F386" s="1852" t="s">
        <v>2538</v>
      </c>
      <c r="G386" s="1852" t="s">
        <v>22</v>
      </c>
      <c r="H386" s="1852" t="s">
        <v>22</v>
      </c>
      <c r="I386" s="1852" t="s">
        <v>907</v>
      </c>
    </row>
    <row r="387" ht="11.25" customHeight="1">
      <c r="A387" s="1852" t="s">
        <v>2247</v>
      </c>
      <c r="B387" s="1852" t="s">
        <v>16</v>
      </c>
      <c r="C387" s="1852" t="s">
        <v>2621</v>
      </c>
      <c r="D387" s="1852" t="s">
        <v>2622</v>
      </c>
      <c r="E387" s="1852" t="s">
        <v>2623</v>
      </c>
      <c r="F387" s="1852" t="s">
        <v>2624</v>
      </c>
      <c r="G387" s="1852" t="s">
        <v>22</v>
      </c>
      <c r="H387" s="1852" t="s">
        <v>22</v>
      </c>
      <c r="I387" s="1852" t="s">
        <v>907</v>
      </c>
    </row>
    <row r="388" ht="11.25" customHeight="1">
      <c r="A388" s="1852" t="s">
        <v>2247</v>
      </c>
      <c r="B388" s="1852" t="s">
        <v>16</v>
      </c>
      <c r="C388" s="1852" t="s">
        <v>13</v>
      </c>
      <c r="D388" s="1852" t="s">
        <v>46</v>
      </c>
      <c r="E388" s="1852" t="s">
        <v>49</v>
      </c>
      <c r="F388" s="1852" t="s">
        <v>51</v>
      </c>
      <c r="G388" s="1852" t="s">
        <v>2625</v>
      </c>
      <c r="H388" s="1852" t="s">
        <v>22</v>
      </c>
      <c r="I388" s="1852" t="s">
        <v>907</v>
      </c>
    </row>
    <row r="389" ht="11.25" customHeight="1">
      <c r="A389" s="1852" t="s">
        <v>2247</v>
      </c>
      <c r="B389" s="1852" t="s">
        <v>16</v>
      </c>
      <c r="C389" s="1852" t="s">
        <v>2626</v>
      </c>
      <c r="D389" s="1852" t="s">
        <v>2627</v>
      </c>
      <c r="E389" s="1852" t="s">
        <v>2628</v>
      </c>
      <c r="F389" s="1852" t="s">
        <v>2629</v>
      </c>
      <c r="G389" s="1852" t="s">
        <v>22</v>
      </c>
      <c r="H389" s="1852" t="s">
        <v>22</v>
      </c>
      <c r="I389" s="1852" t="s">
        <v>907</v>
      </c>
    </row>
    <row r="390" ht="11.25" customHeight="1">
      <c r="A390" s="1852" t="s">
        <v>2247</v>
      </c>
      <c r="B390" s="1852" t="s">
        <v>16</v>
      </c>
      <c r="C390" s="1852" t="s">
        <v>2965</v>
      </c>
      <c r="D390" s="1852" t="s">
        <v>2966</v>
      </c>
      <c r="E390" s="1852" t="s">
        <v>2967</v>
      </c>
      <c r="F390" s="1852" t="s">
        <v>2292</v>
      </c>
      <c r="G390" s="1852" t="s">
        <v>2968</v>
      </c>
      <c r="H390" s="1852" t="s">
        <v>22</v>
      </c>
      <c r="I390" s="1852" t="s">
        <v>1620</v>
      </c>
    </row>
    <row r="391" ht="11.25" customHeight="1">
      <c r="A391" s="1852" t="s">
        <v>2247</v>
      </c>
      <c r="B391" s="1852" t="s">
        <v>16</v>
      </c>
      <c r="C391" s="1852" t="s">
        <v>2969</v>
      </c>
      <c r="D391" s="1852" t="s">
        <v>2970</v>
      </c>
      <c r="E391" s="1852" t="s">
        <v>2971</v>
      </c>
      <c r="F391" s="1852" t="s">
        <v>2263</v>
      </c>
      <c r="G391" s="1852" t="s">
        <v>22</v>
      </c>
      <c r="H391" s="1852" t="s">
        <v>22</v>
      </c>
      <c r="I391" s="1852" t="s">
        <v>1620</v>
      </c>
    </row>
    <row r="392" ht="11.25" customHeight="1">
      <c r="A392" s="1852" t="s">
        <v>2247</v>
      </c>
      <c r="B392" s="1852" t="s">
        <v>16</v>
      </c>
      <c r="C392" s="1852" t="s">
        <v>22</v>
      </c>
      <c r="D392" s="1852" t="s">
        <v>2296</v>
      </c>
      <c r="E392" s="1852" t="s">
        <v>2297</v>
      </c>
      <c r="F392" s="1852" t="s">
        <v>2263</v>
      </c>
      <c r="G392" s="1852" t="s">
        <v>22</v>
      </c>
      <c r="H392" s="1852" t="s">
        <v>22</v>
      </c>
      <c r="I392" s="1852" t="s">
        <v>1620</v>
      </c>
    </row>
    <row r="393" ht="11.25" customHeight="1">
      <c r="A393" s="1852" t="s">
        <v>2247</v>
      </c>
      <c r="B393" s="1852" t="s">
        <v>16</v>
      </c>
      <c r="C393" s="1852" t="s">
        <v>2972</v>
      </c>
      <c r="D393" s="1852" t="s">
        <v>2973</v>
      </c>
      <c r="E393" s="1852" t="s">
        <v>2974</v>
      </c>
      <c r="F393" s="1852" t="s">
        <v>575</v>
      </c>
      <c r="G393" s="1852" t="s">
        <v>22</v>
      </c>
      <c r="H393" s="1852" t="s">
        <v>22</v>
      </c>
      <c r="I393" s="1852" t="s">
        <v>1620</v>
      </c>
    </row>
    <row r="394" ht="11.25" customHeight="1">
      <c r="A394" s="1852" t="s">
        <v>2247</v>
      </c>
      <c r="B394" s="1852" t="s">
        <v>16</v>
      </c>
      <c r="C394" s="1852" t="s">
        <v>2975</v>
      </c>
      <c r="D394" s="1852" t="s">
        <v>2976</v>
      </c>
      <c r="E394" s="1852" t="s">
        <v>2977</v>
      </c>
      <c r="F394" s="1852" t="s">
        <v>575</v>
      </c>
      <c r="G394" s="1852" t="s">
        <v>2978</v>
      </c>
      <c r="H394" s="1852" t="s">
        <v>22</v>
      </c>
      <c r="I394" s="1852" t="s">
        <v>1620</v>
      </c>
    </row>
    <row r="395" ht="11.25" customHeight="1">
      <c r="A395" s="1852" t="s">
        <v>2247</v>
      </c>
      <c r="B395" s="1852" t="s">
        <v>16</v>
      </c>
      <c r="C395" s="1852" t="s">
        <v>2979</v>
      </c>
      <c r="D395" s="1852" t="s">
        <v>2980</v>
      </c>
      <c r="E395" s="1852" t="s">
        <v>2981</v>
      </c>
      <c r="F395" s="1852" t="s">
        <v>575</v>
      </c>
      <c r="G395" s="1852" t="s">
        <v>2982</v>
      </c>
      <c r="H395" s="1852" t="s">
        <v>22</v>
      </c>
      <c r="I395" s="1852" t="s">
        <v>1620</v>
      </c>
    </row>
    <row r="396" ht="11.25" customHeight="1">
      <c r="A396" s="1852" t="s">
        <v>2247</v>
      </c>
      <c r="B396" s="1852" t="s">
        <v>16</v>
      </c>
      <c r="C396" s="1852" t="s">
        <v>2983</v>
      </c>
      <c r="D396" s="1852" t="s">
        <v>2984</v>
      </c>
      <c r="E396" s="1852" t="s">
        <v>2985</v>
      </c>
      <c r="F396" s="1852" t="s">
        <v>575</v>
      </c>
      <c r="G396" s="1852" t="s">
        <v>2986</v>
      </c>
      <c r="H396" s="1852" t="s">
        <v>22</v>
      </c>
      <c r="I396" s="1852" t="s">
        <v>1620</v>
      </c>
    </row>
    <row r="397" ht="11.25" customHeight="1">
      <c r="A397" s="1852" t="s">
        <v>2247</v>
      </c>
      <c r="B397" s="1852" t="s">
        <v>16</v>
      </c>
      <c r="C397" s="1852" t="s">
        <v>2312</v>
      </c>
      <c r="D397" s="1852" t="s">
        <v>2313</v>
      </c>
      <c r="E397" s="1852" t="s">
        <v>2314</v>
      </c>
      <c r="F397" s="1852" t="s">
        <v>2315</v>
      </c>
      <c r="G397" s="1852" t="s">
        <v>2316</v>
      </c>
      <c r="H397" s="1852" t="s">
        <v>22</v>
      </c>
      <c r="I397" s="1852" t="s">
        <v>1620</v>
      </c>
    </row>
    <row r="398" ht="11.25" customHeight="1">
      <c r="A398" s="1852" t="s">
        <v>2247</v>
      </c>
      <c r="B398" s="1852" t="s">
        <v>16</v>
      </c>
      <c r="C398" s="1852" t="s">
        <v>2717</v>
      </c>
      <c r="D398" s="1852" t="s">
        <v>2718</v>
      </c>
      <c r="E398" s="1852" t="s">
        <v>2719</v>
      </c>
      <c r="F398" s="1852" t="s">
        <v>2353</v>
      </c>
      <c r="G398" s="1852" t="s">
        <v>22</v>
      </c>
      <c r="H398" s="1852" t="s">
        <v>22</v>
      </c>
      <c r="I398" s="1852" t="s">
        <v>1620</v>
      </c>
    </row>
    <row r="399" ht="11.25" customHeight="1">
      <c r="A399" s="1852" t="s">
        <v>2247</v>
      </c>
      <c r="B399" s="1852" t="s">
        <v>16</v>
      </c>
      <c r="C399" s="1852" t="s">
        <v>2760</v>
      </c>
      <c r="D399" s="1852" t="s">
        <v>2761</v>
      </c>
      <c r="E399" s="1852" t="s">
        <v>2762</v>
      </c>
      <c r="F399" s="1852" t="s">
        <v>2484</v>
      </c>
      <c r="G399" s="1852" t="s">
        <v>2763</v>
      </c>
      <c r="H399" s="1852" t="s">
        <v>22</v>
      </c>
      <c r="I399" s="1852" t="s">
        <v>1620</v>
      </c>
    </row>
    <row r="400" ht="11.25" customHeight="1">
      <c r="A400" s="1852" t="s">
        <v>2247</v>
      </c>
      <c r="B400" s="1852" t="s">
        <v>16</v>
      </c>
      <c r="C400" s="1852" t="s">
        <v>2987</v>
      </c>
      <c r="D400" s="1852" t="s">
        <v>2988</v>
      </c>
      <c r="E400" s="1852" t="s">
        <v>2989</v>
      </c>
      <c r="F400" s="1852" t="s">
        <v>2358</v>
      </c>
      <c r="G400" s="1852" t="s">
        <v>22</v>
      </c>
      <c r="H400" s="1852" t="s">
        <v>22</v>
      </c>
      <c r="I400" s="1852" t="s">
        <v>1620</v>
      </c>
    </row>
    <row r="401" ht="11.25" customHeight="1">
      <c r="A401" s="1852" t="s">
        <v>2247</v>
      </c>
      <c r="B401" s="1852" t="s">
        <v>16</v>
      </c>
      <c r="C401" s="1852" t="s">
        <v>2468</v>
      </c>
      <c r="D401" s="1852" t="s">
        <v>2469</v>
      </c>
      <c r="E401" s="1852" t="s">
        <v>2470</v>
      </c>
      <c r="F401" s="1852" t="s">
        <v>2320</v>
      </c>
      <c r="G401" s="1852" t="s">
        <v>2471</v>
      </c>
      <c r="H401" s="1852" t="s">
        <v>22</v>
      </c>
      <c r="I401" s="1852" t="s">
        <v>1620</v>
      </c>
    </row>
    <row r="402" ht="11.25" customHeight="1">
      <c r="A402" s="1852" t="s">
        <v>2247</v>
      </c>
      <c r="B402" s="1852" t="s">
        <v>16</v>
      </c>
      <c r="C402" s="1852" t="s">
        <v>2990</v>
      </c>
      <c r="D402" s="1852" t="s">
        <v>2991</v>
      </c>
      <c r="E402" s="1852" t="s">
        <v>2992</v>
      </c>
      <c r="F402" s="1852" t="s">
        <v>2542</v>
      </c>
      <c r="G402" s="1852" t="s">
        <v>22</v>
      </c>
      <c r="H402" s="1852" t="s">
        <v>22</v>
      </c>
      <c r="I402" s="1852" t="s">
        <v>1620</v>
      </c>
    </row>
    <row r="403" ht="11.25" customHeight="1">
      <c r="A403" s="1852" t="s">
        <v>2247</v>
      </c>
      <c r="B403" s="1852" t="s">
        <v>16</v>
      </c>
      <c r="C403" s="1852" t="s">
        <v>2799</v>
      </c>
      <c r="D403" s="1852" t="s">
        <v>2800</v>
      </c>
      <c r="E403" s="1852" t="s">
        <v>2801</v>
      </c>
      <c r="F403" s="1852" t="s">
        <v>2484</v>
      </c>
      <c r="G403" s="1852" t="s">
        <v>22</v>
      </c>
      <c r="H403" s="1852" t="s">
        <v>22</v>
      </c>
      <c r="I403" s="1852" t="s">
        <v>1620</v>
      </c>
    </row>
    <row r="404" ht="11.25" customHeight="1">
      <c r="A404" s="1852" t="s">
        <v>2247</v>
      </c>
      <c r="B404" s="1852" t="s">
        <v>16</v>
      </c>
      <c r="C404" s="1852" t="s">
        <v>2993</v>
      </c>
      <c r="D404" s="1852" t="s">
        <v>2994</v>
      </c>
      <c r="E404" s="1852" t="s">
        <v>2995</v>
      </c>
      <c r="F404" s="1852" t="s">
        <v>2677</v>
      </c>
      <c r="G404" s="1852" t="s">
        <v>22</v>
      </c>
      <c r="H404" s="1852" t="s">
        <v>22</v>
      </c>
      <c r="I404" s="1852" t="s">
        <v>1620</v>
      </c>
    </row>
    <row r="405" ht="11.25" customHeight="1">
      <c r="A405" s="1852" t="s">
        <v>2247</v>
      </c>
      <c r="B405" s="1852" t="s">
        <v>16</v>
      </c>
      <c r="C405" s="1852" t="s">
        <v>2813</v>
      </c>
      <c r="D405" s="1852" t="s">
        <v>2814</v>
      </c>
      <c r="E405" s="1852" t="s">
        <v>2815</v>
      </c>
      <c r="F405" s="1852" t="s">
        <v>2329</v>
      </c>
      <c r="G405" s="1852" t="s">
        <v>22</v>
      </c>
      <c r="H405" s="1852" t="s">
        <v>22</v>
      </c>
      <c r="I405" s="1852" t="s">
        <v>1620</v>
      </c>
    </row>
    <row r="406" ht="11.25" customHeight="1">
      <c r="A406" s="1852" t="s">
        <v>2247</v>
      </c>
      <c r="B406" s="1852" t="s">
        <v>16</v>
      </c>
      <c r="C406" s="1852" t="s">
        <v>2816</v>
      </c>
      <c r="D406" s="1852" t="s">
        <v>2817</v>
      </c>
      <c r="E406" s="1852" t="s">
        <v>2818</v>
      </c>
      <c r="F406" s="1852" t="s">
        <v>2403</v>
      </c>
      <c r="G406" s="1852" t="s">
        <v>22</v>
      </c>
      <c r="H406" s="1852" t="s">
        <v>22</v>
      </c>
      <c r="I406" s="1852" t="s">
        <v>1620</v>
      </c>
    </row>
    <row r="407" ht="11.25" customHeight="1">
      <c r="A407" s="1852" t="s">
        <v>2247</v>
      </c>
      <c r="B407" s="1852" t="s">
        <v>16</v>
      </c>
      <c r="C407" s="1852" t="s">
        <v>2996</v>
      </c>
      <c r="D407" s="1852" t="s">
        <v>2997</v>
      </c>
      <c r="E407" s="1852" t="s">
        <v>2998</v>
      </c>
      <c r="F407" s="1852" t="s">
        <v>2387</v>
      </c>
      <c r="G407" s="1852" t="s">
        <v>22</v>
      </c>
      <c r="H407" s="1852" t="s">
        <v>22</v>
      </c>
      <c r="I407" s="1852" t="s">
        <v>1620</v>
      </c>
    </row>
    <row r="408" ht="11.25" customHeight="1">
      <c r="A408" s="1852" t="s">
        <v>2247</v>
      </c>
      <c r="B408" s="1852" t="s">
        <v>16</v>
      </c>
      <c r="C408" s="1852" t="s">
        <v>2999</v>
      </c>
      <c r="D408" s="1852" t="s">
        <v>3000</v>
      </c>
      <c r="E408" s="1852" t="s">
        <v>3001</v>
      </c>
      <c r="F408" s="1852" t="s">
        <v>2263</v>
      </c>
      <c r="G408" s="1852" t="s">
        <v>3002</v>
      </c>
      <c r="H408" s="1852" t="s">
        <v>22</v>
      </c>
      <c r="I408" s="1852" t="s">
        <v>1620</v>
      </c>
    </row>
    <row r="409" ht="11.25" customHeight="1">
      <c r="A409" s="1852" t="s">
        <v>2247</v>
      </c>
      <c r="B409" s="1852" t="s">
        <v>16</v>
      </c>
      <c r="C409" s="1852" t="s">
        <v>2823</v>
      </c>
      <c r="D409" s="1852" t="s">
        <v>2824</v>
      </c>
      <c r="E409" s="1852" t="s">
        <v>2825</v>
      </c>
      <c r="F409" s="1852" t="s">
        <v>2407</v>
      </c>
      <c r="G409" s="1852" t="s">
        <v>2826</v>
      </c>
      <c r="H409" s="1852" t="s">
        <v>22</v>
      </c>
      <c r="I409" s="1852" t="s">
        <v>1620</v>
      </c>
    </row>
    <row r="410" ht="11.25" customHeight="1">
      <c r="A410" s="1852" t="s">
        <v>2247</v>
      </c>
      <c r="B410" s="1852" t="s">
        <v>16</v>
      </c>
      <c r="C410" s="1852" t="s">
        <v>3003</v>
      </c>
      <c r="D410" s="1852" t="s">
        <v>3004</v>
      </c>
      <c r="E410" s="1852" t="s">
        <v>3005</v>
      </c>
      <c r="F410" s="1852" t="s">
        <v>2382</v>
      </c>
      <c r="G410" s="1852" t="s">
        <v>3006</v>
      </c>
      <c r="H410" s="1852" t="s">
        <v>22</v>
      </c>
      <c r="I410" s="1852" t="s">
        <v>1620</v>
      </c>
    </row>
    <row r="411" ht="11.25" customHeight="1">
      <c r="A411" s="1852" t="s">
        <v>2247</v>
      </c>
      <c r="B411" s="1852" t="s">
        <v>16</v>
      </c>
      <c r="C411" s="1852" t="s">
        <v>3007</v>
      </c>
      <c r="D411" s="1852" t="s">
        <v>3008</v>
      </c>
      <c r="E411" s="1852" t="s">
        <v>3009</v>
      </c>
      <c r="F411" s="1852" t="s">
        <v>2538</v>
      </c>
      <c r="G411" s="1852" t="s">
        <v>3010</v>
      </c>
      <c r="H411" s="1852" t="s">
        <v>22</v>
      </c>
      <c r="I411" s="1852" t="s">
        <v>1620</v>
      </c>
    </row>
    <row r="412" ht="11.25" customHeight="1">
      <c r="A412" s="1852" t="s">
        <v>2247</v>
      </c>
      <c r="B412" s="1852" t="s">
        <v>16</v>
      </c>
      <c r="C412" s="1852" t="s">
        <v>3011</v>
      </c>
      <c r="D412" s="1852" t="s">
        <v>3012</v>
      </c>
      <c r="E412" s="1852" t="s">
        <v>3013</v>
      </c>
      <c r="F412" s="1852" t="s">
        <v>2263</v>
      </c>
      <c r="G412" s="1852" t="s">
        <v>3014</v>
      </c>
      <c r="H412" s="1852" t="s">
        <v>22</v>
      </c>
      <c r="I412" s="1852" t="s">
        <v>1620</v>
      </c>
    </row>
    <row r="413" ht="11.25" customHeight="1">
      <c r="A413" s="1852" t="s">
        <v>2247</v>
      </c>
      <c r="B413" s="1852" t="s">
        <v>16</v>
      </c>
      <c r="C413" s="1852" t="s">
        <v>3015</v>
      </c>
      <c r="D413" s="1852" t="s">
        <v>3016</v>
      </c>
      <c r="E413" s="1852" t="s">
        <v>3017</v>
      </c>
      <c r="F413" s="1852" t="s">
        <v>2263</v>
      </c>
      <c r="G413" s="1852" t="s">
        <v>3018</v>
      </c>
      <c r="H413" s="1852" t="s">
        <v>22</v>
      </c>
      <c r="I413" s="1852" t="s">
        <v>1620</v>
      </c>
    </row>
    <row r="414" ht="11.25" customHeight="1">
      <c r="A414" s="1852" t="s">
        <v>2247</v>
      </c>
      <c r="B414" s="1852" t="s">
        <v>16</v>
      </c>
      <c r="C414" s="1852" t="s">
        <v>3019</v>
      </c>
      <c r="D414" s="1852" t="s">
        <v>3020</v>
      </c>
      <c r="E414" s="1852" t="s">
        <v>3021</v>
      </c>
      <c r="F414" s="1852" t="s">
        <v>3022</v>
      </c>
      <c r="G414" s="1852" t="s">
        <v>22</v>
      </c>
      <c r="H414" s="1852" t="s">
        <v>22</v>
      </c>
      <c r="I414" s="1852" t="s">
        <v>1620</v>
      </c>
    </row>
    <row r="415" ht="11.25" customHeight="1">
      <c r="A415" s="1852" t="s">
        <v>2247</v>
      </c>
      <c r="B415" s="1852" t="s">
        <v>16</v>
      </c>
      <c r="C415" s="1852" t="s">
        <v>3023</v>
      </c>
      <c r="D415" s="1852" t="s">
        <v>3024</v>
      </c>
      <c r="E415" s="1852" t="s">
        <v>3025</v>
      </c>
      <c r="F415" s="1852" t="s">
        <v>2263</v>
      </c>
      <c r="G415" s="1852" t="s">
        <v>3026</v>
      </c>
      <c r="H415" s="1852" t="s">
        <v>22</v>
      </c>
      <c r="I415" s="1852" t="s">
        <v>1620</v>
      </c>
    </row>
    <row r="416" ht="11.25" customHeight="1">
      <c r="A416" s="1852" t="s">
        <v>2247</v>
      </c>
      <c r="B416" s="1852" t="s">
        <v>16</v>
      </c>
      <c r="C416" s="1852" t="s">
        <v>3027</v>
      </c>
      <c r="D416" s="1852" t="s">
        <v>3028</v>
      </c>
      <c r="E416" s="1852" t="s">
        <v>3029</v>
      </c>
      <c r="F416" s="1852" t="s">
        <v>2377</v>
      </c>
      <c r="G416" s="1852" t="s">
        <v>3030</v>
      </c>
      <c r="H416" s="1852" t="s">
        <v>22</v>
      </c>
      <c r="I416" s="1852" t="s">
        <v>1620</v>
      </c>
    </row>
    <row r="417" ht="11.25" customHeight="1">
      <c r="A417" s="1852" t="s">
        <v>2247</v>
      </c>
      <c r="B417" s="1852" t="s">
        <v>16</v>
      </c>
      <c r="C417" s="1852" t="s">
        <v>2892</v>
      </c>
      <c r="D417" s="1852" t="s">
        <v>2893</v>
      </c>
      <c r="E417" s="1852" t="s">
        <v>2894</v>
      </c>
      <c r="F417" s="1852" t="s">
        <v>2704</v>
      </c>
      <c r="G417" s="1852" t="s">
        <v>2895</v>
      </c>
      <c r="H417" s="1852" t="s">
        <v>22</v>
      </c>
      <c r="I417" s="1852" t="s">
        <v>1620</v>
      </c>
    </row>
    <row r="418" ht="11.25" customHeight="1">
      <c r="A418" s="1852" t="s">
        <v>2247</v>
      </c>
      <c r="B418" s="1852" t="s">
        <v>16</v>
      </c>
      <c r="C418" s="1852" t="s">
        <v>3031</v>
      </c>
      <c r="D418" s="1852" t="s">
        <v>3032</v>
      </c>
      <c r="E418" s="1852" t="s">
        <v>3033</v>
      </c>
      <c r="F418" s="1852" t="s">
        <v>2267</v>
      </c>
      <c r="G418" s="1852" t="s">
        <v>22</v>
      </c>
      <c r="H418" s="1852" t="s">
        <v>22</v>
      </c>
      <c r="I418" s="1852" t="s">
        <v>1620</v>
      </c>
    </row>
    <row r="419" ht="11.25" customHeight="1">
      <c r="A419" s="1852" t="s">
        <v>2247</v>
      </c>
      <c r="B419" s="1852" t="s">
        <v>16</v>
      </c>
      <c r="C419" s="1852" t="s">
        <v>2899</v>
      </c>
      <c r="D419" s="1852" t="s">
        <v>2900</v>
      </c>
      <c r="E419" s="1852" t="s">
        <v>2901</v>
      </c>
      <c r="F419" s="1852" t="s">
        <v>2334</v>
      </c>
      <c r="G419" s="1852" t="s">
        <v>22</v>
      </c>
      <c r="H419" s="1852" t="s">
        <v>22</v>
      </c>
      <c r="I419" s="1852" t="s">
        <v>1620</v>
      </c>
    </row>
    <row r="420" ht="11.25" customHeight="1">
      <c r="A420" s="1852" t="s">
        <v>2247</v>
      </c>
      <c r="B420" s="1852" t="s">
        <v>16</v>
      </c>
      <c r="C420" s="1852" t="s">
        <v>3034</v>
      </c>
      <c r="D420" s="1852" t="s">
        <v>3035</v>
      </c>
      <c r="E420" s="1852" t="s">
        <v>3036</v>
      </c>
      <c r="F420" s="1852" t="s">
        <v>2367</v>
      </c>
      <c r="G420" s="1852" t="s">
        <v>3037</v>
      </c>
      <c r="H420" s="1852" t="s">
        <v>22</v>
      </c>
      <c r="I420" s="1852" t="s">
        <v>1620</v>
      </c>
    </row>
    <row r="421" ht="11.25" customHeight="1">
      <c r="A421" s="1852" t="s">
        <v>2247</v>
      </c>
      <c r="B421" s="1852" t="s">
        <v>16</v>
      </c>
      <c r="C421" s="1852" t="s">
        <v>3038</v>
      </c>
      <c r="D421" s="1852" t="s">
        <v>3039</v>
      </c>
      <c r="E421" s="1852" t="s">
        <v>3040</v>
      </c>
      <c r="F421" s="1852" t="s">
        <v>2392</v>
      </c>
      <c r="G421" s="1852" t="s">
        <v>3041</v>
      </c>
      <c r="H421" s="1852" t="s">
        <v>22</v>
      </c>
      <c r="I421" s="1852" t="s">
        <v>1620</v>
      </c>
    </row>
    <row r="422" ht="11.25" customHeight="1">
      <c r="A422" s="1852" t="s">
        <v>2247</v>
      </c>
      <c r="B422" s="1852" t="s">
        <v>16</v>
      </c>
      <c r="C422" s="1852" t="s">
        <v>13</v>
      </c>
      <c r="D422" s="1852" t="s">
        <v>46</v>
      </c>
      <c r="E422" s="1852" t="s">
        <v>49</v>
      </c>
      <c r="F422" s="1852" t="s">
        <v>51</v>
      </c>
      <c r="G422" s="1852" t="s">
        <v>2625</v>
      </c>
      <c r="H422" s="1852" t="s">
        <v>22</v>
      </c>
      <c r="I422" s="1852" t="s">
        <v>1620</v>
      </c>
    </row>
  </sheetData>
  <sheetProtection autoFilter="0" deleteColumns="0" deleteRows="0" formatColumns="0" formatRows="0" insertColumns="1" insertRows="0" sort="0"/>
  <pageMargins left="0.75" right="0.75" top="1" bottom="1" header="0.5" footer="0.5"/>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cols>
    <col min="1" max="1" style="1852" width="9.140625"/>
  </cols>
  <sheetData>
    <row r="1" ht="11.25" customHeight="1">
      <c r="A1" s="375" t="s">
        <v>3042</v>
      </c>
      <c r="B1" s="66" t="s">
        <v>3043</v>
      </c>
      <c r="C1" s="66" t="s">
        <v>3044</v>
      </c>
      <c r="D1" s="66" t="s">
        <v>3045</v>
      </c>
      <c r="E1" s="64" t="s">
        <v>3046</v>
      </c>
      <c r="F1" s="64" t="s">
        <v>3047</v>
      </c>
      <c r="G1" s="64" t="s">
        <v>3048</v>
      </c>
    </row>
    <row r="2" ht="11.25" customHeight="1">
      <c r="A2" s="375" t="s">
        <v>16</v>
      </c>
      <c r="B2" t="s">
        <v>3049</v>
      </c>
      <c r="C2" t="s">
        <v>3050</v>
      </c>
      <c r="D2" t="s">
        <v>3049</v>
      </c>
      <c r="E2" t="s">
        <v>3050</v>
      </c>
      <c r="F2" t="s">
        <v>3051</v>
      </c>
      <c r="G2" t="s">
        <v>110</v>
      </c>
    </row>
    <row r="3" ht="11.25" customHeight="1">
      <c r="A3" s="375" t="s">
        <v>16</v>
      </c>
      <c r="B3" t="s">
        <v>3052</v>
      </c>
      <c r="C3" t="s">
        <v>3053</v>
      </c>
      <c r="D3" t="s">
        <v>3052</v>
      </c>
      <c r="E3" t="s">
        <v>3053</v>
      </c>
      <c r="F3" t="s">
        <v>3054</v>
      </c>
      <c r="G3" t="s">
        <v>111</v>
      </c>
    </row>
    <row r="4" ht="11.25" customHeight="1">
      <c r="A4" s="375" t="s">
        <v>16</v>
      </c>
      <c r="B4" t="s">
        <v>3052</v>
      </c>
      <c r="C4" t="s">
        <v>3053</v>
      </c>
      <c r="D4" t="s">
        <v>3055</v>
      </c>
      <c r="E4" t="s">
        <v>3056</v>
      </c>
      <c r="F4" t="s">
        <v>3057</v>
      </c>
      <c r="G4" t="s">
        <v>90</v>
      </c>
    </row>
    <row r="5" ht="11.25" customHeight="1">
      <c r="A5" s="375" t="s">
        <v>16</v>
      </c>
      <c r="B5" t="s">
        <v>3052</v>
      </c>
      <c r="C5" t="s">
        <v>3053</v>
      </c>
      <c r="D5" t="s">
        <v>3058</v>
      </c>
      <c r="E5" t="s">
        <v>3059</v>
      </c>
      <c r="F5" t="s">
        <v>3060</v>
      </c>
      <c r="G5" t="s">
        <v>91</v>
      </c>
    </row>
    <row r="6" ht="11.25" customHeight="1">
      <c r="A6" s="375" t="s">
        <v>16</v>
      </c>
      <c r="B6" t="s">
        <v>3052</v>
      </c>
      <c r="C6" t="s">
        <v>3053</v>
      </c>
      <c r="D6" t="s">
        <v>3061</v>
      </c>
      <c r="E6" t="s">
        <v>3062</v>
      </c>
      <c r="F6" t="s">
        <v>3060</v>
      </c>
      <c r="G6" t="s">
        <v>112</v>
      </c>
    </row>
    <row r="7" ht="11.25" customHeight="1">
      <c r="A7" s="375" t="s">
        <v>16</v>
      </c>
      <c r="B7" t="s">
        <v>3052</v>
      </c>
      <c r="C7" t="s">
        <v>3053</v>
      </c>
      <c r="D7" t="s">
        <v>3063</v>
      </c>
      <c r="E7" t="s">
        <v>3064</v>
      </c>
      <c r="F7" t="s">
        <v>3060</v>
      </c>
      <c r="G7" t="s">
        <v>92</v>
      </c>
    </row>
    <row r="8" ht="11.25" customHeight="1">
      <c r="A8" s="375" t="s">
        <v>16</v>
      </c>
      <c r="B8" t="s">
        <v>3052</v>
      </c>
      <c r="C8" t="s">
        <v>3053</v>
      </c>
      <c r="D8" t="s">
        <v>3065</v>
      </c>
      <c r="E8" t="s">
        <v>3066</v>
      </c>
      <c r="F8" t="s">
        <v>3060</v>
      </c>
      <c r="G8" t="s">
        <v>93</v>
      </c>
    </row>
    <row r="9" ht="11.25" customHeight="1">
      <c r="A9" s="375" t="s">
        <v>16</v>
      </c>
      <c r="B9" t="s">
        <v>3052</v>
      </c>
      <c r="C9" t="s">
        <v>3053</v>
      </c>
      <c r="D9" t="s">
        <v>3067</v>
      </c>
      <c r="E9" t="s">
        <v>3068</v>
      </c>
      <c r="F9" t="s">
        <v>3060</v>
      </c>
      <c r="G9" t="s">
        <v>113</v>
      </c>
    </row>
    <row r="10" ht="11.25" customHeight="1">
      <c r="A10" s="375" t="s">
        <v>16</v>
      </c>
      <c r="B10" t="s">
        <v>3069</v>
      </c>
      <c r="C10" t="s">
        <v>3070</v>
      </c>
      <c r="D10" t="s">
        <v>3069</v>
      </c>
      <c r="E10" t="s">
        <v>3070</v>
      </c>
      <c r="F10" t="s">
        <v>3071</v>
      </c>
      <c r="G10" t="s">
        <v>150</v>
      </c>
    </row>
    <row r="11" ht="11.25" customHeight="1">
      <c r="A11" s="375" t="s">
        <v>16</v>
      </c>
      <c r="B11" t="s">
        <v>3072</v>
      </c>
      <c r="C11" t="s">
        <v>3073</v>
      </c>
      <c r="D11" t="s">
        <v>3072</v>
      </c>
      <c r="E11" t="s">
        <v>3073</v>
      </c>
      <c r="F11" t="s">
        <v>3071</v>
      </c>
      <c r="G11" t="s">
        <v>151</v>
      </c>
    </row>
    <row r="12" ht="11.25" customHeight="1">
      <c r="A12" s="375" t="s">
        <v>16</v>
      </c>
      <c r="B12" t="s">
        <v>3074</v>
      </c>
      <c r="C12" t="s">
        <v>3075</v>
      </c>
      <c r="D12" t="s">
        <v>3074</v>
      </c>
      <c r="E12" t="s">
        <v>3075</v>
      </c>
      <c r="F12" t="s">
        <v>3071</v>
      </c>
      <c r="G12" t="s">
        <v>152</v>
      </c>
    </row>
    <row r="13" ht="11.25" customHeight="1">
      <c r="A13" s="375" t="s">
        <v>16</v>
      </c>
      <c r="B13" t="s">
        <v>3076</v>
      </c>
      <c r="C13" t="s">
        <v>3077</v>
      </c>
      <c r="D13" t="s">
        <v>3076</v>
      </c>
      <c r="E13" t="s">
        <v>3077</v>
      </c>
      <c r="F13" t="s">
        <v>3071</v>
      </c>
      <c r="G13" t="s">
        <v>153</v>
      </c>
    </row>
    <row r="14" ht="11.25" customHeight="1">
      <c r="A14" s="375" t="s">
        <v>16</v>
      </c>
      <c r="B14" t="s">
        <v>3078</v>
      </c>
      <c r="C14" t="s">
        <v>3079</v>
      </c>
      <c r="D14" t="s">
        <v>3078</v>
      </c>
      <c r="E14" t="s">
        <v>3079</v>
      </c>
      <c r="F14" t="s">
        <v>3051</v>
      </c>
      <c r="G14" t="s">
        <v>154</v>
      </c>
    </row>
    <row r="15" ht="11.25" customHeight="1">
      <c r="A15" s="375" t="s">
        <v>16</v>
      </c>
      <c r="B15" t="s">
        <v>3080</v>
      </c>
      <c r="C15" t="s">
        <v>3081</v>
      </c>
      <c r="D15" t="s">
        <v>3082</v>
      </c>
      <c r="E15" t="s">
        <v>3083</v>
      </c>
      <c r="F15" t="s">
        <v>3060</v>
      </c>
      <c r="G15" t="s">
        <v>155</v>
      </c>
    </row>
    <row r="16" ht="11.25" customHeight="1">
      <c r="A16" s="375" t="s">
        <v>16</v>
      </c>
      <c r="B16" t="s">
        <v>3080</v>
      </c>
      <c r="C16" t="s">
        <v>3081</v>
      </c>
      <c r="D16" t="s">
        <v>3080</v>
      </c>
      <c r="E16" t="s">
        <v>3081</v>
      </c>
      <c r="F16" t="s">
        <v>3054</v>
      </c>
      <c r="G16" t="s">
        <v>1463</v>
      </c>
    </row>
    <row r="17" ht="11.25" customHeight="1">
      <c r="A17" s="375" t="s">
        <v>16</v>
      </c>
      <c r="B17" t="s">
        <v>3080</v>
      </c>
      <c r="C17" t="s">
        <v>3081</v>
      </c>
      <c r="D17" t="s">
        <v>3084</v>
      </c>
      <c r="E17" t="s">
        <v>3085</v>
      </c>
      <c r="F17" t="s">
        <v>3057</v>
      </c>
      <c r="G17" t="s">
        <v>1469</v>
      </c>
    </row>
    <row r="18" ht="11.25" customHeight="1">
      <c r="A18" s="375" t="s">
        <v>16</v>
      </c>
      <c r="B18" t="s">
        <v>3080</v>
      </c>
      <c r="C18" t="s">
        <v>3081</v>
      </c>
      <c r="D18" t="s">
        <v>3086</v>
      </c>
      <c r="E18" t="s">
        <v>3087</v>
      </c>
      <c r="F18" t="s">
        <v>3060</v>
      </c>
      <c r="G18" t="s">
        <v>1481</v>
      </c>
    </row>
    <row r="19" ht="11.25" customHeight="1">
      <c r="A19" s="375" t="s">
        <v>16</v>
      </c>
      <c r="B19" t="s">
        <v>3080</v>
      </c>
      <c r="C19" t="s">
        <v>3081</v>
      </c>
      <c r="D19" t="s">
        <v>3088</v>
      </c>
      <c r="E19" t="s">
        <v>3089</v>
      </c>
      <c r="F19" t="s">
        <v>3060</v>
      </c>
      <c r="G19" t="s">
        <v>1495</v>
      </c>
    </row>
    <row r="20" ht="11.25" customHeight="1">
      <c r="A20" s="375" t="s">
        <v>16</v>
      </c>
      <c r="B20" t="s">
        <v>3080</v>
      </c>
      <c r="C20" t="s">
        <v>3081</v>
      </c>
      <c r="D20" t="s">
        <v>3090</v>
      </c>
      <c r="E20" t="s">
        <v>3091</v>
      </c>
      <c r="F20" t="s">
        <v>3060</v>
      </c>
      <c r="G20" t="s">
        <v>1507</v>
      </c>
    </row>
    <row r="21" ht="11.25" customHeight="1">
      <c r="A21" s="375" t="s">
        <v>16</v>
      </c>
      <c r="B21" t="s">
        <v>3080</v>
      </c>
      <c r="C21" t="s">
        <v>3081</v>
      </c>
      <c r="D21" t="s">
        <v>3092</v>
      </c>
      <c r="E21" t="s">
        <v>3093</v>
      </c>
      <c r="F21" t="s">
        <v>3060</v>
      </c>
      <c r="G21" t="s">
        <v>1516</v>
      </c>
    </row>
    <row r="22" ht="11.25" customHeight="1">
      <c r="A22" s="375" t="s">
        <v>16</v>
      </c>
      <c r="B22" t="s">
        <v>3094</v>
      </c>
      <c r="C22" t="s">
        <v>3095</v>
      </c>
      <c r="D22" t="s">
        <v>3094</v>
      </c>
      <c r="E22" t="s">
        <v>3095</v>
      </c>
      <c r="F22" t="s">
        <v>3051</v>
      </c>
      <c r="G22" t="s">
        <v>1532</v>
      </c>
    </row>
    <row r="23" ht="11.25" customHeight="1">
      <c r="A23" s="375" t="s">
        <v>16</v>
      </c>
      <c r="B23" t="s">
        <v>3096</v>
      </c>
      <c r="C23" t="s">
        <v>3097</v>
      </c>
      <c r="D23" t="s">
        <v>3098</v>
      </c>
      <c r="E23" t="s">
        <v>3099</v>
      </c>
      <c r="F23" t="s">
        <v>3060</v>
      </c>
      <c r="G23" t="s">
        <v>1539</v>
      </c>
    </row>
    <row r="24" ht="11.25" customHeight="1">
      <c r="A24" s="375" t="s">
        <v>16</v>
      </c>
      <c r="B24" t="s">
        <v>3096</v>
      </c>
      <c r="C24" t="s">
        <v>3097</v>
      </c>
      <c r="D24" t="s">
        <v>3100</v>
      </c>
      <c r="E24" t="s">
        <v>3101</v>
      </c>
      <c r="F24" t="s">
        <v>3060</v>
      </c>
      <c r="G24" t="s">
        <v>1547</v>
      </c>
    </row>
    <row r="25" ht="11.25" customHeight="1">
      <c r="A25" s="375" t="s">
        <v>16</v>
      </c>
      <c r="B25" t="s">
        <v>3096</v>
      </c>
      <c r="C25" t="s">
        <v>3097</v>
      </c>
      <c r="D25" t="s">
        <v>3102</v>
      </c>
      <c r="E25" t="s">
        <v>3103</v>
      </c>
      <c r="F25" t="s">
        <v>3060</v>
      </c>
      <c r="G25" t="s">
        <v>1554</v>
      </c>
    </row>
    <row r="26" ht="11.25" customHeight="1">
      <c r="A26" s="375" t="s">
        <v>16</v>
      </c>
      <c r="B26" t="s">
        <v>3096</v>
      </c>
      <c r="C26" t="s">
        <v>3097</v>
      </c>
      <c r="D26" t="s">
        <v>3104</v>
      </c>
      <c r="E26" t="s">
        <v>3105</v>
      </c>
      <c r="F26" t="s">
        <v>3060</v>
      </c>
      <c r="G26" t="s">
        <v>1558</v>
      </c>
    </row>
    <row r="27" ht="11.25" customHeight="1">
      <c r="A27" s="375" t="s">
        <v>16</v>
      </c>
      <c r="B27" t="s">
        <v>3096</v>
      </c>
      <c r="C27" t="s">
        <v>3097</v>
      </c>
      <c r="D27" t="s">
        <v>3096</v>
      </c>
      <c r="E27" t="s">
        <v>3097</v>
      </c>
      <c r="F27" t="s">
        <v>3054</v>
      </c>
      <c r="G27" t="s">
        <v>1563</v>
      </c>
    </row>
    <row r="28" ht="11.25" customHeight="1">
      <c r="A28" s="375" t="s">
        <v>16</v>
      </c>
      <c r="B28" t="s">
        <v>3096</v>
      </c>
      <c r="C28" t="s">
        <v>3097</v>
      </c>
      <c r="D28" t="s">
        <v>3106</v>
      </c>
      <c r="E28" t="s">
        <v>3107</v>
      </c>
      <c r="F28" t="s">
        <v>3060</v>
      </c>
      <c r="G28" t="s">
        <v>1571</v>
      </c>
    </row>
    <row r="29" ht="11.25" customHeight="1">
      <c r="A29" s="375" t="s">
        <v>16</v>
      </c>
      <c r="B29" t="s">
        <v>3096</v>
      </c>
      <c r="C29" t="s">
        <v>3097</v>
      </c>
      <c r="D29" t="s">
        <v>3108</v>
      </c>
      <c r="E29" t="s">
        <v>3109</v>
      </c>
      <c r="F29" t="s">
        <v>3060</v>
      </c>
      <c r="G29" t="s">
        <v>1573</v>
      </c>
    </row>
    <row r="30" ht="11.25" customHeight="1">
      <c r="A30" s="375" t="s">
        <v>16</v>
      </c>
      <c r="B30" t="s">
        <v>3096</v>
      </c>
      <c r="C30" t="s">
        <v>3097</v>
      </c>
      <c r="D30" t="s">
        <v>3110</v>
      </c>
      <c r="E30" t="s">
        <v>3111</v>
      </c>
      <c r="F30" t="s">
        <v>3060</v>
      </c>
      <c r="G30" t="s">
        <v>1576</v>
      </c>
    </row>
    <row r="31" ht="11.25" customHeight="1">
      <c r="A31" s="375" t="s">
        <v>16</v>
      </c>
      <c r="B31" t="s">
        <v>3112</v>
      </c>
      <c r="C31" t="s">
        <v>3113</v>
      </c>
      <c r="D31" t="s">
        <v>3112</v>
      </c>
      <c r="E31" t="s">
        <v>3113</v>
      </c>
      <c r="F31" t="s">
        <v>3051</v>
      </c>
      <c r="G31" t="s">
        <v>1582</v>
      </c>
    </row>
    <row r="32" ht="11.25" customHeight="1">
      <c r="A32" s="375" t="s">
        <v>16</v>
      </c>
      <c r="B32" t="s">
        <v>3114</v>
      </c>
      <c r="C32" t="s">
        <v>3115</v>
      </c>
      <c r="D32" t="s">
        <v>3116</v>
      </c>
      <c r="E32" t="s">
        <v>3117</v>
      </c>
      <c r="F32" t="s">
        <v>3060</v>
      </c>
      <c r="G32" t="s">
        <v>1584</v>
      </c>
    </row>
    <row r="33" ht="11.25" customHeight="1">
      <c r="A33" s="375" t="s">
        <v>16</v>
      </c>
      <c r="B33" t="s">
        <v>3114</v>
      </c>
      <c r="C33" t="s">
        <v>3115</v>
      </c>
      <c r="D33" t="s">
        <v>3118</v>
      </c>
      <c r="E33" t="s">
        <v>3119</v>
      </c>
      <c r="F33" t="s">
        <v>3060</v>
      </c>
      <c r="G33" t="s">
        <v>1586</v>
      </c>
    </row>
    <row r="34" ht="11.25" customHeight="1">
      <c r="A34" s="375" t="s">
        <v>16</v>
      </c>
      <c r="B34" t="s">
        <v>3114</v>
      </c>
      <c r="C34" t="s">
        <v>3115</v>
      </c>
      <c r="D34" t="s">
        <v>3114</v>
      </c>
      <c r="E34" t="s">
        <v>3115</v>
      </c>
      <c r="F34" t="s">
        <v>3054</v>
      </c>
      <c r="G34" t="s">
        <v>1588</v>
      </c>
    </row>
    <row r="35" ht="11.25" customHeight="1">
      <c r="A35" s="375" t="s">
        <v>16</v>
      </c>
      <c r="B35" t="s">
        <v>3114</v>
      </c>
      <c r="C35" t="s">
        <v>3115</v>
      </c>
      <c r="D35" t="s">
        <v>3120</v>
      </c>
      <c r="E35" t="s">
        <v>3121</v>
      </c>
      <c r="F35" t="s">
        <v>3057</v>
      </c>
      <c r="G35" t="s">
        <v>1593</v>
      </c>
    </row>
    <row r="36" ht="11.25" customHeight="1">
      <c r="A36" s="375" t="s">
        <v>16</v>
      </c>
      <c r="B36" t="s">
        <v>3114</v>
      </c>
      <c r="C36" t="s">
        <v>3115</v>
      </c>
      <c r="D36" t="s">
        <v>3122</v>
      </c>
      <c r="E36" t="s">
        <v>3123</v>
      </c>
      <c r="F36" t="s">
        <v>3060</v>
      </c>
      <c r="G36" t="s">
        <v>1598</v>
      </c>
    </row>
    <row r="37" ht="11.25" customHeight="1">
      <c r="A37" s="375" t="s">
        <v>16</v>
      </c>
      <c r="B37" t="s">
        <v>3114</v>
      </c>
      <c r="C37" t="s">
        <v>3115</v>
      </c>
      <c r="D37" t="s">
        <v>3124</v>
      </c>
      <c r="E37" t="s">
        <v>3125</v>
      </c>
      <c r="F37" t="s">
        <v>3060</v>
      </c>
      <c r="G37" t="s">
        <v>1602</v>
      </c>
    </row>
    <row r="38" ht="11.25" customHeight="1">
      <c r="A38" s="375" t="s">
        <v>16</v>
      </c>
      <c r="B38" t="s">
        <v>3126</v>
      </c>
      <c r="C38" t="s">
        <v>3127</v>
      </c>
      <c r="D38" t="s">
        <v>3126</v>
      </c>
      <c r="E38" t="s">
        <v>3127</v>
      </c>
      <c r="F38" t="s">
        <v>3051</v>
      </c>
      <c r="G38" t="s">
        <v>1610</v>
      </c>
    </row>
    <row r="39" ht="11.25" customHeight="1">
      <c r="A39" s="375" t="s">
        <v>16</v>
      </c>
      <c r="B39" t="s">
        <v>3128</v>
      </c>
      <c r="C39" t="s">
        <v>3129</v>
      </c>
      <c r="D39" t="s">
        <v>3130</v>
      </c>
      <c r="E39" t="s">
        <v>3131</v>
      </c>
      <c r="F39" t="s">
        <v>3060</v>
      </c>
      <c r="G39" t="s">
        <v>1616</v>
      </c>
    </row>
    <row r="40" ht="11.25" customHeight="1">
      <c r="A40" s="375" t="s">
        <v>16</v>
      </c>
      <c r="B40" t="s">
        <v>3128</v>
      </c>
      <c r="C40" t="s">
        <v>3129</v>
      </c>
      <c r="D40" t="s">
        <v>3132</v>
      </c>
      <c r="E40" t="s">
        <v>3133</v>
      </c>
      <c r="F40" t="s">
        <v>3060</v>
      </c>
      <c r="G40" t="s">
        <v>1621</v>
      </c>
    </row>
    <row r="41" ht="11.25" customHeight="1">
      <c r="A41" s="375" t="s">
        <v>16</v>
      </c>
      <c r="B41" t="s">
        <v>3128</v>
      </c>
      <c r="C41" t="s">
        <v>3129</v>
      </c>
      <c r="D41" t="s">
        <v>3134</v>
      </c>
      <c r="E41" t="s">
        <v>3135</v>
      </c>
      <c r="F41" t="s">
        <v>3060</v>
      </c>
      <c r="G41" t="s">
        <v>1625</v>
      </c>
    </row>
    <row r="42" ht="11.25" customHeight="1">
      <c r="A42" s="375" t="s">
        <v>16</v>
      </c>
      <c r="B42" t="s">
        <v>3128</v>
      </c>
      <c r="C42" t="s">
        <v>3129</v>
      </c>
      <c r="D42" t="s">
        <v>3136</v>
      </c>
      <c r="E42" t="s">
        <v>3137</v>
      </c>
      <c r="F42" t="s">
        <v>3060</v>
      </c>
      <c r="G42" t="s">
        <v>1628</v>
      </c>
    </row>
    <row r="43" ht="11.25" customHeight="1">
      <c r="A43" s="375" t="s">
        <v>16</v>
      </c>
      <c r="B43" t="s">
        <v>3128</v>
      </c>
      <c r="C43" t="s">
        <v>3129</v>
      </c>
      <c r="D43" t="s">
        <v>3138</v>
      </c>
      <c r="E43" t="s">
        <v>3139</v>
      </c>
      <c r="F43" t="s">
        <v>3057</v>
      </c>
      <c r="G43" t="s">
        <v>1635</v>
      </c>
    </row>
    <row r="44" ht="11.25" customHeight="1">
      <c r="A44" s="375" t="s">
        <v>16</v>
      </c>
      <c r="B44" t="s">
        <v>3128</v>
      </c>
      <c r="C44" t="s">
        <v>3129</v>
      </c>
      <c r="D44" t="s">
        <v>3140</v>
      </c>
      <c r="E44" t="s">
        <v>3141</v>
      </c>
      <c r="F44" t="s">
        <v>3060</v>
      </c>
      <c r="G44" t="s">
        <v>1644</v>
      </c>
    </row>
    <row r="45" ht="11.25" customHeight="1">
      <c r="A45" s="375" t="s">
        <v>16</v>
      </c>
      <c r="B45" t="s">
        <v>3128</v>
      </c>
      <c r="C45" t="s">
        <v>3129</v>
      </c>
      <c r="D45" t="s">
        <v>3142</v>
      </c>
      <c r="E45" t="s">
        <v>3143</v>
      </c>
      <c r="F45" t="s">
        <v>3057</v>
      </c>
      <c r="G45" t="s">
        <v>1649</v>
      </c>
    </row>
    <row r="46" ht="11.25" customHeight="1">
      <c r="A46" s="375" t="s">
        <v>16</v>
      </c>
      <c r="B46" t="s">
        <v>3128</v>
      </c>
      <c r="C46" t="s">
        <v>3129</v>
      </c>
      <c r="D46" t="s">
        <v>3144</v>
      </c>
      <c r="E46" t="s">
        <v>3145</v>
      </c>
      <c r="F46" t="s">
        <v>3060</v>
      </c>
      <c r="G46" t="s">
        <v>1652</v>
      </c>
    </row>
    <row r="47" ht="11.25" customHeight="1">
      <c r="A47" s="375" t="s">
        <v>16</v>
      </c>
      <c r="B47" t="s">
        <v>3128</v>
      </c>
      <c r="C47" t="s">
        <v>3129</v>
      </c>
      <c r="D47" t="s">
        <v>3146</v>
      </c>
      <c r="E47" t="s">
        <v>3147</v>
      </c>
      <c r="F47" t="s">
        <v>3060</v>
      </c>
      <c r="G47" t="s">
        <v>1658</v>
      </c>
    </row>
    <row r="48" ht="11.25" customHeight="1">
      <c r="A48" s="375" t="s">
        <v>16</v>
      </c>
      <c r="B48" t="s">
        <v>3128</v>
      </c>
      <c r="C48" t="s">
        <v>3129</v>
      </c>
      <c r="D48" t="s">
        <v>3128</v>
      </c>
      <c r="E48" t="s">
        <v>3129</v>
      </c>
      <c r="F48" t="s">
        <v>3054</v>
      </c>
      <c r="G48" t="s">
        <v>1663</v>
      </c>
    </row>
    <row r="49" ht="11.25" customHeight="1">
      <c r="A49" s="375" t="s">
        <v>16</v>
      </c>
      <c r="B49" t="s">
        <v>3128</v>
      </c>
      <c r="C49" t="s">
        <v>3129</v>
      </c>
      <c r="D49" t="s">
        <v>3148</v>
      </c>
      <c r="E49" t="s">
        <v>3149</v>
      </c>
      <c r="F49" t="s">
        <v>3060</v>
      </c>
      <c r="G49" t="s">
        <v>1666</v>
      </c>
    </row>
    <row r="50" ht="11.25" customHeight="1">
      <c r="A50" s="375" t="s">
        <v>16</v>
      </c>
      <c r="B50" t="s">
        <v>3128</v>
      </c>
      <c r="C50" t="s">
        <v>3129</v>
      </c>
      <c r="D50" t="s">
        <v>3150</v>
      </c>
      <c r="E50" t="s">
        <v>3151</v>
      </c>
      <c r="F50" t="s">
        <v>3060</v>
      </c>
      <c r="G50" t="s">
        <v>1670</v>
      </c>
    </row>
    <row r="51" ht="11.25" customHeight="1">
      <c r="A51" s="375" t="s">
        <v>16</v>
      </c>
      <c r="B51" t="s">
        <v>3128</v>
      </c>
      <c r="C51" t="s">
        <v>3129</v>
      </c>
      <c r="D51" t="s">
        <v>3152</v>
      </c>
      <c r="E51" t="s">
        <v>3153</v>
      </c>
      <c r="F51" t="s">
        <v>3060</v>
      </c>
      <c r="G51" t="s">
        <v>1675</v>
      </c>
    </row>
    <row r="52" ht="11.25" customHeight="1">
      <c r="A52" s="375" t="s">
        <v>16</v>
      </c>
      <c r="B52" t="s">
        <v>3128</v>
      </c>
      <c r="C52" t="s">
        <v>3129</v>
      </c>
      <c r="D52" t="s">
        <v>3154</v>
      </c>
      <c r="E52" t="s">
        <v>3155</v>
      </c>
      <c r="F52" t="s">
        <v>3060</v>
      </c>
      <c r="G52" t="s">
        <v>1679</v>
      </c>
    </row>
    <row r="53" ht="11.25" customHeight="1">
      <c r="A53" s="375" t="s">
        <v>16</v>
      </c>
      <c r="B53" t="s">
        <v>3128</v>
      </c>
      <c r="C53" t="s">
        <v>3129</v>
      </c>
      <c r="D53" t="s">
        <v>3156</v>
      </c>
      <c r="E53" t="s">
        <v>3157</v>
      </c>
      <c r="F53" t="s">
        <v>3060</v>
      </c>
      <c r="G53" t="s">
        <v>1681</v>
      </c>
    </row>
    <row r="54" ht="11.25" customHeight="1">
      <c r="A54" s="375" t="s">
        <v>16</v>
      </c>
      <c r="B54" t="s">
        <v>3128</v>
      </c>
      <c r="C54" t="s">
        <v>3129</v>
      </c>
      <c r="D54" t="s">
        <v>3158</v>
      </c>
      <c r="E54" t="s">
        <v>3159</v>
      </c>
      <c r="F54" t="s">
        <v>3060</v>
      </c>
      <c r="G54" t="s">
        <v>1684</v>
      </c>
    </row>
    <row r="55" ht="11.25" customHeight="1">
      <c r="A55" s="375" t="s">
        <v>16</v>
      </c>
      <c r="B55" t="s">
        <v>3128</v>
      </c>
      <c r="C55" t="s">
        <v>3129</v>
      </c>
      <c r="D55" t="s">
        <v>3160</v>
      </c>
      <c r="E55" t="s">
        <v>3161</v>
      </c>
      <c r="F55" t="s">
        <v>3060</v>
      </c>
      <c r="G55" t="s">
        <v>1688</v>
      </c>
    </row>
    <row r="56" ht="11.25" customHeight="1">
      <c r="A56" s="375" t="s">
        <v>16</v>
      </c>
      <c r="B56" t="s">
        <v>3128</v>
      </c>
      <c r="C56" t="s">
        <v>3129</v>
      </c>
      <c r="D56" t="s">
        <v>3162</v>
      </c>
      <c r="E56" t="s">
        <v>3163</v>
      </c>
      <c r="F56" t="s">
        <v>3060</v>
      </c>
      <c r="G56" t="s">
        <v>1691</v>
      </c>
    </row>
    <row r="57" ht="11.25" customHeight="1">
      <c r="A57" s="375" t="s">
        <v>16</v>
      </c>
      <c r="B57" t="s">
        <v>3128</v>
      </c>
      <c r="C57" t="s">
        <v>3129</v>
      </c>
      <c r="D57" t="s">
        <v>3164</v>
      </c>
      <c r="E57" t="s">
        <v>3165</v>
      </c>
      <c r="F57" t="s">
        <v>3060</v>
      </c>
      <c r="G57" t="s">
        <v>1694</v>
      </c>
    </row>
    <row r="58" ht="11.25" customHeight="1">
      <c r="A58" s="375" t="s">
        <v>16</v>
      </c>
      <c r="B58" t="s">
        <v>3128</v>
      </c>
      <c r="C58" t="s">
        <v>3129</v>
      </c>
      <c r="D58" t="s">
        <v>3166</v>
      </c>
      <c r="E58" t="s">
        <v>3167</v>
      </c>
      <c r="F58" t="s">
        <v>3060</v>
      </c>
      <c r="G58" t="s">
        <v>1697</v>
      </c>
    </row>
    <row r="59" ht="11.25" customHeight="1">
      <c r="A59" s="375" t="s">
        <v>16</v>
      </c>
      <c r="B59" t="s">
        <v>3128</v>
      </c>
      <c r="C59" t="s">
        <v>3129</v>
      </c>
      <c r="D59" t="s">
        <v>3168</v>
      </c>
      <c r="E59" t="s">
        <v>3169</v>
      </c>
      <c r="F59" t="s">
        <v>3060</v>
      </c>
      <c r="G59" t="s">
        <v>1701</v>
      </c>
    </row>
    <row r="60" ht="11.25" customHeight="1">
      <c r="A60" s="375" t="s">
        <v>16</v>
      </c>
      <c r="B60" t="s">
        <v>3128</v>
      </c>
      <c r="C60" t="s">
        <v>3129</v>
      </c>
      <c r="D60" t="s">
        <v>3170</v>
      </c>
      <c r="E60" t="s">
        <v>3171</v>
      </c>
      <c r="F60" t="s">
        <v>3057</v>
      </c>
      <c r="G60" t="s">
        <v>1704</v>
      </c>
    </row>
    <row r="61" ht="11.25" customHeight="1">
      <c r="A61" s="375" t="s">
        <v>16</v>
      </c>
      <c r="B61" t="s">
        <v>3128</v>
      </c>
      <c r="C61" t="s">
        <v>3129</v>
      </c>
      <c r="D61" t="s">
        <v>3172</v>
      </c>
      <c r="E61" t="s">
        <v>3173</v>
      </c>
      <c r="F61" t="s">
        <v>3060</v>
      </c>
      <c r="G61" t="s">
        <v>3174</v>
      </c>
    </row>
    <row r="62" ht="11.25" customHeight="1">
      <c r="A62" s="375" t="s">
        <v>16</v>
      </c>
      <c r="B62" t="s">
        <v>3128</v>
      </c>
      <c r="C62" t="s">
        <v>3129</v>
      </c>
      <c r="D62" t="s">
        <v>3175</v>
      </c>
      <c r="E62" t="s">
        <v>3176</v>
      </c>
      <c r="F62" t="s">
        <v>3060</v>
      </c>
      <c r="G62" t="s">
        <v>3177</v>
      </c>
    </row>
    <row r="63" ht="11.25" customHeight="1">
      <c r="A63" s="375" t="s">
        <v>16</v>
      </c>
      <c r="B63" t="s">
        <v>3128</v>
      </c>
      <c r="C63" t="s">
        <v>3129</v>
      </c>
      <c r="D63" t="s">
        <v>3178</v>
      </c>
      <c r="E63" t="s">
        <v>3179</v>
      </c>
      <c r="F63" t="s">
        <v>3060</v>
      </c>
      <c r="G63" t="s">
        <v>3180</v>
      </c>
    </row>
    <row r="64" ht="11.25" customHeight="1">
      <c r="A64" s="375" t="s">
        <v>16</v>
      </c>
      <c r="B64" t="s">
        <v>3181</v>
      </c>
      <c r="C64" t="s">
        <v>3182</v>
      </c>
      <c r="D64" t="s">
        <v>3181</v>
      </c>
      <c r="E64" t="s">
        <v>3182</v>
      </c>
      <c r="F64" t="s">
        <v>3051</v>
      </c>
      <c r="G64" t="s">
        <v>3183</v>
      </c>
    </row>
    <row r="65" ht="11.25" customHeight="1">
      <c r="A65" s="375" t="s">
        <v>16</v>
      </c>
      <c r="B65" t="s">
        <v>3184</v>
      </c>
      <c r="C65" t="s">
        <v>3185</v>
      </c>
      <c r="D65" t="s">
        <v>3186</v>
      </c>
      <c r="E65" t="s">
        <v>3187</v>
      </c>
      <c r="F65" t="s">
        <v>3060</v>
      </c>
      <c r="G65" t="s">
        <v>3188</v>
      </c>
    </row>
    <row r="66" ht="11.25" customHeight="1">
      <c r="A66" s="375" t="s">
        <v>16</v>
      </c>
      <c r="B66" t="s">
        <v>3184</v>
      </c>
      <c r="C66" t="s">
        <v>3185</v>
      </c>
      <c r="D66" t="s">
        <v>3189</v>
      </c>
      <c r="E66" t="s">
        <v>3190</v>
      </c>
      <c r="F66" t="s">
        <v>3060</v>
      </c>
      <c r="G66" t="s">
        <v>3191</v>
      </c>
    </row>
    <row r="67" ht="11.25" customHeight="1">
      <c r="A67" s="375" t="s">
        <v>16</v>
      </c>
      <c r="B67" t="s">
        <v>3184</v>
      </c>
      <c r="C67" t="s">
        <v>3185</v>
      </c>
      <c r="D67" t="s">
        <v>3192</v>
      </c>
      <c r="E67" t="s">
        <v>3193</v>
      </c>
      <c r="F67" t="s">
        <v>3060</v>
      </c>
      <c r="G67" t="s">
        <v>2021</v>
      </c>
    </row>
    <row r="68" ht="11.25" customHeight="1">
      <c r="A68" s="375" t="s">
        <v>16</v>
      </c>
      <c r="B68" t="s">
        <v>3184</v>
      </c>
      <c r="C68" t="s">
        <v>3185</v>
      </c>
      <c r="D68" t="s">
        <v>3194</v>
      </c>
      <c r="E68" t="s">
        <v>3195</v>
      </c>
      <c r="F68" t="s">
        <v>3060</v>
      </c>
      <c r="G68" t="s">
        <v>3196</v>
      </c>
    </row>
    <row r="69" ht="11.25" customHeight="1">
      <c r="A69" s="375" t="s">
        <v>16</v>
      </c>
      <c r="B69" t="s">
        <v>3184</v>
      </c>
      <c r="C69" t="s">
        <v>3185</v>
      </c>
      <c r="D69" t="s">
        <v>3184</v>
      </c>
      <c r="E69" t="s">
        <v>3185</v>
      </c>
      <c r="F69" t="s">
        <v>3054</v>
      </c>
      <c r="G69" t="s">
        <v>2224</v>
      </c>
    </row>
    <row r="70" ht="11.25" customHeight="1">
      <c r="A70" s="375" t="s">
        <v>16</v>
      </c>
      <c r="B70" t="s">
        <v>3184</v>
      </c>
      <c r="C70" t="s">
        <v>3185</v>
      </c>
      <c r="D70" t="s">
        <v>3197</v>
      </c>
      <c r="E70" t="s">
        <v>3198</v>
      </c>
      <c r="F70" t="s">
        <v>3060</v>
      </c>
      <c r="G70" t="s">
        <v>3199</v>
      </c>
    </row>
    <row r="71" ht="11.25" customHeight="1">
      <c r="A71" s="375" t="s">
        <v>16</v>
      </c>
      <c r="B71" t="s">
        <v>3184</v>
      </c>
      <c r="C71" t="s">
        <v>3185</v>
      </c>
      <c r="D71" t="s">
        <v>3200</v>
      </c>
      <c r="E71" t="s">
        <v>3201</v>
      </c>
      <c r="F71" t="s">
        <v>3060</v>
      </c>
      <c r="G71" t="s">
        <v>3202</v>
      </c>
    </row>
    <row r="72" ht="11.25" customHeight="1">
      <c r="A72" s="375" t="s">
        <v>16</v>
      </c>
      <c r="B72" t="s">
        <v>3184</v>
      </c>
      <c r="C72" t="s">
        <v>3185</v>
      </c>
      <c r="D72" t="s">
        <v>3203</v>
      </c>
      <c r="E72" t="s">
        <v>3204</v>
      </c>
      <c r="F72" t="s">
        <v>3060</v>
      </c>
      <c r="G72" t="s">
        <v>3205</v>
      </c>
    </row>
    <row r="73" ht="11.25" customHeight="1">
      <c r="A73" s="375" t="s">
        <v>16</v>
      </c>
      <c r="B73" t="s">
        <v>3184</v>
      </c>
      <c r="C73" t="s">
        <v>3185</v>
      </c>
      <c r="D73" t="s">
        <v>3206</v>
      </c>
      <c r="E73" t="s">
        <v>3207</v>
      </c>
      <c r="F73" t="s">
        <v>3060</v>
      </c>
      <c r="G73" t="s">
        <v>3208</v>
      </c>
    </row>
    <row r="74" ht="11.25" customHeight="1">
      <c r="A74" s="375" t="s">
        <v>16</v>
      </c>
      <c r="B74" t="s">
        <v>3184</v>
      </c>
      <c r="C74" t="s">
        <v>3185</v>
      </c>
      <c r="D74" t="s">
        <v>3209</v>
      </c>
      <c r="E74" t="s">
        <v>3210</v>
      </c>
      <c r="F74" t="s">
        <v>3060</v>
      </c>
      <c r="G74" t="s">
        <v>3211</v>
      </c>
    </row>
    <row r="75" ht="11.25" customHeight="1">
      <c r="A75" s="375" t="s">
        <v>16</v>
      </c>
      <c r="B75" t="s">
        <v>3184</v>
      </c>
      <c r="C75" t="s">
        <v>3185</v>
      </c>
      <c r="D75" t="s">
        <v>3212</v>
      </c>
      <c r="E75" t="s">
        <v>3213</v>
      </c>
      <c r="F75" t="s">
        <v>3214</v>
      </c>
      <c r="G75" t="s">
        <v>3215</v>
      </c>
    </row>
    <row r="76" ht="11.25" customHeight="1">
      <c r="A76" s="375" t="s">
        <v>16</v>
      </c>
      <c r="B76" t="s">
        <v>3184</v>
      </c>
      <c r="C76" t="s">
        <v>3185</v>
      </c>
      <c r="D76" t="s">
        <v>3216</v>
      </c>
      <c r="E76" t="s">
        <v>3217</v>
      </c>
      <c r="F76" t="s">
        <v>3057</v>
      </c>
      <c r="G76" t="s">
        <v>3218</v>
      </c>
    </row>
    <row r="77" ht="11.25" customHeight="1">
      <c r="A77" s="375" t="s">
        <v>16</v>
      </c>
      <c r="B77" t="s">
        <v>3184</v>
      </c>
      <c r="C77" t="s">
        <v>3185</v>
      </c>
      <c r="D77" t="s">
        <v>3219</v>
      </c>
      <c r="E77" t="s">
        <v>3220</v>
      </c>
      <c r="F77" t="s">
        <v>3060</v>
      </c>
      <c r="G77" t="s">
        <v>3221</v>
      </c>
    </row>
    <row r="78" ht="11.25" customHeight="1">
      <c r="A78" s="375" t="s">
        <v>16</v>
      </c>
      <c r="B78" t="s">
        <v>3222</v>
      </c>
      <c r="C78" t="s">
        <v>3223</v>
      </c>
      <c r="D78" t="s">
        <v>3222</v>
      </c>
      <c r="E78" t="s">
        <v>3223</v>
      </c>
      <c r="F78" t="s">
        <v>3051</v>
      </c>
      <c r="G78" t="s">
        <v>3224</v>
      </c>
    </row>
    <row r="79" ht="11.25" customHeight="1">
      <c r="A79" s="375" t="s">
        <v>16</v>
      </c>
      <c r="B79" t="s">
        <v>3225</v>
      </c>
      <c r="C79" t="s">
        <v>3226</v>
      </c>
      <c r="D79" t="s">
        <v>3227</v>
      </c>
      <c r="E79" t="s">
        <v>3228</v>
      </c>
      <c r="F79" t="s">
        <v>3060</v>
      </c>
      <c r="G79" t="s">
        <v>3229</v>
      </c>
    </row>
    <row r="80" ht="11.25" customHeight="1">
      <c r="A80" s="375" t="s">
        <v>16</v>
      </c>
      <c r="B80" t="s">
        <v>3225</v>
      </c>
      <c r="C80" t="s">
        <v>3226</v>
      </c>
      <c r="D80" t="s">
        <v>3230</v>
      </c>
      <c r="E80" t="s">
        <v>3231</v>
      </c>
      <c r="F80" t="s">
        <v>3060</v>
      </c>
      <c r="G80" t="s">
        <v>3232</v>
      </c>
    </row>
    <row r="81" ht="11.25" customHeight="1">
      <c r="A81" s="375" t="s">
        <v>16</v>
      </c>
      <c r="B81" t="s">
        <v>3225</v>
      </c>
      <c r="C81" t="s">
        <v>3226</v>
      </c>
      <c r="D81" t="s">
        <v>3233</v>
      </c>
      <c r="E81" t="s">
        <v>3234</v>
      </c>
      <c r="F81" t="s">
        <v>3060</v>
      </c>
      <c r="G81" t="s">
        <v>3235</v>
      </c>
    </row>
    <row r="82" ht="11.25" customHeight="1">
      <c r="A82" s="375" t="s">
        <v>16</v>
      </c>
      <c r="B82" t="s">
        <v>3225</v>
      </c>
      <c r="C82" t="s">
        <v>3226</v>
      </c>
      <c r="D82" t="s">
        <v>3236</v>
      </c>
      <c r="E82" t="s">
        <v>3237</v>
      </c>
      <c r="F82" t="s">
        <v>3060</v>
      </c>
      <c r="G82" t="s">
        <v>3238</v>
      </c>
    </row>
    <row r="83" ht="11.25" customHeight="1">
      <c r="A83" s="375" t="s">
        <v>16</v>
      </c>
      <c r="B83" t="s">
        <v>3225</v>
      </c>
      <c r="C83" t="s">
        <v>3226</v>
      </c>
      <c r="D83" t="s">
        <v>3225</v>
      </c>
      <c r="E83" t="s">
        <v>3226</v>
      </c>
      <c r="F83" t="s">
        <v>3054</v>
      </c>
      <c r="G83" t="s">
        <v>3239</v>
      </c>
    </row>
    <row r="84" ht="11.25" customHeight="1">
      <c r="A84" s="375" t="s">
        <v>16</v>
      </c>
      <c r="B84" t="s">
        <v>3225</v>
      </c>
      <c r="C84" t="s">
        <v>3226</v>
      </c>
      <c r="D84" t="s">
        <v>3240</v>
      </c>
      <c r="E84" t="s">
        <v>3241</v>
      </c>
      <c r="F84" t="s">
        <v>3214</v>
      </c>
      <c r="G84" t="s">
        <v>3242</v>
      </c>
    </row>
    <row r="85" ht="11.25" customHeight="1">
      <c r="A85" s="375" t="s">
        <v>16</v>
      </c>
      <c r="B85" t="s">
        <v>3225</v>
      </c>
      <c r="C85" t="s">
        <v>3226</v>
      </c>
      <c r="D85" t="s">
        <v>3243</v>
      </c>
      <c r="E85" t="s">
        <v>3244</v>
      </c>
      <c r="F85" t="s">
        <v>3060</v>
      </c>
      <c r="G85" t="s">
        <v>3245</v>
      </c>
    </row>
    <row r="86" ht="11.25" customHeight="1">
      <c r="A86" s="375" t="s">
        <v>16</v>
      </c>
      <c r="B86" t="s">
        <v>3225</v>
      </c>
      <c r="C86" t="s">
        <v>3226</v>
      </c>
      <c r="D86" t="s">
        <v>3246</v>
      </c>
      <c r="E86" t="s">
        <v>3247</v>
      </c>
      <c r="F86" t="s">
        <v>3060</v>
      </c>
      <c r="G86" t="s">
        <v>3248</v>
      </c>
    </row>
    <row r="87" ht="11.25" customHeight="1">
      <c r="A87" s="375" t="s">
        <v>16</v>
      </c>
      <c r="B87" t="s">
        <v>3225</v>
      </c>
      <c r="C87" t="s">
        <v>3226</v>
      </c>
      <c r="D87" t="s">
        <v>3249</v>
      </c>
      <c r="E87" t="s">
        <v>3250</v>
      </c>
      <c r="F87" t="s">
        <v>3060</v>
      </c>
      <c r="G87" t="s">
        <v>3251</v>
      </c>
    </row>
    <row r="88" ht="11.25" customHeight="1">
      <c r="A88" s="375" t="s">
        <v>16</v>
      </c>
      <c r="B88" t="s">
        <v>3225</v>
      </c>
      <c r="C88" t="s">
        <v>3226</v>
      </c>
      <c r="D88" t="s">
        <v>3252</v>
      </c>
      <c r="E88" t="s">
        <v>3253</v>
      </c>
      <c r="F88" t="s">
        <v>3060</v>
      </c>
      <c r="G88" t="s">
        <v>3254</v>
      </c>
    </row>
    <row r="89" ht="11.25" customHeight="1">
      <c r="A89" s="375" t="s">
        <v>16</v>
      </c>
      <c r="B89" t="s">
        <v>3225</v>
      </c>
      <c r="C89" t="s">
        <v>3226</v>
      </c>
      <c r="D89" t="s">
        <v>3255</v>
      </c>
      <c r="E89" t="s">
        <v>3256</v>
      </c>
      <c r="F89" t="s">
        <v>3060</v>
      </c>
      <c r="G89" t="s">
        <v>3257</v>
      </c>
    </row>
    <row r="90" ht="11.25" customHeight="1">
      <c r="A90" s="375" t="s">
        <v>16</v>
      </c>
      <c r="B90" t="s">
        <v>3258</v>
      </c>
      <c r="C90" t="s">
        <v>3259</v>
      </c>
      <c r="D90" t="s">
        <v>3258</v>
      </c>
      <c r="E90" t="s">
        <v>3259</v>
      </c>
      <c r="F90" t="s">
        <v>3051</v>
      </c>
      <c r="G90" t="s">
        <v>3260</v>
      </c>
    </row>
    <row r="91" ht="11.25" customHeight="1">
      <c r="A91" s="375" t="s">
        <v>16</v>
      </c>
      <c r="B91" t="s">
        <v>3261</v>
      </c>
      <c r="C91" t="s">
        <v>3262</v>
      </c>
      <c r="D91" t="s">
        <v>3263</v>
      </c>
      <c r="E91" t="s">
        <v>3264</v>
      </c>
      <c r="F91" t="s">
        <v>3060</v>
      </c>
      <c r="G91" t="s">
        <v>3265</v>
      </c>
    </row>
    <row r="92" ht="11.25" customHeight="1">
      <c r="A92" s="375" t="s">
        <v>16</v>
      </c>
      <c r="B92" t="s">
        <v>3261</v>
      </c>
      <c r="C92" t="s">
        <v>3262</v>
      </c>
      <c r="D92" t="s">
        <v>3266</v>
      </c>
      <c r="E92" t="s">
        <v>3267</v>
      </c>
      <c r="F92" t="s">
        <v>3060</v>
      </c>
      <c r="G92" t="s">
        <v>3268</v>
      </c>
    </row>
    <row r="93" ht="11.25" customHeight="1">
      <c r="A93" s="375" t="s">
        <v>16</v>
      </c>
      <c r="B93" t="s">
        <v>3261</v>
      </c>
      <c r="C93" t="s">
        <v>3262</v>
      </c>
      <c r="D93" t="s">
        <v>3269</v>
      </c>
      <c r="E93" t="s">
        <v>3270</v>
      </c>
      <c r="F93" t="s">
        <v>3060</v>
      </c>
      <c r="G93" t="s">
        <v>3271</v>
      </c>
    </row>
    <row r="94" ht="11.25" customHeight="1">
      <c r="A94" s="375" t="s">
        <v>16</v>
      </c>
      <c r="B94" t="s">
        <v>3261</v>
      </c>
      <c r="C94" t="s">
        <v>3262</v>
      </c>
      <c r="D94" t="s">
        <v>3272</v>
      </c>
      <c r="E94" t="s">
        <v>3273</v>
      </c>
      <c r="F94" t="s">
        <v>3060</v>
      </c>
      <c r="G94" t="s">
        <v>3274</v>
      </c>
    </row>
    <row r="95" ht="11.25" customHeight="1">
      <c r="A95" s="375" t="s">
        <v>16</v>
      </c>
      <c r="B95" t="s">
        <v>3261</v>
      </c>
      <c r="C95" t="s">
        <v>3262</v>
      </c>
      <c r="D95" t="s">
        <v>3275</v>
      </c>
      <c r="E95" t="s">
        <v>3276</v>
      </c>
      <c r="F95" t="s">
        <v>3060</v>
      </c>
      <c r="G95" t="s">
        <v>3277</v>
      </c>
    </row>
    <row r="96" ht="11.25" customHeight="1">
      <c r="A96" s="375" t="s">
        <v>16</v>
      </c>
      <c r="B96" t="s">
        <v>3261</v>
      </c>
      <c r="C96" t="s">
        <v>3262</v>
      </c>
      <c r="D96" t="s">
        <v>3261</v>
      </c>
      <c r="E96" t="s">
        <v>3262</v>
      </c>
      <c r="F96" t="s">
        <v>3054</v>
      </c>
      <c r="G96" t="s">
        <v>3278</v>
      </c>
    </row>
    <row r="97" ht="11.25" customHeight="1">
      <c r="A97" s="375" t="s">
        <v>16</v>
      </c>
      <c r="B97" t="s">
        <v>3261</v>
      </c>
      <c r="C97" t="s">
        <v>3262</v>
      </c>
      <c r="D97" t="s">
        <v>3279</v>
      </c>
      <c r="E97" t="s">
        <v>3280</v>
      </c>
      <c r="F97" t="s">
        <v>3060</v>
      </c>
      <c r="G97" t="s">
        <v>3281</v>
      </c>
    </row>
    <row r="98" ht="11.25" customHeight="1">
      <c r="A98" s="375" t="s">
        <v>16</v>
      </c>
      <c r="B98" t="s">
        <v>3261</v>
      </c>
      <c r="C98" t="s">
        <v>3262</v>
      </c>
      <c r="D98" t="s">
        <v>3282</v>
      </c>
      <c r="E98" t="s">
        <v>3283</v>
      </c>
      <c r="F98" t="s">
        <v>3057</v>
      </c>
      <c r="G98" t="s">
        <v>3284</v>
      </c>
    </row>
    <row r="99" ht="11.25" customHeight="1">
      <c r="A99" s="375" t="s">
        <v>16</v>
      </c>
      <c r="B99" t="s">
        <v>3261</v>
      </c>
      <c r="C99" t="s">
        <v>3262</v>
      </c>
      <c r="D99" t="s">
        <v>3285</v>
      </c>
      <c r="E99" t="s">
        <v>3286</v>
      </c>
      <c r="F99" t="s">
        <v>3060</v>
      </c>
      <c r="G99" t="s">
        <v>3287</v>
      </c>
    </row>
    <row r="100" ht="11.25" customHeight="1">
      <c r="A100" s="375" t="s">
        <v>16</v>
      </c>
      <c r="B100" t="s">
        <v>3261</v>
      </c>
      <c r="C100" t="s">
        <v>3262</v>
      </c>
      <c r="D100" t="s">
        <v>3288</v>
      </c>
      <c r="E100" t="s">
        <v>3289</v>
      </c>
      <c r="F100" t="s">
        <v>3057</v>
      </c>
      <c r="G100" t="s">
        <v>3290</v>
      </c>
    </row>
    <row r="101" ht="11.25" customHeight="1">
      <c r="A101" s="375" t="s">
        <v>16</v>
      </c>
      <c r="B101" t="s">
        <v>3261</v>
      </c>
      <c r="C101" t="s">
        <v>3262</v>
      </c>
      <c r="D101" t="s">
        <v>3291</v>
      </c>
      <c r="E101" t="s">
        <v>3292</v>
      </c>
      <c r="F101" t="s">
        <v>3060</v>
      </c>
      <c r="G101" t="s">
        <v>3293</v>
      </c>
    </row>
    <row r="102" ht="11.25" customHeight="1">
      <c r="A102" s="375" t="s">
        <v>16</v>
      </c>
      <c r="B102" t="s">
        <v>3294</v>
      </c>
      <c r="C102" t="s">
        <v>3295</v>
      </c>
      <c r="D102" t="s">
        <v>3294</v>
      </c>
      <c r="E102" t="s">
        <v>3295</v>
      </c>
      <c r="F102" t="s">
        <v>3051</v>
      </c>
      <c r="G102" t="s">
        <v>3296</v>
      </c>
    </row>
    <row r="103" ht="11.25" customHeight="1">
      <c r="A103" s="375" t="s">
        <v>16</v>
      </c>
      <c r="B103" t="s">
        <v>3297</v>
      </c>
      <c r="C103" t="s">
        <v>3298</v>
      </c>
      <c r="D103" t="s">
        <v>3299</v>
      </c>
      <c r="E103" t="s">
        <v>3300</v>
      </c>
      <c r="F103" t="s">
        <v>3060</v>
      </c>
      <c r="G103" t="s">
        <v>3301</v>
      </c>
    </row>
    <row r="104" ht="11.25" customHeight="1">
      <c r="A104" s="375" t="s">
        <v>16</v>
      </c>
      <c r="B104" t="s">
        <v>3297</v>
      </c>
      <c r="C104" t="s">
        <v>3298</v>
      </c>
      <c r="D104" t="s">
        <v>3302</v>
      </c>
      <c r="E104" t="s">
        <v>3303</v>
      </c>
      <c r="F104" t="s">
        <v>3060</v>
      </c>
      <c r="G104" t="s">
        <v>3304</v>
      </c>
    </row>
    <row r="105" ht="11.25" customHeight="1">
      <c r="A105" s="375" t="s">
        <v>16</v>
      </c>
      <c r="B105" t="s">
        <v>3297</v>
      </c>
      <c r="C105" t="s">
        <v>3298</v>
      </c>
      <c r="D105" t="s">
        <v>3305</v>
      </c>
      <c r="E105" t="s">
        <v>3306</v>
      </c>
      <c r="F105" t="s">
        <v>3060</v>
      </c>
      <c r="G105" t="s">
        <v>3307</v>
      </c>
    </row>
    <row r="106" ht="11.25" customHeight="1">
      <c r="A106" s="375" t="s">
        <v>16</v>
      </c>
      <c r="B106" t="s">
        <v>3297</v>
      </c>
      <c r="C106" t="s">
        <v>3298</v>
      </c>
      <c r="D106" t="s">
        <v>3308</v>
      </c>
      <c r="E106" t="s">
        <v>3309</v>
      </c>
      <c r="F106" t="s">
        <v>3060</v>
      </c>
      <c r="G106" t="s">
        <v>3310</v>
      </c>
    </row>
    <row r="107" ht="11.25" customHeight="1">
      <c r="A107" s="375" t="s">
        <v>16</v>
      </c>
      <c r="B107" t="s">
        <v>3297</v>
      </c>
      <c r="C107" t="s">
        <v>3298</v>
      </c>
      <c r="D107" t="s">
        <v>3311</v>
      </c>
      <c r="E107" t="s">
        <v>3312</v>
      </c>
      <c r="F107" t="s">
        <v>3060</v>
      </c>
      <c r="G107" t="s">
        <v>3313</v>
      </c>
    </row>
    <row r="108" ht="11.25" customHeight="1">
      <c r="A108" s="375" t="s">
        <v>16</v>
      </c>
      <c r="B108" t="s">
        <v>3297</v>
      </c>
      <c r="C108" t="s">
        <v>3298</v>
      </c>
      <c r="D108" t="s">
        <v>3314</v>
      </c>
      <c r="E108" t="s">
        <v>3315</v>
      </c>
      <c r="F108" t="s">
        <v>3060</v>
      </c>
      <c r="G108" t="s">
        <v>3316</v>
      </c>
    </row>
    <row r="109" ht="11.25" customHeight="1">
      <c r="A109" s="375" t="s">
        <v>16</v>
      </c>
      <c r="B109" t="s">
        <v>3297</v>
      </c>
      <c r="C109" t="s">
        <v>3298</v>
      </c>
      <c r="D109" t="s">
        <v>3317</v>
      </c>
      <c r="E109" t="s">
        <v>3318</v>
      </c>
      <c r="F109" t="s">
        <v>3060</v>
      </c>
      <c r="G109" t="s">
        <v>3319</v>
      </c>
    </row>
    <row r="110" ht="11.25" customHeight="1">
      <c r="A110" s="375" t="s">
        <v>16</v>
      </c>
      <c r="B110" t="s">
        <v>3297</v>
      </c>
      <c r="C110" t="s">
        <v>3298</v>
      </c>
      <c r="D110" t="s">
        <v>3297</v>
      </c>
      <c r="E110" t="s">
        <v>3298</v>
      </c>
      <c r="F110" t="s">
        <v>3054</v>
      </c>
      <c r="G110" t="s">
        <v>3320</v>
      </c>
    </row>
    <row r="111" ht="11.25" customHeight="1">
      <c r="A111" s="375" t="s">
        <v>16</v>
      </c>
      <c r="B111" t="s">
        <v>3297</v>
      </c>
      <c r="C111" t="s">
        <v>3298</v>
      </c>
      <c r="D111" t="s">
        <v>3321</v>
      </c>
      <c r="E111" t="s">
        <v>3322</v>
      </c>
      <c r="F111" t="s">
        <v>3214</v>
      </c>
      <c r="G111" t="s">
        <v>3323</v>
      </c>
    </row>
    <row r="112" ht="11.25" customHeight="1">
      <c r="A112" s="375" t="s">
        <v>16</v>
      </c>
      <c r="B112" t="s">
        <v>3297</v>
      </c>
      <c r="C112" t="s">
        <v>3298</v>
      </c>
      <c r="D112" t="s">
        <v>3324</v>
      </c>
      <c r="E112" t="s">
        <v>3325</v>
      </c>
      <c r="F112" t="s">
        <v>3060</v>
      </c>
      <c r="G112" t="s">
        <v>3326</v>
      </c>
    </row>
    <row r="113" ht="11.25" customHeight="1">
      <c r="A113" s="375" t="s">
        <v>16</v>
      </c>
      <c r="B113" t="s">
        <v>3297</v>
      </c>
      <c r="C113" t="s">
        <v>3298</v>
      </c>
      <c r="D113" t="s">
        <v>3327</v>
      </c>
      <c r="E113" t="s">
        <v>3328</v>
      </c>
      <c r="F113" t="s">
        <v>3057</v>
      </c>
      <c r="G113" t="s">
        <v>3329</v>
      </c>
    </row>
    <row r="114" ht="11.25" customHeight="1">
      <c r="A114" s="375" t="s">
        <v>16</v>
      </c>
      <c r="B114" t="s">
        <v>3297</v>
      </c>
      <c r="C114" t="s">
        <v>3298</v>
      </c>
      <c r="D114" t="s">
        <v>3330</v>
      </c>
      <c r="E114" t="s">
        <v>3331</v>
      </c>
      <c r="F114" t="s">
        <v>3060</v>
      </c>
      <c r="G114" t="s">
        <v>3332</v>
      </c>
    </row>
    <row r="115" ht="11.25" customHeight="1">
      <c r="A115" s="375" t="s">
        <v>16</v>
      </c>
      <c r="B115" t="s">
        <v>3297</v>
      </c>
      <c r="C115" t="s">
        <v>3298</v>
      </c>
      <c r="D115" t="s">
        <v>3333</v>
      </c>
      <c r="E115" t="s">
        <v>3334</v>
      </c>
      <c r="F115" t="s">
        <v>3060</v>
      </c>
      <c r="G115" t="s">
        <v>3335</v>
      </c>
    </row>
    <row r="116" ht="11.25" customHeight="1">
      <c r="A116" s="375" t="s">
        <v>16</v>
      </c>
      <c r="B116" t="s">
        <v>3297</v>
      </c>
      <c r="C116" t="s">
        <v>3298</v>
      </c>
      <c r="D116" t="s">
        <v>3336</v>
      </c>
      <c r="E116" t="s">
        <v>3337</v>
      </c>
      <c r="F116" t="s">
        <v>3060</v>
      </c>
      <c r="G116" t="s">
        <v>3338</v>
      </c>
    </row>
    <row r="117" ht="11.25" customHeight="1">
      <c r="A117" s="375" t="s">
        <v>16</v>
      </c>
      <c r="B117" t="s">
        <v>3297</v>
      </c>
      <c r="C117" t="s">
        <v>3298</v>
      </c>
      <c r="D117" t="s">
        <v>3339</v>
      </c>
      <c r="E117" t="s">
        <v>3340</v>
      </c>
      <c r="F117" t="s">
        <v>3060</v>
      </c>
      <c r="G117" t="s">
        <v>3341</v>
      </c>
    </row>
    <row r="118" ht="11.25" customHeight="1">
      <c r="A118" s="375" t="s">
        <v>16</v>
      </c>
      <c r="B118" t="s">
        <v>3297</v>
      </c>
      <c r="C118" t="s">
        <v>3298</v>
      </c>
      <c r="D118" t="s">
        <v>3342</v>
      </c>
      <c r="E118" t="s">
        <v>3343</v>
      </c>
      <c r="F118" t="s">
        <v>3060</v>
      </c>
      <c r="G118" t="s">
        <v>3344</v>
      </c>
    </row>
    <row r="119" ht="11.25" customHeight="1">
      <c r="A119" s="375" t="s">
        <v>16</v>
      </c>
      <c r="B119" t="s">
        <v>3297</v>
      </c>
      <c r="C119" t="s">
        <v>3298</v>
      </c>
      <c r="D119" t="s">
        <v>3345</v>
      </c>
      <c r="E119" t="s">
        <v>3346</v>
      </c>
      <c r="F119" t="s">
        <v>3060</v>
      </c>
      <c r="G119" t="s">
        <v>3347</v>
      </c>
    </row>
    <row r="120" ht="11.25" customHeight="1">
      <c r="A120" s="375" t="s">
        <v>16</v>
      </c>
      <c r="B120" t="s">
        <v>3297</v>
      </c>
      <c r="C120" t="s">
        <v>3298</v>
      </c>
      <c r="D120" t="s">
        <v>3348</v>
      </c>
      <c r="E120" t="s">
        <v>3349</v>
      </c>
      <c r="F120" t="s">
        <v>3060</v>
      </c>
      <c r="G120" t="s">
        <v>3350</v>
      </c>
    </row>
    <row r="121" ht="11.25" customHeight="1">
      <c r="A121" s="375" t="s">
        <v>16</v>
      </c>
      <c r="B121" t="s">
        <v>3351</v>
      </c>
      <c r="C121" t="s">
        <v>3352</v>
      </c>
      <c r="D121" t="s">
        <v>3351</v>
      </c>
      <c r="E121" t="s">
        <v>3352</v>
      </c>
      <c r="F121" t="s">
        <v>3051</v>
      </c>
      <c r="G121" t="s">
        <v>3353</v>
      </c>
    </row>
    <row r="122" ht="11.25" customHeight="1">
      <c r="A122" s="375" t="s">
        <v>16</v>
      </c>
      <c r="B122" t="s">
        <v>3354</v>
      </c>
      <c r="C122" t="s">
        <v>3355</v>
      </c>
      <c r="D122" t="s">
        <v>3356</v>
      </c>
      <c r="E122" t="s">
        <v>3357</v>
      </c>
      <c r="F122" t="s">
        <v>3060</v>
      </c>
      <c r="G122" t="s">
        <v>3358</v>
      </c>
    </row>
    <row r="123" ht="11.25" customHeight="1">
      <c r="A123" s="375" t="s">
        <v>16</v>
      </c>
      <c r="B123" t="s">
        <v>3354</v>
      </c>
      <c r="C123" t="s">
        <v>3355</v>
      </c>
      <c r="D123" t="s">
        <v>3359</v>
      </c>
      <c r="E123" t="s">
        <v>3360</v>
      </c>
      <c r="F123" t="s">
        <v>3060</v>
      </c>
      <c r="G123" t="s">
        <v>3361</v>
      </c>
    </row>
    <row r="124" ht="11.25" customHeight="1">
      <c r="A124" s="375" t="s">
        <v>16</v>
      </c>
      <c r="B124" t="s">
        <v>3354</v>
      </c>
      <c r="C124" t="s">
        <v>3355</v>
      </c>
      <c r="D124" t="s">
        <v>3362</v>
      </c>
      <c r="E124" t="s">
        <v>3363</v>
      </c>
      <c r="F124" t="s">
        <v>3060</v>
      </c>
      <c r="G124" t="s">
        <v>3364</v>
      </c>
    </row>
    <row r="125" ht="11.25" customHeight="1">
      <c r="A125" s="375" t="s">
        <v>16</v>
      </c>
      <c r="B125" t="s">
        <v>3354</v>
      </c>
      <c r="C125" t="s">
        <v>3355</v>
      </c>
      <c r="D125" t="s">
        <v>3354</v>
      </c>
      <c r="E125" t="s">
        <v>3355</v>
      </c>
      <c r="F125" t="s">
        <v>3054</v>
      </c>
      <c r="G125" t="s">
        <v>3365</v>
      </c>
    </row>
    <row r="126" ht="11.25" customHeight="1">
      <c r="A126" s="375" t="s">
        <v>16</v>
      </c>
      <c r="B126" t="s">
        <v>3354</v>
      </c>
      <c r="C126" t="s">
        <v>3355</v>
      </c>
      <c r="D126" t="s">
        <v>3366</v>
      </c>
      <c r="E126" t="s">
        <v>3367</v>
      </c>
      <c r="F126" t="s">
        <v>3057</v>
      </c>
      <c r="G126" t="s">
        <v>3368</v>
      </c>
    </row>
    <row r="127" ht="11.25" customHeight="1">
      <c r="A127" s="375" t="s">
        <v>16</v>
      </c>
      <c r="B127" t="s">
        <v>3354</v>
      </c>
      <c r="C127" t="s">
        <v>3355</v>
      </c>
      <c r="D127" t="s">
        <v>3369</v>
      </c>
      <c r="E127" t="s">
        <v>3370</v>
      </c>
      <c r="F127" t="s">
        <v>3060</v>
      </c>
      <c r="G127" t="s">
        <v>3371</v>
      </c>
    </row>
    <row r="128" ht="11.25" customHeight="1">
      <c r="A128" s="375" t="s">
        <v>16</v>
      </c>
      <c r="B128" t="s">
        <v>3372</v>
      </c>
      <c r="C128" t="s">
        <v>3373</v>
      </c>
      <c r="D128" t="s">
        <v>3372</v>
      </c>
      <c r="E128" t="s">
        <v>3373</v>
      </c>
      <c r="F128" t="s">
        <v>3051</v>
      </c>
      <c r="G128" t="s">
        <v>3374</v>
      </c>
    </row>
    <row r="129" ht="11.25" customHeight="1">
      <c r="A129" s="375" t="s">
        <v>16</v>
      </c>
      <c r="B129" t="s">
        <v>100</v>
      </c>
      <c r="C129" t="s">
        <v>3375</v>
      </c>
      <c r="D129" t="s">
        <v>3376</v>
      </c>
      <c r="E129" t="s">
        <v>3377</v>
      </c>
      <c r="F129" t="s">
        <v>3060</v>
      </c>
      <c r="G129" t="s">
        <v>3378</v>
      </c>
    </row>
    <row r="130" ht="11.25" customHeight="1">
      <c r="A130" s="375" t="s">
        <v>16</v>
      </c>
      <c r="B130" t="s">
        <v>100</v>
      </c>
      <c r="C130" t="s">
        <v>3375</v>
      </c>
      <c r="D130" t="s">
        <v>3379</v>
      </c>
      <c r="E130" t="s">
        <v>3380</v>
      </c>
      <c r="F130" t="s">
        <v>3060</v>
      </c>
      <c r="G130" t="s">
        <v>3381</v>
      </c>
    </row>
    <row r="131" ht="11.25" customHeight="1">
      <c r="A131" s="375" t="s">
        <v>16</v>
      </c>
      <c r="B131" t="s">
        <v>100</v>
      </c>
      <c r="C131" t="s">
        <v>3375</v>
      </c>
      <c r="D131" t="s">
        <v>101</v>
      </c>
      <c r="E131" t="s">
        <v>102</v>
      </c>
      <c r="F131" t="s">
        <v>3214</v>
      </c>
      <c r="G131" t="s">
        <v>99</v>
      </c>
    </row>
    <row r="132" ht="11.25" customHeight="1">
      <c r="A132" s="375" t="s">
        <v>16</v>
      </c>
      <c r="B132" t="s">
        <v>100</v>
      </c>
      <c r="C132" t="s">
        <v>3375</v>
      </c>
      <c r="D132" t="s">
        <v>3327</v>
      </c>
      <c r="E132" t="s">
        <v>3382</v>
      </c>
      <c r="F132" t="s">
        <v>3060</v>
      </c>
      <c r="G132" t="s">
        <v>3383</v>
      </c>
    </row>
    <row r="133" ht="11.25" customHeight="1">
      <c r="A133" s="375" t="s">
        <v>16</v>
      </c>
      <c r="B133" t="s">
        <v>100</v>
      </c>
      <c r="C133" t="s">
        <v>3375</v>
      </c>
      <c r="D133" t="s">
        <v>3384</v>
      </c>
      <c r="E133" t="s">
        <v>3385</v>
      </c>
      <c r="F133" t="s">
        <v>3060</v>
      </c>
      <c r="G133" t="s">
        <v>3386</v>
      </c>
    </row>
    <row r="134" ht="11.25" customHeight="1">
      <c r="A134" s="375" t="s">
        <v>16</v>
      </c>
      <c r="B134" t="s">
        <v>100</v>
      </c>
      <c r="C134" t="s">
        <v>3375</v>
      </c>
      <c r="D134" t="s">
        <v>3387</v>
      </c>
      <c r="E134" t="s">
        <v>3388</v>
      </c>
      <c r="F134" t="s">
        <v>3060</v>
      </c>
      <c r="G134" t="s">
        <v>3389</v>
      </c>
    </row>
    <row r="135" ht="11.25" customHeight="1">
      <c r="A135" s="375" t="s">
        <v>16</v>
      </c>
      <c r="B135" t="s">
        <v>100</v>
      </c>
      <c r="C135" t="s">
        <v>3375</v>
      </c>
      <c r="D135" t="s">
        <v>100</v>
      </c>
      <c r="E135" t="s">
        <v>3375</v>
      </c>
      <c r="F135" t="s">
        <v>3054</v>
      </c>
      <c r="G135" t="s">
        <v>3390</v>
      </c>
    </row>
    <row r="136" ht="11.25" customHeight="1">
      <c r="A136" s="375" t="s">
        <v>16</v>
      </c>
      <c r="B136" t="s">
        <v>100</v>
      </c>
      <c r="C136" t="s">
        <v>3375</v>
      </c>
      <c r="D136" t="s">
        <v>3391</v>
      </c>
      <c r="E136" t="s">
        <v>3392</v>
      </c>
      <c r="F136" t="s">
        <v>3057</v>
      </c>
      <c r="G136" t="s">
        <v>3393</v>
      </c>
    </row>
    <row r="137" ht="11.25" customHeight="1">
      <c r="A137" s="375" t="s">
        <v>16</v>
      </c>
      <c r="B137" t="s">
        <v>100</v>
      </c>
      <c r="C137" t="s">
        <v>3375</v>
      </c>
      <c r="D137" t="s">
        <v>3394</v>
      </c>
      <c r="E137" t="s">
        <v>3395</v>
      </c>
      <c r="F137" t="s">
        <v>3060</v>
      </c>
      <c r="G137" t="s">
        <v>3396</v>
      </c>
    </row>
    <row r="138" ht="11.25" customHeight="1">
      <c r="A138" s="375" t="s">
        <v>16</v>
      </c>
      <c r="B138" t="s">
        <v>3397</v>
      </c>
      <c r="C138" t="s">
        <v>3398</v>
      </c>
      <c r="D138" t="s">
        <v>3397</v>
      </c>
      <c r="E138" t="s">
        <v>3398</v>
      </c>
      <c r="F138" t="s">
        <v>3051</v>
      </c>
      <c r="G138" t="s">
        <v>3399</v>
      </c>
    </row>
    <row r="139" ht="11.25" customHeight="1">
      <c r="A139" s="375" t="s">
        <v>16</v>
      </c>
      <c r="B139" t="s">
        <v>3400</v>
      </c>
      <c r="C139" t="s">
        <v>3401</v>
      </c>
      <c r="D139" t="s">
        <v>3402</v>
      </c>
      <c r="E139" t="s">
        <v>3403</v>
      </c>
      <c r="F139" t="s">
        <v>3060</v>
      </c>
      <c r="G139" t="s">
        <v>3404</v>
      </c>
    </row>
    <row r="140" ht="11.25" customHeight="1">
      <c r="A140" s="375" t="s">
        <v>16</v>
      </c>
      <c r="B140" t="s">
        <v>3400</v>
      </c>
      <c r="C140" t="s">
        <v>3401</v>
      </c>
      <c r="D140" t="s">
        <v>3405</v>
      </c>
      <c r="E140" t="s">
        <v>3406</v>
      </c>
      <c r="F140" t="s">
        <v>3060</v>
      </c>
      <c r="G140" t="s">
        <v>3407</v>
      </c>
    </row>
    <row r="141" ht="11.25" customHeight="1">
      <c r="A141" s="375" t="s">
        <v>16</v>
      </c>
      <c r="B141" t="s">
        <v>3400</v>
      </c>
      <c r="C141" t="s">
        <v>3401</v>
      </c>
      <c r="D141" t="s">
        <v>3408</v>
      </c>
      <c r="E141" t="s">
        <v>3409</v>
      </c>
      <c r="F141" t="s">
        <v>3060</v>
      </c>
      <c r="G141" t="s">
        <v>3410</v>
      </c>
    </row>
    <row r="142" ht="11.25" customHeight="1">
      <c r="A142" s="375" t="s">
        <v>16</v>
      </c>
      <c r="B142" t="s">
        <v>3400</v>
      </c>
      <c r="C142" t="s">
        <v>3401</v>
      </c>
      <c r="D142" t="s">
        <v>3411</v>
      </c>
      <c r="E142" t="s">
        <v>3412</v>
      </c>
      <c r="F142" t="s">
        <v>3060</v>
      </c>
      <c r="G142" t="s">
        <v>3413</v>
      </c>
    </row>
    <row r="143" ht="11.25" customHeight="1">
      <c r="A143" s="375" t="s">
        <v>16</v>
      </c>
      <c r="B143" t="s">
        <v>3400</v>
      </c>
      <c r="C143" t="s">
        <v>3401</v>
      </c>
      <c r="D143" t="s">
        <v>3400</v>
      </c>
      <c r="E143" t="s">
        <v>3401</v>
      </c>
      <c r="F143" t="s">
        <v>3054</v>
      </c>
      <c r="G143" t="s">
        <v>3414</v>
      </c>
    </row>
    <row r="144" ht="11.25" customHeight="1">
      <c r="A144" s="375" t="s">
        <v>16</v>
      </c>
      <c r="B144" t="s">
        <v>3400</v>
      </c>
      <c r="C144" t="s">
        <v>3401</v>
      </c>
      <c r="D144" t="s">
        <v>3415</v>
      </c>
      <c r="E144" t="s">
        <v>3416</v>
      </c>
      <c r="F144" t="s">
        <v>3060</v>
      </c>
      <c r="G144" t="s">
        <v>3417</v>
      </c>
    </row>
    <row r="145" ht="11.25" customHeight="1">
      <c r="A145" s="375" t="s">
        <v>16</v>
      </c>
      <c r="B145" t="s">
        <v>3400</v>
      </c>
      <c r="C145" t="s">
        <v>3401</v>
      </c>
      <c r="D145" t="s">
        <v>3418</v>
      </c>
      <c r="E145" t="s">
        <v>3419</v>
      </c>
      <c r="F145" t="s">
        <v>3060</v>
      </c>
      <c r="G145" t="s">
        <v>3420</v>
      </c>
    </row>
    <row r="146" ht="11.25" customHeight="1">
      <c r="A146" s="375" t="s">
        <v>16</v>
      </c>
      <c r="B146" t="s">
        <v>3421</v>
      </c>
      <c r="C146" t="s">
        <v>3422</v>
      </c>
      <c r="D146" t="s">
        <v>3421</v>
      </c>
      <c r="E146" t="s">
        <v>3422</v>
      </c>
      <c r="F146" t="s">
        <v>3051</v>
      </c>
      <c r="G146" t="s">
        <v>3423</v>
      </c>
    </row>
    <row r="147" ht="11.25" customHeight="1">
      <c r="A147" s="375" t="s">
        <v>16</v>
      </c>
      <c r="B147" t="s">
        <v>3424</v>
      </c>
      <c r="C147" t="s">
        <v>3425</v>
      </c>
      <c r="D147" t="s">
        <v>3426</v>
      </c>
      <c r="E147" t="s">
        <v>3427</v>
      </c>
      <c r="F147" t="s">
        <v>3060</v>
      </c>
      <c r="G147" t="s">
        <v>3428</v>
      </c>
    </row>
    <row r="148" ht="11.25" customHeight="1">
      <c r="A148" s="375" t="s">
        <v>16</v>
      </c>
      <c r="B148" t="s">
        <v>3424</v>
      </c>
      <c r="C148" t="s">
        <v>3425</v>
      </c>
      <c r="D148" t="s">
        <v>3429</v>
      </c>
      <c r="E148" t="s">
        <v>3430</v>
      </c>
      <c r="F148" t="s">
        <v>3060</v>
      </c>
      <c r="G148" t="s">
        <v>3431</v>
      </c>
    </row>
    <row r="149" ht="11.25" customHeight="1">
      <c r="A149" s="375" t="s">
        <v>16</v>
      </c>
      <c r="B149" t="s">
        <v>3424</v>
      </c>
      <c r="C149" t="s">
        <v>3425</v>
      </c>
      <c r="D149" t="s">
        <v>3432</v>
      </c>
      <c r="E149" t="s">
        <v>3433</v>
      </c>
      <c r="F149" t="s">
        <v>3060</v>
      </c>
      <c r="G149" t="s">
        <v>3434</v>
      </c>
    </row>
    <row r="150" ht="11.25" customHeight="1">
      <c r="A150" s="375" t="s">
        <v>16</v>
      </c>
      <c r="B150" t="s">
        <v>3424</v>
      </c>
      <c r="C150" t="s">
        <v>3425</v>
      </c>
      <c r="D150" t="s">
        <v>3435</v>
      </c>
      <c r="E150" t="s">
        <v>3436</v>
      </c>
      <c r="F150" t="s">
        <v>3060</v>
      </c>
      <c r="G150" t="s">
        <v>3437</v>
      </c>
    </row>
    <row r="151" ht="11.25" customHeight="1">
      <c r="A151" s="375" t="s">
        <v>16</v>
      </c>
      <c r="B151" t="s">
        <v>3424</v>
      </c>
      <c r="C151" t="s">
        <v>3425</v>
      </c>
      <c r="D151" t="s">
        <v>3438</v>
      </c>
      <c r="E151" t="s">
        <v>3439</v>
      </c>
      <c r="F151" t="s">
        <v>3060</v>
      </c>
      <c r="G151" t="s">
        <v>3440</v>
      </c>
    </row>
    <row r="152" ht="11.25" customHeight="1">
      <c r="A152" s="375" t="s">
        <v>16</v>
      </c>
      <c r="B152" t="s">
        <v>3424</v>
      </c>
      <c r="C152" t="s">
        <v>3425</v>
      </c>
      <c r="D152" t="s">
        <v>3441</v>
      </c>
      <c r="E152" t="s">
        <v>3442</v>
      </c>
      <c r="F152" t="s">
        <v>3060</v>
      </c>
      <c r="G152" t="s">
        <v>3443</v>
      </c>
    </row>
    <row r="153" ht="11.25" customHeight="1">
      <c r="A153" s="375" t="s">
        <v>16</v>
      </c>
      <c r="B153" t="s">
        <v>3424</v>
      </c>
      <c r="C153" t="s">
        <v>3425</v>
      </c>
      <c r="D153" t="s">
        <v>3444</v>
      </c>
      <c r="E153" t="s">
        <v>3445</v>
      </c>
      <c r="F153" t="s">
        <v>3060</v>
      </c>
      <c r="G153" t="s">
        <v>3446</v>
      </c>
    </row>
    <row r="154" ht="11.25" customHeight="1">
      <c r="A154" s="375" t="s">
        <v>16</v>
      </c>
      <c r="B154" t="s">
        <v>3424</v>
      </c>
      <c r="C154" t="s">
        <v>3425</v>
      </c>
      <c r="D154" t="s">
        <v>3447</v>
      </c>
      <c r="E154" t="s">
        <v>3448</v>
      </c>
      <c r="F154" t="s">
        <v>3060</v>
      </c>
      <c r="G154" t="s">
        <v>3449</v>
      </c>
    </row>
    <row r="155" ht="11.25" customHeight="1">
      <c r="A155" s="375" t="s">
        <v>16</v>
      </c>
      <c r="B155" t="s">
        <v>3424</v>
      </c>
      <c r="C155" t="s">
        <v>3425</v>
      </c>
      <c r="D155" t="s">
        <v>3450</v>
      </c>
      <c r="E155" t="s">
        <v>3451</v>
      </c>
      <c r="F155" t="s">
        <v>3060</v>
      </c>
      <c r="G155" t="s">
        <v>3452</v>
      </c>
    </row>
    <row r="156" ht="11.25" customHeight="1">
      <c r="A156" s="375" t="s">
        <v>16</v>
      </c>
      <c r="B156" t="s">
        <v>3424</v>
      </c>
      <c r="C156" t="s">
        <v>3425</v>
      </c>
      <c r="D156" t="s">
        <v>3424</v>
      </c>
      <c r="E156" t="s">
        <v>3425</v>
      </c>
      <c r="F156" t="s">
        <v>3054</v>
      </c>
      <c r="G156" t="s">
        <v>3453</v>
      </c>
    </row>
    <row r="157" ht="11.25" customHeight="1">
      <c r="A157" s="375" t="s">
        <v>16</v>
      </c>
      <c r="B157" t="s">
        <v>3424</v>
      </c>
      <c r="C157" t="s">
        <v>3425</v>
      </c>
      <c r="D157" t="s">
        <v>3454</v>
      </c>
      <c r="E157" t="s">
        <v>3455</v>
      </c>
      <c r="F157" t="s">
        <v>3214</v>
      </c>
      <c r="G157" t="s">
        <v>3456</v>
      </c>
    </row>
    <row r="158" ht="11.25" customHeight="1">
      <c r="A158" s="375" t="s">
        <v>16</v>
      </c>
      <c r="B158" t="s">
        <v>3424</v>
      </c>
      <c r="C158" t="s">
        <v>3425</v>
      </c>
      <c r="D158" t="s">
        <v>3457</v>
      </c>
      <c r="E158" t="s">
        <v>3458</v>
      </c>
      <c r="F158" t="s">
        <v>3060</v>
      </c>
      <c r="G158" t="s">
        <v>3459</v>
      </c>
    </row>
    <row r="159" ht="11.25" customHeight="1">
      <c r="A159" s="375" t="s">
        <v>16</v>
      </c>
      <c r="B159" t="s">
        <v>3424</v>
      </c>
      <c r="C159" t="s">
        <v>3425</v>
      </c>
      <c r="D159" t="s">
        <v>3460</v>
      </c>
      <c r="E159" t="s">
        <v>3461</v>
      </c>
      <c r="F159" t="s">
        <v>3060</v>
      </c>
      <c r="G159" t="s">
        <v>3462</v>
      </c>
    </row>
    <row r="160" ht="11.25" customHeight="1">
      <c r="A160" s="375" t="s">
        <v>16</v>
      </c>
      <c r="B160" t="s">
        <v>3424</v>
      </c>
      <c r="C160" t="s">
        <v>3425</v>
      </c>
      <c r="D160" t="s">
        <v>3463</v>
      </c>
      <c r="E160" t="s">
        <v>3464</v>
      </c>
      <c r="F160" t="s">
        <v>3060</v>
      </c>
      <c r="G160" t="s">
        <v>3465</v>
      </c>
    </row>
    <row r="161" ht="11.25" customHeight="1">
      <c r="A161" s="375" t="s">
        <v>16</v>
      </c>
      <c r="B161" t="s">
        <v>3466</v>
      </c>
      <c r="C161" t="s">
        <v>3467</v>
      </c>
      <c r="D161" t="s">
        <v>3466</v>
      </c>
      <c r="E161" t="s">
        <v>3467</v>
      </c>
      <c r="F161" t="s">
        <v>3051</v>
      </c>
      <c r="G161" t="s">
        <v>3468</v>
      </c>
    </row>
    <row r="162" ht="11.25" customHeight="1">
      <c r="A162" s="375" t="s">
        <v>16</v>
      </c>
      <c r="B162" t="s">
        <v>3469</v>
      </c>
      <c r="C162" t="s">
        <v>3470</v>
      </c>
      <c r="D162" t="s">
        <v>3426</v>
      </c>
      <c r="E162" t="s">
        <v>3471</v>
      </c>
      <c r="F162" t="s">
        <v>3060</v>
      </c>
      <c r="G162" t="s">
        <v>3472</v>
      </c>
    </row>
    <row r="163" ht="11.25" customHeight="1">
      <c r="A163" s="375" t="s">
        <v>16</v>
      </c>
      <c r="B163" t="s">
        <v>3469</v>
      </c>
      <c r="C163" t="s">
        <v>3470</v>
      </c>
      <c r="D163" t="s">
        <v>3473</v>
      </c>
      <c r="E163" t="s">
        <v>3474</v>
      </c>
      <c r="F163" t="s">
        <v>3060</v>
      </c>
      <c r="G163" t="s">
        <v>3475</v>
      </c>
    </row>
    <row r="164" ht="11.25" customHeight="1">
      <c r="A164" s="375" t="s">
        <v>16</v>
      </c>
      <c r="B164" t="s">
        <v>3469</v>
      </c>
      <c r="C164" t="s">
        <v>3470</v>
      </c>
      <c r="D164" t="s">
        <v>3476</v>
      </c>
      <c r="E164" t="s">
        <v>3477</v>
      </c>
      <c r="F164" t="s">
        <v>3060</v>
      </c>
      <c r="G164" t="s">
        <v>3478</v>
      </c>
    </row>
    <row r="165" ht="11.25" customHeight="1">
      <c r="A165" s="375" t="s">
        <v>16</v>
      </c>
      <c r="B165" t="s">
        <v>3469</v>
      </c>
      <c r="C165" t="s">
        <v>3470</v>
      </c>
      <c r="D165" t="s">
        <v>3479</v>
      </c>
      <c r="E165" t="s">
        <v>3480</v>
      </c>
      <c r="F165" t="s">
        <v>3060</v>
      </c>
      <c r="G165" t="s">
        <v>3481</v>
      </c>
    </row>
    <row r="166" ht="11.25" customHeight="1">
      <c r="A166" s="375" t="s">
        <v>16</v>
      </c>
      <c r="B166" t="s">
        <v>3469</v>
      </c>
      <c r="C166" t="s">
        <v>3470</v>
      </c>
      <c r="D166" t="s">
        <v>3482</v>
      </c>
      <c r="E166" t="s">
        <v>3483</v>
      </c>
      <c r="F166" t="s">
        <v>3060</v>
      </c>
      <c r="G166" t="s">
        <v>3484</v>
      </c>
    </row>
    <row r="167" ht="11.25" customHeight="1">
      <c r="A167" s="375" t="s">
        <v>16</v>
      </c>
      <c r="B167" t="s">
        <v>3469</v>
      </c>
      <c r="C167" t="s">
        <v>3470</v>
      </c>
      <c r="D167" t="s">
        <v>3469</v>
      </c>
      <c r="E167" t="s">
        <v>3470</v>
      </c>
      <c r="F167" t="s">
        <v>3054</v>
      </c>
      <c r="G167" t="s">
        <v>3485</v>
      </c>
    </row>
    <row r="168" ht="11.25" customHeight="1">
      <c r="A168" s="375" t="s">
        <v>16</v>
      </c>
      <c r="B168" t="s">
        <v>3469</v>
      </c>
      <c r="C168" t="s">
        <v>3470</v>
      </c>
      <c r="D168" t="s">
        <v>3486</v>
      </c>
      <c r="E168" t="s">
        <v>3487</v>
      </c>
      <c r="F168" t="s">
        <v>3214</v>
      </c>
      <c r="G168" t="s">
        <v>3488</v>
      </c>
    </row>
    <row r="169" ht="11.25" customHeight="1">
      <c r="A169" s="375" t="s">
        <v>16</v>
      </c>
      <c r="B169" t="s">
        <v>3489</v>
      </c>
      <c r="C169" t="s">
        <v>3490</v>
      </c>
      <c r="D169" t="s">
        <v>3489</v>
      </c>
      <c r="E169" t="s">
        <v>3490</v>
      </c>
      <c r="F169" t="s">
        <v>3051</v>
      </c>
      <c r="G169" t="s">
        <v>3491</v>
      </c>
    </row>
    <row r="170" ht="11.25" customHeight="1">
      <c r="A170" s="375" t="s">
        <v>16</v>
      </c>
      <c r="B170" t="s">
        <v>3492</v>
      </c>
      <c r="C170" t="s">
        <v>3493</v>
      </c>
      <c r="D170" t="s">
        <v>3494</v>
      </c>
      <c r="E170" t="s">
        <v>3495</v>
      </c>
      <c r="F170" t="s">
        <v>3060</v>
      </c>
      <c r="G170" t="s">
        <v>3496</v>
      </c>
    </row>
    <row r="171" ht="11.25" customHeight="1">
      <c r="A171" s="375" t="s">
        <v>16</v>
      </c>
      <c r="B171" t="s">
        <v>3492</v>
      </c>
      <c r="C171" t="s">
        <v>3493</v>
      </c>
      <c r="D171" t="s">
        <v>3497</v>
      </c>
      <c r="E171" t="s">
        <v>3498</v>
      </c>
      <c r="F171" t="s">
        <v>3060</v>
      </c>
      <c r="G171" t="s">
        <v>3499</v>
      </c>
    </row>
    <row r="172" ht="11.25" customHeight="1">
      <c r="A172" s="375" t="s">
        <v>16</v>
      </c>
      <c r="B172" t="s">
        <v>3492</v>
      </c>
      <c r="C172" t="s">
        <v>3493</v>
      </c>
      <c r="D172" t="s">
        <v>3500</v>
      </c>
      <c r="E172" t="s">
        <v>3501</v>
      </c>
      <c r="F172" t="s">
        <v>3060</v>
      </c>
      <c r="G172" t="s">
        <v>3502</v>
      </c>
    </row>
    <row r="173" ht="11.25" customHeight="1">
      <c r="A173" s="375" t="s">
        <v>16</v>
      </c>
      <c r="B173" t="s">
        <v>3492</v>
      </c>
      <c r="C173" t="s">
        <v>3493</v>
      </c>
      <c r="D173" t="s">
        <v>3503</v>
      </c>
      <c r="E173" t="s">
        <v>3504</v>
      </c>
      <c r="F173" t="s">
        <v>3060</v>
      </c>
      <c r="G173" t="s">
        <v>3505</v>
      </c>
    </row>
    <row r="174" ht="11.25" customHeight="1">
      <c r="A174" s="375" t="s">
        <v>16</v>
      </c>
      <c r="B174" t="s">
        <v>3492</v>
      </c>
      <c r="C174" t="s">
        <v>3493</v>
      </c>
      <c r="D174" t="s">
        <v>3506</v>
      </c>
      <c r="E174" t="s">
        <v>3507</v>
      </c>
      <c r="F174" t="s">
        <v>3060</v>
      </c>
      <c r="G174" t="s">
        <v>3508</v>
      </c>
    </row>
    <row r="175" ht="11.25" customHeight="1">
      <c r="A175" s="375" t="s">
        <v>16</v>
      </c>
      <c r="B175" t="s">
        <v>3492</v>
      </c>
      <c r="C175" t="s">
        <v>3493</v>
      </c>
      <c r="D175" t="s">
        <v>3509</v>
      </c>
      <c r="E175" t="s">
        <v>3510</v>
      </c>
      <c r="F175" t="s">
        <v>3060</v>
      </c>
      <c r="G175" t="s">
        <v>3511</v>
      </c>
    </row>
    <row r="176" ht="11.25" customHeight="1">
      <c r="A176" s="375" t="s">
        <v>16</v>
      </c>
      <c r="B176" t="s">
        <v>3492</v>
      </c>
      <c r="C176" t="s">
        <v>3493</v>
      </c>
      <c r="D176" t="s">
        <v>3512</v>
      </c>
      <c r="E176" t="s">
        <v>3513</v>
      </c>
      <c r="F176" t="s">
        <v>3060</v>
      </c>
      <c r="G176" t="s">
        <v>3514</v>
      </c>
    </row>
    <row r="177" ht="11.25" customHeight="1">
      <c r="A177" s="375" t="s">
        <v>16</v>
      </c>
      <c r="B177" t="s">
        <v>3492</v>
      </c>
      <c r="C177" t="s">
        <v>3493</v>
      </c>
      <c r="D177" t="s">
        <v>3515</v>
      </c>
      <c r="E177" t="s">
        <v>3516</v>
      </c>
      <c r="F177" t="s">
        <v>3060</v>
      </c>
      <c r="G177" t="s">
        <v>3517</v>
      </c>
    </row>
    <row r="178" ht="11.25" customHeight="1">
      <c r="A178" s="375" t="s">
        <v>16</v>
      </c>
      <c r="B178" t="s">
        <v>3492</v>
      </c>
      <c r="C178" t="s">
        <v>3493</v>
      </c>
      <c r="D178" t="s">
        <v>3518</v>
      </c>
      <c r="E178" t="s">
        <v>3519</v>
      </c>
      <c r="F178" t="s">
        <v>3060</v>
      </c>
      <c r="G178" t="s">
        <v>3520</v>
      </c>
    </row>
    <row r="179" ht="11.25" customHeight="1">
      <c r="A179" s="375" t="s">
        <v>16</v>
      </c>
      <c r="B179" t="s">
        <v>3492</v>
      </c>
      <c r="C179" t="s">
        <v>3493</v>
      </c>
      <c r="D179" t="s">
        <v>3521</v>
      </c>
      <c r="E179" t="s">
        <v>3522</v>
      </c>
      <c r="F179" t="s">
        <v>3060</v>
      </c>
      <c r="G179" t="s">
        <v>3523</v>
      </c>
    </row>
    <row r="180" ht="11.25" customHeight="1">
      <c r="A180" s="375" t="s">
        <v>16</v>
      </c>
      <c r="B180" t="s">
        <v>3492</v>
      </c>
      <c r="C180" t="s">
        <v>3493</v>
      </c>
      <c r="D180" t="s">
        <v>3524</v>
      </c>
      <c r="E180" t="s">
        <v>3525</v>
      </c>
      <c r="F180" t="s">
        <v>3060</v>
      </c>
      <c r="G180" t="s">
        <v>3526</v>
      </c>
    </row>
    <row r="181" ht="11.25" customHeight="1">
      <c r="A181" s="375" t="s">
        <v>16</v>
      </c>
      <c r="B181" t="s">
        <v>3492</v>
      </c>
      <c r="C181" t="s">
        <v>3493</v>
      </c>
      <c r="D181" t="s">
        <v>3527</v>
      </c>
      <c r="E181" t="s">
        <v>3528</v>
      </c>
      <c r="F181" t="s">
        <v>3060</v>
      </c>
      <c r="G181" t="s">
        <v>3529</v>
      </c>
    </row>
    <row r="182" ht="11.25" customHeight="1">
      <c r="A182" s="375" t="s">
        <v>16</v>
      </c>
      <c r="B182" t="s">
        <v>3492</v>
      </c>
      <c r="C182" t="s">
        <v>3493</v>
      </c>
      <c r="D182" t="s">
        <v>3530</v>
      </c>
      <c r="E182" t="s">
        <v>3531</v>
      </c>
      <c r="F182" t="s">
        <v>3060</v>
      </c>
      <c r="G182" t="s">
        <v>3532</v>
      </c>
    </row>
    <row r="183" ht="11.25" customHeight="1">
      <c r="A183" s="375" t="s">
        <v>16</v>
      </c>
      <c r="B183" t="s">
        <v>3492</v>
      </c>
      <c r="C183" t="s">
        <v>3493</v>
      </c>
      <c r="D183" t="s">
        <v>3533</v>
      </c>
      <c r="E183" t="s">
        <v>3534</v>
      </c>
      <c r="F183" t="s">
        <v>3060</v>
      </c>
      <c r="G183" t="s">
        <v>3535</v>
      </c>
    </row>
    <row r="184" ht="11.25" customHeight="1">
      <c r="A184" s="375" t="s">
        <v>16</v>
      </c>
      <c r="B184" t="s">
        <v>3492</v>
      </c>
      <c r="C184" t="s">
        <v>3493</v>
      </c>
      <c r="D184" t="s">
        <v>3536</v>
      </c>
      <c r="E184" t="s">
        <v>3537</v>
      </c>
      <c r="F184" t="s">
        <v>3060</v>
      </c>
      <c r="G184" t="s">
        <v>3538</v>
      </c>
    </row>
    <row r="185" ht="11.25" customHeight="1">
      <c r="A185" s="375" t="s">
        <v>16</v>
      </c>
      <c r="B185" t="s">
        <v>3492</v>
      </c>
      <c r="C185" t="s">
        <v>3493</v>
      </c>
      <c r="D185" t="s">
        <v>3492</v>
      </c>
      <c r="E185" t="s">
        <v>3493</v>
      </c>
      <c r="F185" t="s">
        <v>3054</v>
      </c>
      <c r="G185" t="s">
        <v>3539</v>
      </c>
    </row>
    <row r="186" ht="11.25" customHeight="1">
      <c r="A186" s="375" t="s">
        <v>16</v>
      </c>
      <c r="B186" t="s">
        <v>3492</v>
      </c>
      <c r="C186" t="s">
        <v>3493</v>
      </c>
      <c r="D186" t="s">
        <v>3540</v>
      </c>
      <c r="E186" t="s">
        <v>3541</v>
      </c>
      <c r="F186" t="s">
        <v>3060</v>
      </c>
      <c r="G186" t="s">
        <v>3542</v>
      </c>
    </row>
    <row r="187" ht="11.25" customHeight="1">
      <c r="A187" s="375" t="s">
        <v>16</v>
      </c>
      <c r="B187" t="s">
        <v>3492</v>
      </c>
      <c r="C187" t="s">
        <v>3493</v>
      </c>
      <c r="D187" t="s">
        <v>3543</v>
      </c>
      <c r="E187" t="s">
        <v>3544</v>
      </c>
      <c r="F187" t="s">
        <v>3060</v>
      </c>
      <c r="G187" t="s">
        <v>3545</v>
      </c>
    </row>
    <row r="188" ht="11.25" customHeight="1">
      <c r="A188" s="375" t="s">
        <v>16</v>
      </c>
      <c r="B188" t="s">
        <v>3492</v>
      </c>
      <c r="C188" t="s">
        <v>3493</v>
      </c>
      <c r="D188" t="s">
        <v>3546</v>
      </c>
      <c r="E188" t="s">
        <v>3547</v>
      </c>
      <c r="F188" t="s">
        <v>3060</v>
      </c>
      <c r="G188" t="s">
        <v>3548</v>
      </c>
    </row>
    <row r="189" ht="11.25" customHeight="1">
      <c r="A189" s="375" t="s">
        <v>16</v>
      </c>
      <c r="B189" t="s">
        <v>3549</v>
      </c>
      <c r="C189" t="s">
        <v>3550</v>
      </c>
      <c r="D189" t="s">
        <v>3549</v>
      </c>
      <c r="E189" t="s">
        <v>3550</v>
      </c>
      <c r="F189" t="s">
        <v>3051</v>
      </c>
      <c r="G189" t="s">
        <v>3551</v>
      </c>
    </row>
    <row r="190" ht="11.25" customHeight="1">
      <c r="A190" s="375" t="s">
        <v>16</v>
      </c>
      <c r="B190" t="s">
        <v>3552</v>
      </c>
      <c r="C190" t="s">
        <v>3553</v>
      </c>
      <c r="D190" t="s">
        <v>3554</v>
      </c>
      <c r="E190" t="s">
        <v>3555</v>
      </c>
      <c r="F190" t="s">
        <v>3060</v>
      </c>
      <c r="G190" t="s">
        <v>3556</v>
      </c>
    </row>
    <row r="191" ht="11.25" customHeight="1">
      <c r="A191" s="375" t="s">
        <v>16</v>
      </c>
      <c r="B191" t="s">
        <v>3552</v>
      </c>
      <c r="C191" t="s">
        <v>3553</v>
      </c>
      <c r="D191" t="s">
        <v>3557</v>
      </c>
      <c r="E191" t="s">
        <v>3558</v>
      </c>
      <c r="F191" t="s">
        <v>3060</v>
      </c>
      <c r="G191" t="s">
        <v>3559</v>
      </c>
    </row>
    <row r="192" ht="11.25" customHeight="1">
      <c r="A192" s="375" t="s">
        <v>16</v>
      </c>
      <c r="B192" t="s">
        <v>3552</v>
      </c>
      <c r="C192" t="s">
        <v>3553</v>
      </c>
      <c r="D192" t="s">
        <v>3560</v>
      </c>
      <c r="E192" t="s">
        <v>3561</v>
      </c>
      <c r="F192" t="s">
        <v>3060</v>
      </c>
      <c r="G192" t="s">
        <v>3562</v>
      </c>
    </row>
    <row r="193" ht="11.25" customHeight="1">
      <c r="A193" s="375" t="s">
        <v>16</v>
      </c>
      <c r="B193" t="s">
        <v>3552</v>
      </c>
      <c r="C193" t="s">
        <v>3553</v>
      </c>
      <c r="D193" t="s">
        <v>3563</v>
      </c>
      <c r="E193" t="s">
        <v>3564</v>
      </c>
      <c r="F193" t="s">
        <v>3060</v>
      </c>
      <c r="G193" t="s">
        <v>3565</v>
      </c>
    </row>
    <row r="194" ht="11.25" customHeight="1">
      <c r="A194" s="375" t="s">
        <v>16</v>
      </c>
      <c r="B194" t="s">
        <v>3552</v>
      </c>
      <c r="C194" t="s">
        <v>3553</v>
      </c>
      <c r="D194" t="s">
        <v>3552</v>
      </c>
      <c r="E194" t="s">
        <v>3553</v>
      </c>
      <c r="F194" t="s">
        <v>3054</v>
      </c>
      <c r="G194" t="s">
        <v>3566</v>
      </c>
    </row>
    <row r="195" ht="11.25" customHeight="1">
      <c r="A195" s="375" t="s">
        <v>16</v>
      </c>
      <c r="B195" t="s">
        <v>3552</v>
      </c>
      <c r="C195" t="s">
        <v>3553</v>
      </c>
      <c r="D195" t="s">
        <v>3567</v>
      </c>
      <c r="E195" t="s">
        <v>3568</v>
      </c>
      <c r="F195" t="s">
        <v>3057</v>
      </c>
      <c r="G195" t="s">
        <v>3569</v>
      </c>
    </row>
    <row r="196" ht="11.25" customHeight="1">
      <c r="A196" s="375" t="s">
        <v>16</v>
      </c>
      <c r="B196" t="s">
        <v>3570</v>
      </c>
      <c r="C196" t="s">
        <v>3571</v>
      </c>
      <c r="D196" t="s">
        <v>3570</v>
      </c>
      <c r="E196" t="s">
        <v>3571</v>
      </c>
      <c r="F196" t="s">
        <v>3051</v>
      </c>
      <c r="G196" t="s">
        <v>3572</v>
      </c>
    </row>
    <row r="197" ht="11.25" customHeight="1">
      <c r="A197" s="375" t="s">
        <v>16</v>
      </c>
      <c r="B197" t="s">
        <v>3573</v>
      </c>
      <c r="C197" t="s">
        <v>3574</v>
      </c>
      <c r="D197" t="s">
        <v>3186</v>
      </c>
      <c r="E197" t="s">
        <v>3575</v>
      </c>
      <c r="F197" t="s">
        <v>3060</v>
      </c>
      <c r="G197" t="s">
        <v>3576</v>
      </c>
    </row>
    <row r="198" ht="11.25" customHeight="1">
      <c r="A198" s="375" t="s">
        <v>16</v>
      </c>
      <c r="B198" t="s">
        <v>3573</v>
      </c>
      <c r="C198" t="s">
        <v>3574</v>
      </c>
      <c r="D198" t="s">
        <v>3577</v>
      </c>
      <c r="E198" t="s">
        <v>3578</v>
      </c>
      <c r="F198" t="s">
        <v>3060</v>
      </c>
      <c r="G198" t="s">
        <v>3579</v>
      </c>
    </row>
    <row r="199" ht="11.25" customHeight="1">
      <c r="A199" s="375" t="s">
        <v>16</v>
      </c>
      <c r="B199" t="s">
        <v>3573</v>
      </c>
      <c r="C199" t="s">
        <v>3574</v>
      </c>
      <c r="D199" t="s">
        <v>3580</v>
      </c>
      <c r="E199" t="s">
        <v>3581</v>
      </c>
      <c r="F199" t="s">
        <v>3060</v>
      </c>
      <c r="G199" t="s">
        <v>3582</v>
      </c>
    </row>
    <row r="200" ht="11.25" customHeight="1">
      <c r="A200" s="375" t="s">
        <v>16</v>
      </c>
      <c r="B200" t="s">
        <v>3573</v>
      </c>
      <c r="C200" t="s">
        <v>3574</v>
      </c>
      <c r="D200" t="s">
        <v>3497</v>
      </c>
      <c r="E200" t="s">
        <v>3583</v>
      </c>
      <c r="F200" t="s">
        <v>3060</v>
      </c>
      <c r="G200" t="s">
        <v>3584</v>
      </c>
    </row>
    <row r="201" ht="11.25" customHeight="1">
      <c r="A201" s="375" t="s">
        <v>16</v>
      </c>
      <c r="B201" t="s">
        <v>3573</v>
      </c>
      <c r="C201" t="s">
        <v>3574</v>
      </c>
      <c r="D201" t="s">
        <v>3585</v>
      </c>
      <c r="E201" t="s">
        <v>3586</v>
      </c>
      <c r="F201" t="s">
        <v>3060</v>
      </c>
      <c r="G201" t="s">
        <v>3587</v>
      </c>
    </row>
    <row r="202" ht="11.25" customHeight="1">
      <c r="A202" s="375" t="s">
        <v>16</v>
      </c>
      <c r="B202" t="s">
        <v>3573</v>
      </c>
      <c r="C202" t="s">
        <v>3574</v>
      </c>
      <c r="D202" t="s">
        <v>3588</v>
      </c>
      <c r="E202" t="s">
        <v>3589</v>
      </c>
      <c r="F202" t="s">
        <v>3060</v>
      </c>
      <c r="G202" t="s">
        <v>3590</v>
      </c>
    </row>
    <row r="203" ht="11.25" customHeight="1">
      <c r="A203" s="375" t="s">
        <v>16</v>
      </c>
      <c r="B203" t="s">
        <v>3573</v>
      </c>
      <c r="C203" t="s">
        <v>3574</v>
      </c>
      <c r="D203" t="s">
        <v>3591</v>
      </c>
      <c r="E203" t="s">
        <v>3592</v>
      </c>
      <c r="F203" t="s">
        <v>3060</v>
      </c>
      <c r="G203" t="s">
        <v>3593</v>
      </c>
    </row>
    <row r="204" ht="11.25" customHeight="1">
      <c r="A204" s="375" t="s">
        <v>16</v>
      </c>
      <c r="B204" t="s">
        <v>3573</v>
      </c>
      <c r="C204" t="s">
        <v>3574</v>
      </c>
      <c r="D204" t="s">
        <v>3594</v>
      </c>
      <c r="E204" t="s">
        <v>3595</v>
      </c>
      <c r="F204" t="s">
        <v>3060</v>
      </c>
      <c r="G204" t="s">
        <v>3596</v>
      </c>
    </row>
    <row r="205" ht="11.25" customHeight="1">
      <c r="A205" s="375" t="s">
        <v>16</v>
      </c>
      <c r="B205" t="s">
        <v>3573</v>
      </c>
      <c r="C205" t="s">
        <v>3574</v>
      </c>
      <c r="D205" t="s">
        <v>3597</v>
      </c>
      <c r="E205" t="s">
        <v>3598</v>
      </c>
      <c r="F205" t="s">
        <v>3060</v>
      </c>
      <c r="G205" t="s">
        <v>3599</v>
      </c>
    </row>
    <row r="206" ht="11.25" customHeight="1">
      <c r="A206" s="375" t="s">
        <v>16</v>
      </c>
      <c r="B206" t="s">
        <v>3573</v>
      </c>
      <c r="C206" t="s">
        <v>3574</v>
      </c>
      <c r="D206" t="s">
        <v>3600</v>
      </c>
      <c r="E206" t="s">
        <v>3601</v>
      </c>
      <c r="F206" t="s">
        <v>3060</v>
      </c>
      <c r="G206" t="s">
        <v>3602</v>
      </c>
    </row>
    <row r="207" ht="11.25" customHeight="1">
      <c r="A207" s="375" t="s">
        <v>16</v>
      </c>
      <c r="B207" t="s">
        <v>3573</v>
      </c>
      <c r="C207" t="s">
        <v>3574</v>
      </c>
      <c r="D207" t="s">
        <v>3573</v>
      </c>
      <c r="E207" t="s">
        <v>3574</v>
      </c>
      <c r="F207" t="s">
        <v>3054</v>
      </c>
      <c r="G207" t="s">
        <v>3603</v>
      </c>
    </row>
    <row r="208" ht="11.25" customHeight="1">
      <c r="A208" s="375" t="s">
        <v>16</v>
      </c>
      <c r="B208" t="s">
        <v>3573</v>
      </c>
      <c r="C208" t="s">
        <v>3574</v>
      </c>
      <c r="D208" t="s">
        <v>3604</v>
      </c>
      <c r="E208" t="s">
        <v>3605</v>
      </c>
      <c r="F208" t="s">
        <v>3057</v>
      </c>
      <c r="G208" t="s">
        <v>3606</v>
      </c>
    </row>
    <row r="209" ht="11.25" customHeight="1">
      <c r="A209" s="375" t="s">
        <v>16</v>
      </c>
      <c r="B209" t="s">
        <v>3573</v>
      </c>
      <c r="C209" t="s">
        <v>3574</v>
      </c>
      <c r="D209" t="s">
        <v>3607</v>
      </c>
      <c r="E209" t="s">
        <v>3608</v>
      </c>
      <c r="F209" t="s">
        <v>3060</v>
      </c>
      <c r="G209" t="s">
        <v>3609</v>
      </c>
    </row>
    <row r="210" ht="11.25" customHeight="1">
      <c r="A210" s="375" t="s">
        <v>16</v>
      </c>
      <c r="B210" t="s">
        <v>3573</v>
      </c>
      <c r="C210" t="s">
        <v>3574</v>
      </c>
      <c r="D210" t="s">
        <v>3610</v>
      </c>
      <c r="E210" t="s">
        <v>3611</v>
      </c>
      <c r="F210" t="s">
        <v>3060</v>
      </c>
      <c r="G210" t="s">
        <v>3612</v>
      </c>
    </row>
    <row r="211" ht="11.25" customHeight="1">
      <c r="A211" s="375" t="s">
        <v>16</v>
      </c>
      <c r="B211" t="s">
        <v>3573</v>
      </c>
      <c r="C211" t="s">
        <v>3574</v>
      </c>
      <c r="D211" t="s">
        <v>3613</v>
      </c>
      <c r="E211" t="s">
        <v>3614</v>
      </c>
      <c r="F211" t="s">
        <v>3060</v>
      </c>
      <c r="G211" t="s">
        <v>3615</v>
      </c>
    </row>
    <row r="212" ht="11.25" customHeight="1">
      <c r="A212" s="375" t="s">
        <v>16</v>
      </c>
      <c r="B212" t="s">
        <v>3616</v>
      </c>
      <c r="C212" t="s">
        <v>3617</v>
      </c>
      <c r="D212" t="s">
        <v>3616</v>
      </c>
      <c r="E212" t="s">
        <v>3617</v>
      </c>
      <c r="F212" t="s">
        <v>3051</v>
      </c>
      <c r="G212" t="s">
        <v>3618</v>
      </c>
    </row>
    <row r="213" ht="11.25" customHeight="1">
      <c r="A213" s="375" t="s">
        <v>16</v>
      </c>
      <c r="B213" t="s">
        <v>3619</v>
      </c>
      <c r="C213" t="s">
        <v>3620</v>
      </c>
      <c r="D213" t="s">
        <v>3621</v>
      </c>
      <c r="E213" t="s">
        <v>3622</v>
      </c>
      <c r="F213" t="s">
        <v>3060</v>
      </c>
      <c r="G213" t="s">
        <v>3623</v>
      </c>
    </row>
    <row r="214" ht="11.25" customHeight="1">
      <c r="A214" s="375" t="s">
        <v>16</v>
      </c>
      <c r="B214" t="s">
        <v>3619</v>
      </c>
      <c r="C214" t="s">
        <v>3620</v>
      </c>
      <c r="D214" t="s">
        <v>3426</v>
      </c>
      <c r="E214" t="s">
        <v>3624</v>
      </c>
      <c r="F214" t="s">
        <v>3060</v>
      </c>
      <c r="G214" t="s">
        <v>3625</v>
      </c>
    </row>
    <row r="215" ht="11.25" customHeight="1">
      <c r="A215" s="375" t="s">
        <v>16</v>
      </c>
      <c r="B215" t="s">
        <v>3619</v>
      </c>
      <c r="C215" t="s">
        <v>3620</v>
      </c>
      <c r="D215" t="s">
        <v>3626</v>
      </c>
      <c r="E215" t="s">
        <v>3627</v>
      </c>
      <c r="F215" t="s">
        <v>3060</v>
      </c>
      <c r="G215" t="s">
        <v>3628</v>
      </c>
    </row>
    <row r="216" ht="11.25" customHeight="1">
      <c r="A216" s="375" t="s">
        <v>16</v>
      </c>
      <c r="B216" t="s">
        <v>3619</v>
      </c>
      <c r="C216" t="s">
        <v>3620</v>
      </c>
      <c r="D216" t="s">
        <v>3629</v>
      </c>
      <c r="E216" t="s">
        <v>3630</v>
      </c>
      <c r="F216" t="s">
        <v>3060</v>
      </c>
      <c r="G216" t="s">
        <v>3631</v>
      </c>
    </row>
    <row r="217" ht="11.25" customHeight="1">
      <c r="A217" s="375" t="s">
        <v>16</v>
      </c>
      <c r="B217" t="s">
        <v>3619</v>
      </c>
      <c r="C217" t="s">
        <v>3620</v>
      </c>
      <c r="D217" t="s">
        <v>3632</v>
      </c>
      <c r="E217" t="s">
        <v>3633</v>
      </c>
      <c r="F217" t="s">
        <v>3060</v>
      </c>
      <c r="G217" t="s">
        <v>3634</v>
      </c>
    </row>
    <row r="218" ht="11.25" customHeight="1">
      <c r="A218" s="375" t="s">
        <v>16</v>
      </c>
      <c r="B218" t="s">
        <v>3619</v>
      </c>
      <c r="C218" t="s">
        <v>3620</v>
      </c>
      <c r="D218" t="s">
        <v>3635</v>
      </c>
      <c r="E218" t="s">
        <v>3636</v>
      </c>
      <c r="F218" t="s">
        <v>3060</v>
      </c>
      <c r="G218" t="s">
        <v>3637</v>
      </c>
    </row>
    <row r="219" ht="11.25" customHeight="1">
      <c r="A219" s="375" t="s">
        <v>16</v>
      </c>
      <c r="B219" t="s">
        <v>3619</v>
      </c>
      <c r="C219" t="s">
        <v>3620</v>
      </c>
      <c r="D219" t="s">
        <v>3638</v>
      </c>
      <c r="E219" t="s">
        <v>3639</v>
      </c>
      <c r="F219" t="s">
        <v>3060</v>
      </c>
      <c r="G219" t="s">
        <v>3640</v>
      </c>
    </row>
    <row r="220" ht="11.25" customHeight="1">
      <c r="A220" s="375" t="s">
        <v>16</v>
      </c>
      <c r="B220" t="s">
        <v>3619</v>
      </c>
      <c r="C220" t="s">
        <v>3620</v>
      </c>
      <c r="D220" t="s">
        <v>3641</v>
      </c>
      <c r="E220" t="s">
        <v>3642</v>
      </c>
      <c r="F220" t="s">
        <v>3060</v>
      </c>
      <c r="G220" t="s">
        <v>3643</v>
      </c>
    </row>
    <row r="221" ht="11.25" customHeight="1">
      <c r="A221" s="375" t="s">
        <v>16</v>
      </c>
      <c r="B221" t="s">
        <v>3619</v>
      </c>
      <c r="C221" t="s">
        <v>3620</v>
      </c>
      <c r="D221" t="s">
        <v>3644</v>
      </c>
      <c r="E221" t="s">
        <v>3645</v>
      </c>
      <c r="F221" t="s">
        <v>3060</v>
      </c>
      <c r="G221" t="s">
        <v>3646</v>
      </c>
    </row>
    <row r="222" ht="11.25" customHeight="1">
      <c r="A222" s="375" t="s">
        <v>16</v>
      </c>
      <c r="B222" t="s">
        <v>3619</v>
      </c>
      <c r="C222" t="s">
        <v>3620</v>
      </c>
      <c r="D222" t="s">
        <v>3647</v>
      </c>
      <c r="E222" t="s">
        <v>3648</v>
      </c>
      <c r="F222" t="s">
        <v>3060</v>
      </c>
      <c r="G222" t="s">
        <v>3649</v>
      </c>
    </row>
    <row r="223" ht="11.25" customHeight="1">
      <c r="A223" s="375" t="s">
        <v>16</v>
      </c>
      <c r="B223" t="s">
        <v>3619</v>
      </c>
      <c r="C223" t="s">
        <v>3620</v>
      </c>
      <c r="D223" t="s">
        <v>3650</v>
      </c>
      <c r="E223" t="s">
        <v>3651</v>
      </c>
      <c r="F223" t="s">
        <v>3060</v>
      </c>
      <c r="G223" t="s">
        <v>3652</v>
      </c>
    </row>
    <row r="224" ht="11.25" customHeight="1">
      <c r="A224" s="375" t="s">
        <v>16</v>
      </c>
      <c r="B224" t="s">
        <v>3619</v>
      </c>
      <c r="C224" t="s">
        <v>3620</v>
      </c>
      <c r="D224" t="s">
        <v>3653</v>
      </c>
      <c r="E224" t="s">
        <v>3654</v>
      </c>
      <c r="F224" t="s">
        <v>3060</v>
      </c>
      <c r="G224" t="s">
        <v>3655</v>
      </c>
    </row>
    <row r="225" ht="11.25" customHeight="1">
      <c r="A225" s="375" t="s">
        <v>16</v>
      </c>
      <c r="B225" t="s">
        <v>3619</v>
      </c>
      <c r="C225" t="s">
        <v>3620</v>
      </c>
      <c r="D225" t="s">
        <v>3656</v>
      </c>
      <c r="E225" t="s">
        <v>3657</v>
      </c>
      <c r="F225" t="s">
        <v>3060</v>
      </c>
      <c r="G225" t="s">
        <v>3658</v>
      </c>
    </row>
    <row r="226" ht="11.25" customHeight="1">
      <c r="A226" s="375" t="s">
        <v>16</v>
      </c>
      <c r="B226" t="s">
        <v>3619</v>
      </c>
      <c r="C226" t="s">
        <v>3620</v>
      </c>
      <c r="D226" t="s">
        <v>3619</v>
      </c>
      <c r="E226" t="s">
        <v>3620</v>
      </c>
      <c r="F226" t="s">
        <v>3054</v>
      </c>
      <c r="G226" t="s">
        <v>3659</v>
      </c>
    </row>
    <row r="227" ht="11.25" customHeight="1">
      <c r="A227" s="375" t="s">
        <v>16</v>
      </c>
      <c r="B227" t="s">
        <v>3619</v>
      </c>
      <c r="C227" t="s">
        <v>3620</v>
      </c>
      <c r="D227" t="s">
        <v>3660</v>
      </c>
      <c r="E227" t="s">
        <v>3661</v>
      </c>
      <c r="F227" t="s">
        <v>3060</v>
      </c>
      <c r="G227" t="s">
        <v>3662</v>
      </c>
    </row>
    <row r="228" ht="11.25" customHeight="1">
      <c r="A228" s="375" t="s">
        <v>16</v>
      </c>
      <c r="B228" t="s">
        <v>3619</v>
      </c>
      <c r="C228" t="s">
        <v>3620</v>
      </c>
      <c r="D228" t="s">
        <v>3663</v>
      </c>
      <c r="E228" t="s">
        <v>3664</v>
      </c>
      <c r="F228" t="s">
        <v>3060</v>
      </c>
      <c r="G228" t="s">
        <v>3665</v>
      </c>
    </row>
    <row r="229" ht="11.25" customHeight="1">
      <c r="A229" s="375" t="s">
        <v>16</v>
      </c>
      <c r="B229" t="s">
        <v>3666</v>
      </c>
      <c r="C229" t="s">
        <v>3667</v>
      </c>
      <c r="D229" t="s">
        <v>3666</v>
      </c>
      <c r="E229" t="s">
        <v>3667</v>
      </c>
      <c r="F229" t="s">
        <v>3051</v>
      </c>
      <c r="G229" t="s">
        <v>3668</v>
      </c>
    </row>
    <row r="230" ht="11.25" customHeight="1">
      <c r="A230" s="375" t="s">
        <v>16</v>
      </c>
      <c r="B230" t="s">
        <v>3669</v>
      </c>
      <c r="C230" t="s">
        <v>3670</v>
      </c>
      <c r="D230" t="s">
        <v>3671</v>
      </c>
      <c r="E230" t="s">
        <v>3672</v>
      </c>
      <c r="F230" t="s">
        <v>3060</v>
      </c>
      <c r="G230" t="s">
        <v>3673</v>
      </c>
    </row>
    <row r="231" ht="11.25" customHeight="1">
      <c r="A231" s="375" t="s">
        <v>16</v>
      </c>
      <c r="B231" t="s">
        <v>3669</v>
      </c>
      <c r="C231" t="s">
        <v>3670</v>
      </c>
      <c r="D231" t="s">
        <v>3674</v>
      </c>
      <c r="E231" t="s">
        <v>3675</v>
      </c>
      <c r="F231" t="s">
        <v>3060</v>
      </c>
      <c r="G231" t="s">
        <v>3676</v>
      </c>
    </row>
    <row r="232" ht="11.25" customHeight="1">
      <c r="A232" s="375" t="s">
        <v>16</v>
      </c>
      <c r="B232" t="s">
        <v>3669</v>
      </c>
      <c r="C232" t="s">
        <v>3670</v>
      </c>
      <c r="D232" t="s">
        <v>3677</v>
      </c>
      <c r="E232" t="s">
        <v>3678</v>
      </c>
      <c r="F232" t="s">
        <v>3060</v>
      </c>
      <c r="G232" t="s">
        <v>3679</v>
      </c>
    </row>
    <row r="233" ht="11.25" customHeight="1">
      <c r="A233" s="375" t="s">
        <v>16</v>
      </c>
      <c r="B233" t="s">
        <v>3669</v>
      </c>
      <c r="C233" t="s">
        <v>3670</v>
      </c>
      <c r="D233" t="s">
        <v>3680</v>
      </c>
      <c r="E233" t="s">
        <v>3681</v>
      </c>
      <c r="F233" t="s">
        <v>3060</v>
      </c>
      <c r="G233" t="s">
        <v>3682</v>
      </c>
    </row>
    <row r="234" ht="11.25" customHeight="1">
      <c r="A234" s="375" t="s">
        <v>16</v>
      </c>
      <c r="B234" t="s">
        <v>3669</v>
      </c>
      <c r="C234" t="s">
        <v>3670</v>
      </c>
      <c r="D234" t="s">
        <v>3683</v>
      </c>
      <c r="E234" t="s">
        <v>3684</v>
      </c>
      <c r="F234" t="s">
        <v>3057</v>
      </c>
      <c r="G234" t="s">
        <v>3685</v>
      </c>
    </row>
    <row r="235" ht="11.25" customHeight="1">
      <c r="A235" s="375" t="s">
        <v>16</v>
      </c>
      <c r="B235" t="s">
        <v>3669</v>
      </c>
      <c r="C235" t="s">
        <v>3670</v>
      </c>
      <c r="D235" t="s">
        <v>3686</v>
      </c>
      <c r="E235" t="s">
        <v>3687</v>
      </c>
      <c r="F235" t="s">
        <v>3057</v>
      </c>
      <c r="G235" t="s">
        <v>3688</v>
      </c>
    </row>
    <row r="236" ht="11.25" customHeight="1">
      <c r="A236" s="375" t="s">
        <v>16</v>
      </c>
      <c r="B236" t="s">
        <v>3669</v>
      </c>
      <c r="C236" t="s">
        <v>3670</v>
      </c>
      <c r="D236" t="s">
        <v>3536</v>
      </c>
      <c r="E236" t="s">
        <v>3689</v>
      </c>
      <c r="F236" t="s">
        <v>3060</v>
      </c>
      <c r="G236" t="s">
        <v>3690</v>
      </c>
    </row>
    <row r="237" ht="11.25" customHeight="1">
      <c r="A237" s="375" t="s">
        <v>16</v>
      </c>
      <c r="B237" t="s">
        <v>3669</v>
      </c>
      <c r="C237" t="s">
        <v>3670</v>
      </c>
      <c r="D237" t="s">
        <v>3669</v>
      </c>
      <c r="E237" t="s">
        <v>3670</v>
      </c>
      <c r="F237" t="s">
        <v>3054</v>
      </c>
      <c r="G237" t="s">
        <v>3691</v>
      </c>
    </row>
    <row r="238" ht="11.25" customHeight="1">
      <c r="A238" s="375" t="s">
        <v>16</v>
      </c>
      <c r="B238" t="s">
        <v>3669</v>
      </c>
      <c r="C238" t="s">
        <v>3670</v>
      </c>
      <c r="D238" t="s">
        <v>3692</v>
      </c>
      <c r="E238" t="s">
        <v>3693</v>
      </c>
      <c r="F238" t="s">
        <v>3060</v>
      </c>
      <c r="G238" t="s">
        <v>3694</v>
      </c>
    </row>
    <row r="239" ht="11.25" customHeight="1">
      <c r="A239" s="375" t="s">
        <v>16</v>
      </c>
      <c r="B239" t="s">
        <v>3669</v>
      </c>
      <c r="C239" t="s">
        <v>3670</v>
      </c>
      <c r="D239" t="s">
        <v>3695</v>
      </c>
      <c r="E239" t="s">
        <v>3696</v>
      </c>
      <c r="F239" t="s">
        <v>3060</v>
      </c>
      <c r="G239" t="s">
        <v>3697</v>
      </c>
    </row>
    <row r="240" ht="11.25" customHeight="1">
      <c r="A240" s="375" t="s">
        <v>16</v>
      </c>
      <c r="B240" t="s">
        <v>3698</v>
      </c>
      <c r="C240" t="s">
        <v>3699</v>
      </c>
      <c r="D240" t="s">
        <v>3698</v>
      </c>
      <c r="E240" t="s">
        <v>3699</v>
      </c>
      <c r="F240" t="s">
        <v>3051</v>
      </c>
      <c r="G240" t="s">
        <v>3700</v>
      </c>
    </row>
    <row r="241" ht="11.25" customHeight="1">
      <c r="A241" s="375" t="s">
        <v>16</v>
      </c>
      <c r="B241" t="s">
        <v>3701</v>
      </c>
      <c r="C241" t="s">
        <v>3702</v>
      </c>
      <c r="D241" t="s">
        <v>3703</v>
      </c>
      <c r="E241" t="s">
        <v>3704</v>
      </c>
      <c r="F241" t="s">
        <v>3060</v>
      </c>
      <c r="G241" t="s">
        <v>3705</v>
      </c>
    </row>
    <row r="242" ht="11.25" customHeight="1">
      <c r="A242" s="375" t="s">
        <v>16</v>
      </c>
      <c r="B242" t="s">
        <v>3701</v>
      </c>
      <c r="C242" t="s">
        <v>3702</v>
      </c>
      <c r="D242" t="s">
        <v>3632</v>
      </c>
      <c r="E242" t="s">
        <v>3706</v>
      </c>
      <c r="F242" t="s">
        <v>3060</v>
      </c>
      <c r="G242" t="s">
        <v>3707</v>
      </c>
    </row>
    <row r="243" ht="11.25" customHeight="1">
      <c r="A243" s="375" t="s">
        <v>16</v>
      </c>
      <c r="B243" t="s">
        <v>3701</v>
      </c>
      <c r="C243" t="s">
        <v>3702</v>
      </c>
      <c r="D243" t="s">
        <v>3708</v>
      </c>
      <c r="E243" t="s">
        <v>3709</v>
      </c>
      <c r="F243" t="s">
        <v>3060</v>
      </c>
      <c r="G243" t="s">
        <v>3710</v>
      </c>
    </row>
    <row r="244" ht="11.25" customHeight="1">
      <c r="A244" s="375" t="s">
        <v>16</v>
      </c>
      <c r="B244" t="s">
        <v>3701</v>
      </c>
      <c r="C244" t="s">
        <v>3702</v>
      </c>
      <c r="D244" t="s">
        <v>3711</v>
      </c>
      <c r="E244" t="s">
        <v>3712</v>
      </c>
      <c r="F244" t="s">
        <v>3060</v>
      </c>
      <c r="G244" t="s">
        <v>3713</v>
      </c>
    </row>
    <row r="245" ht="11.25" customHeight="1">
      <c r="A245" s="375" t="s">
        <v>16</v>
      </c>
      <c r="B245" t="s">
        <v>3701</v>
      </c>
      <c r="C245" t="s">
        <v>3702</v>
      </c>
      <c r="D245" t="s">
        <v>3714</v>
      </c>
      <c r="E245" t="s">
        <v>3715</v>
      </c>
      <c r="F245" t="s">
        <v>3060</v>
      </c>
      <c r="G245" t="s">
        <v>3716</v>
      </c>
    </row>
    <row r="246" ht="11.25" customHeight="1">
      <c r="A246" s="375" t="s">
        <v>16</v>
      </c>
      <c r="B246" t="s">
        <v>3701</v>
      </c>
      <c r="C246" t="s">
        <v>3702</v>
      </c>
      <c r="D246" t="s">
        <v>3717</v>
      </c>
      <c r="E246" t="s">
        <v>3718</v>
      </c>
      <c r="F246" t="s">
        <v>3060</v>
      </c>
      <c r="G246" t="s">
        <v>3719</v>
      </c>
    </row>
    <row r="247" ht="11.25" customHeight="1">
      <c r="A247" s="375" t="s">
        <v>16</v>
      </c>
      <c r="B247" t="s">
        <v>3701</v>
      </c>
      <c r="C247" t="s">
        <v>3702</v>
      </c>
      <c r="D247" t="s">
        <v>3720</v>
      </c>
      <c r="E247" t="s">
        <v>3721</v>
      </c>
      <c r="F247" t="s">
        <v>3060</v>
      </c>
      <c r="G247" t="s">
        <v>3722</v>
      </c>
    </row>
    <row r="248" ht="11.25" customHeight="1">
      <c r="A248" s="375" t="s">
        <v>16</v>
      </c>
      <c r="B248" t="s">
        <v>3701</v>
      </c>
      <c r="C248" t="s">
        <v>3702</v>
      </c>
      <c r="D248" t="s">
        <v>3723</v>
      </c>
      <c r="E248" t="s">
        <v>3724</v>
      </c>
      <c r="F248" t="s">
        <v>3060</v>
      </c>
      <c r="G248" t="s">
        <v>3725</v>
      </c>
    </row>
    <row r="249" ht="11.25" customHeight="1">
      <c r="A249" s="375" t="s">
        <v>16</v>
      </c>
      <c r="B249" t="s">
        <v>3701</v>
      </c>
      <c r="C249" t="s">
        <v>3702</v>
      </c>
      <c r="D249" t="s">
        <v>3726</v>
      </c>
      <c r="E249" t="s">
        <v>3727</v>
      </c>
      <c r="F249" t="s">
        <v>3060</v>
      </c>
      <c r="G249" t="s">
        <v>3728</v>
      </c>
    </row>
    <row r="250" ht="11.25" customHeight="1">
      <c r="A250" s="375" t="s">
        <v>16</v>
      </c>
      <c r="B250" t="s">
        <v>3701</v>
      </c>
      <c r="C250" t="s">
        <v>3702</v>
      </c>
      <c r="D250" t="s">
        <v>3729</v>
      </c>
      <c r="E250" t="s">
        <v>3730</v>
      </c>
      <c r="F250" t="s">
        <v>3060</v>
      </c>
      <c r="G250" t="s">
        <v>3731</v>
      </c>
    </row>
    <row r="251" ht="11.25" customHeight="1">
      <c r="A251" s="375" t="s">
        <v>16</v>
      </c>
      <c r="B251" t="s">
        <v>3701</v>
      </c>
      <c r="C251" t="s">
        <v>3702</v>
      </c>
      <c r="D251" t="s">
        <v>3732</v>
      </c>
      <c r="E251" t="s">
        <v>3733</v>
      </c>
      <c r="F251" t="s">
        <v>3060</v>
      </c>
      <c r="G251" t="s">
        <v>3734</v>
      </c>
    </row>
    <row r="252" ht="11.25" customHeight="1">
      <c r="A252" s="375" t="s">
        <v>16</v>
      </c>
      <c r="B252" t="s">
        <v>3701</v>
      </c>
      <c r="C252" t="s">
        <v>3702</v>
      </c>
      <c r="D252" t="s">
        <v>3735</v>
      </c>
      <c r="E252" t="s">
        <v>3736</v>
      </c>
      <c r="F252" t="s">
        <v>3060</v>
      </c>
      <c r="G252" t="s">
        <v>3737</v>
      </c>
    </row>
    <row r="253" ht="11.25" customHeight="1">
      <c r="A253" s="375" t="s">
        <v>16</v>
      </c>
      <c r="B253" t="s">
        <v>3701</v>
      </c>
      <c r="C253" t="s">
        <v>3702</v>
      </c>
      <c r="D253" t="s">
        <v>3738</v>
      </c>
      <c r="E253" t="s">
        <v>3739</v>
      </c>
      <c r="F253" t="s">
        <v>3060</v>
      </c>
      <c r="G253" t="s">
        <v>3740</v>
      </c>
    </row>
    <row r="254" ht="11.25" customHeight="1">
      <c r="A254" s="375" t="s">
        <v>16</v>
      </c>
      <c r="B254" t="s">
        <v>3701</v>
      </c>
      <c r="C254" t="s">
        <v>3702</v>
      </c>
      <c r="D254" t="s">
        <v>3741</v>
      </c>
      <c r="E254" t="s">
        <v>3742</v>
      </c>
      <c r="F254" t="s">
        <v>3214</v>
      </c>
      <c r="G254" t="s">
        <v>3743</v>
      </c>
    </row>
    <row r="255" ht="11.25" customHeight="1">
      <c r="A255" s="375" t="s">
        <v>16</v>
      </c>
      <c r="B255" t="s">
        <v>3701</v>
      </c>
      <c r="C255" t="s">
        <v>3702</v>
      </c>
      <c r="D255" t="s">
        <v>3701</v>
      </c>
      <c r="E255" t="s">
        <v>3702</v>
      </c>
      <c r="F255" t="s">
        <v>3054</v>
      </c>
      <c r="G255" t="s">
        <v>3744</v>
      </c>
    </row>
    <row r="256" ht="11.25" customHeight="1">
      <c r="A256" s="375" t="s">
        <v>16</v>
      </c>
      <c r="B256" t="s">
        <v>3701</v>
      </c>
      <c r="C256" t="s">
        <v>3702</v>
      </c>
      <c r="D256" t="s">
        <v>3745</v>
      </c>
      <c r="E256" t="s">
        <v>3746</v>
      </c>
      <c r="F256" t="s">
        <v>3060</v>
      </c>
      <c r="G256" t="s">
        <v>3747</v>
      </c>
    </row>
    <row r="257" ht="11.25" customHeight="1">
      <c r="A257" s="375" t="s">
        <v>16</v>
      </c>
      <c r="B257" t="s">
        <v>3701</v>
      </c>
      <c r="C257" t="s">
        <v>3702</v>
      </c>
      <c r="D257" t="s">
        <v>3748</v>
      </c>
      <c r="E257" t="s">
        <v>3749</v>
      </c>
      <c r="F257" t="s">
        <v>3060</v>
      </c>
      <c r="G257" t="s">
        <v>3750</v>
      </c>
    </row>
    <row r="258" ht="11.25" customHeight="1">
      <c r="A258" s="375" t="s">
        <v>16</v>
      </c>
      <c r="B258" t="s">
        <v>3751</v>
      </c>
      <c r="C258" t="s">
        <v>3752</v>
      </c>
      <c r="D258" t="s">
        <v>3751</v>
      </c>
      <c r="E258" t="s">
        <v>3752</v>
      </c>
      <c r="F258" t="s">
        <v>3051</v>
      </c>
      <c r="G258" t="s">
        <v>3753</v>
      </c>
    </row>
    <row r="259" ht="11.25" customHeight="1">
      <c r="A259" s="375" t="s">
        <v>16</v>
      </c>
      <c r="B259" t="s">
        <v>3754</v>
      </c>
      <c r="C259" t="s">
        <v>3755</v>
      </c>
      <c r="D259" t="s">
        <v>3756</v>
      </c>
      <c r="E259" t="s">
        <v>3757</v>
      </c>
      <c r="F259" t="s">
        <v>3060</v>
      </c>
      <c r="G259" t="s">
        <v>3758</v>
      </c>
    </row>
    <row r="260" ht="11.25" customHeight="1">
      <c r="A260" s="375" t="s">
        <v>16</v>
      </c>
      <c r="B260" t="s">
        <v>3754</v>
      </c>
      <c r="C260" t="s">
        <v>3755</v>
      </c>
      <c r="D260" t="s">
        <v>3759</v>
      </c>
      <c r="E260" t="s">
        <v>3760</v>
      </c>
      <c r="F260" t="s">
        <v>3060</v>
      </c>
      <c r="G260" t="s">
        <v>3761</v>
      </c>
    </row>
    <row r="261" ht="11.25" customHeight="1">
      <c r="A261" s="375" t="s">
        <v>16</v>
      </c>
      <c r="B261" t="s">
        <v>3754</v>
      </c>
      <c r="C261" t="s">
        <v>3755</v>
      </c>
      <c r="D261" t="s">
        <v>3762</v>
      </c>
      <c r="E261" t="s">
        <v>3763</v>
      </c>
      <c r="F261" t="s">
        <v>3060</v>
      </c>
      <c r="G261" t="s">
        <v>3764</v>
      </c>
    </row>
    <row r="262" ht="11.25" customHeight="1">
      <c r="A262" s="375" t="s">
        <v>16</v>
      </c>
      <c r="B262" t="s">
        <v>3754</v>
      </c>
      <c r="C262" t="s">
        <v>3755</v>
      </c>
      <c r="D262" t="s">
        <v>3765</v>
      </c>
      <c r="E262" t="s">
        <v>3766</v>
      </c>
      <c r="F262" t="s">
        <v>3060</v>
      </c>
      <c r="G262" t="s">
        <v>3767</v>
      </c>
    </row>
    <row r="263" ht="11.25" customHeight="1">
      <c r="A263" s="375" t="s">
        <v>16</v>
      </c>
      <c r="B263" t="s">
        <v>3754</v>
      </c>
      <c r="C263" t="s">
        <v>3755</v>
      </c>
      <c r="D263" t="s">
        <v>3768</v>
      </c>
      <c r="E263" t="s">
        <v>3769</v>
      </c>
      <c r="F263" t="s">
        <v>3060</v>
      </c>
      <c r="G263" t="s">
        <v>3770</v>
      </c>
    </row>
    <row r="264" ht="11.25" customHeight="1">
      <c r="A264" s="375" t="s">
        <v>16</v>
      </c>
      <c r="B264" t="s">
        <v>3754</v>
      </c>
      <c r="C264" t="s">
        <v>3755</v>
      </c>
      <c r="D264" t="s">
        <v>3754</v>
      </c>
      <c r="E264" t="s">
        <v>3755</v>
      </c>
      <c r="F264" t="s">
        <v>3054</v>
      </c>
      <c r="G264" t="s">
        <v>3771</v>
      </c>
    </row>
    <row r="265" ht="11.25" customHeight="1">
      <c r="A265" s="375" t="s">
        <v>16</v>
      </c>
      <c r="B265" t="s">
        <v>3754</v>
      </c>
      <c r="C265" t="s">
        <v>3755</v>
      </c>
      <c r="D265" t="s">
        <v>3772</v>
      </c>
      <c r="E265" t="s">
        <v>3773</v>
      </c>
      <c r="F265" t="s">
        <v>3057</v>
      </c>
      <c r="G265" t="s">
        <v>3774</v>
      </c>
    </row>
    <row r="266" ht="11.25" customHeight="1">
      <c r="A266" s="375" t="s">
        <v>16</v>
      </c>
      <c r="B266" t="s">
        <v>3754</v>
      </c>
      <c r="C266" t="s">
        <v>3755</v>
      </c>
      <c r="D266" t="s">
        <v>3775</v>
      </c>
      <c r="E266" t="s">
        <v>3776</v>
      </c>
      <c r="F266" t="s">
        <v>3060</v>
      </c>
      <c r="G266" t="s">
        <v>3777</v>
      </c>
    </row>
    <row r="267" ht="11.25" customHeight="1">
      <c r="A267" s="375" t="s">
        <v>16</v>
      </c>
      <c r="B267" t="s">
        <v>3778</v>
      </c>
      <c r="C267" t="s">
        <v>3779</v>
      </c>
      <c r="D267" t="s">
        <v>3778</v>
      </c>
      <c r="E267" t="s">
        <v>3779</v>
      </c>
      <c r="F267" t="s">
        <v>3051</v>
      </c>
      <c r="G267" t="s">
        <v>3780</v>
      </c>
    </row>
    <row r="268" ht="11.25" customHeight="1">
      <c r="A268" s="375" t="s">
        <v>16</v>
      </c>
      <c r="B268" t="s">
        <v>3781</v>
      </c>
      <c r="C268" t="s">
        <v>3782</v>
      </c>
      <c r="D268" t="s">
        <v>3783</v>
      </c>
      <c r="E268" t="s">
        <v>3784</v>
      </c>
      <c r="F268" t="s">
        <v>3060</v>
      </c>
      <c r="G268" t="s">
        <v>3785</v>
      </c>
    </row>
    <row r="269" ht="11.25" customHeight="1">
      <c r="A269" s="375" t="s">
        <v>16</v>
      </c>
      <c r="B269" t="s">
        <v>3781</v>
      </c>
      <c r="C269" t="s">
        <v>3782</v>
      </c>
      <c r="D269" t="s">
        <v>3786</v>
      </c>
      <c r="E269" t="s">
        <v>3787</v>
      </c>
      <c r="F269" t="s">
        <v>3060</v>
      </c>
      <c r="G269" t="s">
        <v>3788</v>
      </c>
    </row>
    <row r="270" ht="11.25" customHeight="1">
      <c r="A270" s="375" t="s">
        <v>16</v>
      </c>
      <c r="B270" t="s">
        <v>3781</v>
      </c>
      <c r="C270" t="s">
        <v>3782</v>
      </c>
      <c r="D270" t="s">
        <v>3789</v>
      </c>
      <c r="E270" t="s">
        <v>3790</v>
      </c>
      <c r="F270" t="s">
        <v>3060</v>
      </c>
      <c r="G270" t="s">
        <v>3791</v>
      </c>
    </row>
    <row r="271" ht="11.25" customHeight="1">
      <c r="A271" s="375" t="s">
        <v>16</v>
      </c>
      <c r="B271" t="s">
        <v>3781</v>
      </c>
      <c r="C271" t="s">
        <v>3782</v>
      </c>
      <c r="D271" t="s">
        <v>3792</v>
      </c>
      <c r="E271" t="s">
        <v>3793</v>
      </c>
      <c r="F271" t="s">
        <v>3060</v>
      </c>
      <c r="G271" t="s">
        <v>3794</v>
      </c>
    </row>
    <row r="272" ht="11.25" customHeight="1">
      <c r="A272" s="375" t="s">
        <v>16</v>
      </c>
      <c r="B272" t="s">
        <v>3781</v>
      </c>
      <c r="C272" t="s">
        <v>3782</v>
      </c>
      <c r="D272" t="s">
        <v>3781</v>
      </c>
      <c r="E272" t="s">
        <v>3782</v>
      </c>
      <c r="F272" t="s">
        <v>3054</v>
      </c>
      <c r="G272" t="s">
        <v>3795</v>
      </c>
    </row>
    <row r="273" ht="11.25" customHeight="1">
      <c r="A273" s="375" t="s">
        <v>16</v>
      </c>
      <c r="B273" t="s">
        <v>3781</v>
      </c>
      <c r="C273" t="s">
        <v>3782</v>
      </c>
      <c r="D273" t="s">
        <v>3796</v>
      </c>
      <c r="E273" t="s">
        <v>3797</v>
      </c>
      <c r="F273" t="s">
        <v>3057</v>
      </c>
      <c r="G273" t="s">
        <v>3798</v>
      </c>
    </row>
    <row r="274" ht="11.25" customHeight="1">
      <c r="A274" s="375" t="s">
        <v>16</v>
      </c>
      <c r="B274" t="s">
        <v>3799</v>
      </c>
      <c r="C274" t="s">
        <v>3800</v>
      </c>
      <c r="D274" t="s">
        <v>3799</v>
      </c>
      <c r="E274" t="s">
        <v>3800</v>
      </c>
      <c r="F274" t="s">
        <v>3051</v>
      </c>
      <c r="G274" t="s">
        <v>3801</v>
      </c>
    </row>
    <row r="275" ht="11.25" customHeight="1">
      <c r="A275" s="375" t="s">
        <v>16</v>
      </c>
      <c r="B275" t="s">
        <v>3802</v>
      </c>
      <c r="C275" t="s">
        <v>3803</v>
      </c>
      <c r="D275" t="s">
        <v>3804</v>
      </c>
      <c r="E275" t="s">
        <v>3805</v>
      </c>
      <c r="F275" t="s">
        <v>3060</v>
      </c>
      <c r="G275" t="s">
        <v>3806</v>
      </c>
    </row>
    <row r="276" ht="11.25" customHeight="1">
      <c r="A276" s="375" t="s">
        <v>16</v>
      </c>
      <c r="B276" t="s">
        <v>3802</v>
      </c>
      <c r="C276" t="s">
        <v>3803</v>
      </c>
      <c r="D276" t="s">
        <v>3807</v>
      </c>
      <c r="E276" t="s">
        <v>3808</v>
      </c>
      <c r="F276" t="s">
        <v>3060</v>
      </c>
      <c r="G276" t="s">
        <v>3809</v>
      </c>
    </row>
    <row r="277" ht="11.25" customHeight="1">
      <c r="A277" s="375" t="s">
        <v>16</v>
      </c>
      <c r="B277" t="s">
        <v>3802</v>
      </c>
      <c r="C277" t="s">
        <v>3803</v>
      </c>
      <c r="D277" t="s">
        <v>3810</v>
      </c>
      <c r="E277" t="s">
        <v>3811</v>
      </c>
      <c r="F277" t="s">
        <v>3060</v>
      </c>
      <c r="G277" t="s">
        <v>3812</v>
      </c>
    </row>
    <row r="278" ht="11.25" customHeight="1">
      <c r="A278" s="375" t="s">
        <v>16</v>
      </c>
      <c r="B278" t="s">
        <v>3802</v>
      </c>
      <c r="C278" t="s">
        <v>3803</v>
      </c>
      <c r="D278" t="s">
        <v>3813</v>
      </c>
      <c r="E278" t="s">
        <v>3814</v>
      </c>
      <c r="F278" t="s">
        <v>3060</v>
      </c>
      <c r="G278" t="s">
        <v>3815</v>
      </c>
    </row>
    <row r="279" ht="11.25" customHeight="1">
      <c r="A279" s="375" t="s">
        <v>16</v>
      </c>
      <c r="B279" t="s">
        <v>3802</v>
      </c>
      <c r="C279" t="s">
        <v>3803</v>
      </c>
      <c r="D279" t="s">
        <v>3816</v>
      </c>
      <c r="E279" t="s">
        <v>3817</v>
      </c>
      <c r="F279" t="s">
        <v>3060</v>
      </c>
      <c r="G279" t="s">
        <v>3818</v>
      </c>
    </row>
    <row r="280" ht="11.25" customHeight="1">
      <c r="A280" s="375" t="s">
        <v>16</v>
      </c>
      <c r="B280" t="s">
        <v>3802</v>
      </c>
      <c r="C280" t="s">
        <v>3803</v>
      </c>
      <c r="D280" t="s">
        <v>3802</v>
      </c>
      <c r="E280" t="s">
        <v>3803</v>
      </c>
      <c r="F280" t="s">
        <v>3054</v>
      </c>
      <c r="G280" t="s">
        <v>3819</v>
      </c>
    </row>
    <row r="281" ht="11.25" customHeight="1">
      <c r="A281" s="375" t="s">
        <v>16</v>
      </c>
      <c r="B281" t="s">
        <v>3802</v>
      </c>
      <c r="C281" t="s">
        <v>3803</v>
      </c>
      <c r="D281" t="s">
        <v>3820</v>
      </c>
      <c r="E281" t="s">
        <v>3821</v>
      </c>
      <c r="F281" t="s">
        <v>3057</v>
      </c>
      <c r="G281" t="s">
        <v>3822</v>
      </c>
    </row>
    <row r="282" ht="11.25" customHeight="1">
      <c r="A282" s="375" t="s">
        <v>16</v>
      </c>
      <c r="B282" t="s">
        <v>3823</v>
      </c>
      <c r="C282" t="s">
        <v>3824</v>
      </c>
      <c r="D282" t="s">
        <v>3823</v>
      </c>
      <c r="E282" t="s">
        <v>3824</v>
      </c>
      <c r="F282" t="s">
        <v>3051</v>
      </c>
      <c r="G282" t="s">
        <v>3825</v>
      </c>
    </row>
    <row r="283" ht="11.25" customHeight="1">
      <c r="A283" s="375" t="s">
        <v>16</v>
      </c>
      <c r="B283" t="s">
        <v>3826</v>
      </c>
      <c r="C283" t="s">
        <v>3827</v>
      </c>
      <c r="D283" t="s">
        <v>3828</v>
      </c>
      <c r="E283" t="s">
        <v>3829</v>
      </c>
      <c r="F283" t="s">
        <v>3060</v>
      </c>
      <c r="G283" t="s">
        <v>3830</v>
      </c>
    </row>
    <row r="284" ht="11.25" customHeight="1">
      <c r="A284" s="375" t="s">
        <v>16</v>
      </c>
      <c r="B284" t="s">
        <v>3826</v>
      </c>
      <c r="C284" t="s">
        <v>3827</v>
      </c>
      <c r="D284" t="s">
        <v>3831</v>
      </c>
      <c r="E284" t="s">
        <v>3832</v>
      </c>
      <c r="F284" t="s">
        <v>3060</v>
      </c>
      <c r="G284" t="s">
        <v>3833</v>
      </c>
    </row>
    <row r="285" ht="11.25" customHeight="1">
      <c r="A285" s="375" t="s">
        <v>16</v>
      </c>
      <c r="B285" t="s">
        <v>3826</v>
      </c>
      <c r="C285" t="s">
        <v>3827</v>
      </c>
      <c r="D285" t="s">
        <v>3834</v>
      </c>
      <c r="E285" t="s">
        <v>3835</v>
      </c>
      <c r="F285" t="s">
        <v>3060</v>
      </c>
      <c r="G285" t="s">
        <v>3836</v>
      </c>
    </row>
    <row r="286" ht="11.25" customHeight="1">
      <c r="A286" s="375" t="s">
        <v>16</v>
      </c>
      <c r="B286" t="s">
        <v>3826</v>
      </c>
      <c r="C286" t="s">
        <v>3827</v>
      </c>
      <c r="D286" t="s">
        <v>3837</v>
      </c>
      <c r="E286" t="s">
        <v>3838</v>
      </c>
      <c r="F286" t="s">
        <v>3060</v>
      </c>
      <c r="G286" t="s">
        <v>3839</v>
      </c>
    </row>
    <row r="287" ht="11.25" customHeight="1">
      <c r="A287" s="375" t="s">
        <v>16</v>
      </c>
      <c r="B287" t="s">
        <v>3826</v>
      </c>
      <c r="C287" t="s">
        <v>3827</v>
      </c>
      <c r="D287" t="s">
        <v>3840</v>
      </c>
      <c r="E287" t="s">
        <v>3841</v>
      </c>
      <c r="F287" t="s">
        <v>3060</v>
      </c>
      <c r="G287" t="s">
        <v>3842</v>
      </c>
    </row>
    <row r="288" ht="11.25" customHeight="1">
      <c r="A288" s="375" t="s">
        <v>16</v>
      </c>
      <c r="B288" t="s">
        <v>3826</v>
      </c>
      <c r="C288" t="s">
        <v>3827</v>
      </c>
      <c r="D288" t="s">
        <v>3843</v>
      </c>
      <c r="E288" t="s">
        <v>3844</v>
      </c>
      <c r="F288" t="s">
        <v>3060</v>
      </c>
      <c r="G288" t="s">
        <v>3845</v>
      </c>
    </row>
    <row r="289" ht="11.25" customHeight="1">
      <c r="A289" s="375" t="s">
        <v>16</v>
      </c>
      <c r="B289" t="s">
        <v>3826</v>
      </c>
      <c r="C289" t="s">
        <v>3827</v>
      </c>
      <c r="D289" t="s">
        <v>3846</v>
      </c>
      <c r="E289" t="s">
        <v>3847</v>
      </c>
      <c r="F289" t="s">
        <v>3060</v>
      </c>
      <c r="G289" t="s">
        <v>3848</v>
      </c>
    </row>
    <row r="290" ht="11.25" customHeight="1">
      <c r="A290" s="375" t="s">
        <v>16</v>
      </c>
      <c r="B290" t="s">
        <v>3826</v>
      </c>
      <c r="C290" t="s">
        <v>3827</v>
      </c>
      <c r="D290" t="s">
        <v>3849</v>
      </c>
      <c r="E290" t="s">
        <v>3850</v>
      </c>
      <c r="F290" t="s">
        <v>3060</v>
      </c>
      <c r="G290" t="s">
        <v>3851</v>
      </c>
    </row>
    <row r="291" ht="11.25" customHeight="1">
      <c r="A291" s="375" t="s">
        <v>16</v>
      </c>
      <c r="B291" t="s">
        <v>3826</v>
      </c>
      <c r="C291" t="s">
        <v>3827</v>
      </c>
      <c r="D291" t="s">
        <v>3852</v>
      </c>
      <c r="E291" t="s">
        <v>3853</v>
      </c>
      <c r="F291" t="s">
        <v>3060</v>
      </c>
      <c r="G291" t="s">
        <v>3854</v>
      </c>
    </row>
    <row r="292" ht="11.25" customHeight="1">
      <c r="A292" s="375" t="s">
        <v>16</v>
      </c>
      <c r="B292" t="s">
        <v>3826</v>
      </c>
      <c r="C292" t="s">
        <v>3827</v>
      </c>
      <c r="D292" t="s">
        <v>3855</v>
      </c>
      <c r="E292" t="s">
        <v>3856</v>
      </c>
      <c r="F292" t="s">
        <v>3060</v>
      </c>
      <c r="G292" t="s">
        <v>3857</v>
      </c>
    </row>
    <row r="293" ht="11.25" customHeight="1">
      <c r="A293" s="375" t="s">
        <v>16</v>
      </c>
      <c r="B293" t="s">
        <v>3826</v>
      </c>
      <c r="C293" t="s">
        <v>3827</v>
      </c>
      <c r="D293" t="s">
        <v>3858</v>
      </c>
      <c r="E293" t="s">
        <v>3859</v>
      </c>
      <c r="F293" t="s">
        <v>3060</v>
      </c>
      <c r="G293" t="s">
        <v>3860</v>
      </c>
    </row>
    <row r="294" ht="11.25" customHeight="1">
      <c r="A294" s="375" t="s">
        <v>16</v>
      </c>
      <c r="B294" t="s">
        <v>3826</v>
      </c>
      <c r="C294" t="s">
        <v>3827</v>
      </c>
      <c r="D294" t="s">
        <v>3789</v>
      </c>
      <c r="E294" t="s">
        <v>3861</v>
      </c>
      <c r="F294" t="s">
        <v>3060</v>
      </c>
      <c r="G294" t="s">
        <v>3862</v>
      </c>
    </row>
    <row r="295" ht="11.25" customHeight="1">
      <c r="A295" s="375" t="s">
        <v>16</v>
      </c>
      <c r="B295" t="s">
        <v>3826</v>
      </c>
      <c r="C295" t="s">
        <v>3827</v>
      </c>
      <c r="D295" t="s">
        <v>3863</v>
      </c>
      <c r="E295" t="s">
        <v>3864</v>
      </c>
      <c r="F295" t="s">
        <v>3060</v>
      </c>
      <c r="G295" t="s">
        <v>3865</v>
      </c>
    </row>
    <row r="296" ht="11.25" customHeight="1">
      <c r="A296" s="375" t="s">
        <v>16</v>
      </c>
      <c r="B296" t="s">
        <v>3826</v>
      </c>
      <c r="C296" t="s">
        <v>3827</v>
      </c>
      <c r="D296" t="s">
        <v>3866</v>
      </c>
      <c r="E296" t="s">
        <v>3867</v>
      </c>
      <c r="F296" t="s">
        <v>3060</v>
      </c>
      <c r="G296" t="s">
        <v>3868</v>
      </c>
    </row>
    <row r="297" ht="11.25" customHeight="1">
      <c r="A297" s="375" t="s">
        <v>16</v>
      </c>
      <c r="B297" t="s">
        <v>3826</v>
      </c>
      <c r="C297" t="s">
        <v>3827</v>
      </c>
      <c r="D297" t="s">
        <v>3869</v>
      </c>
      <c r="E297" t="s">
        <v>3870</v>
      </c>
      <c r="F297" t="s">
        <v>3060</v>
      </c>
      <c r="G297" t="s">
        <v>3871</v>
      </c>
    </row>
    <row r="298" ht="11.25" customHeight="1">
      <c r="A298" s="375" t="s">
        <v>16</v>
      </c>
      <c r="B298" t="s">
        <v>3826</v>
      </c>
      <c r="C298" t="s">
        <v>3827</v>
      </c>
      <c r="D298" t="s">
        <v>3826</v>
      </c>
      <c r="E298" t="s">
        <v>3827</v>
      </c>
      <c r="F298" t="s">
        <v>3054</v>
      </c>
      <c r="G298" t="s">
        <v>3872</v>
      </c>
    </row>
    <row r="299" ht="11.25" customHeight="1">
      <c r="A299" s="375" t="s">
        <v>16</v>
      </c>
      <c r="B299" t="s">
        <v>3826</v>
      </c>
      <c r="C299" t="s">
        <v>3827</v>
      </c>
      <c r="D299" t="s">
        <v>3873</v>
      </c>
      <c r="E299" t="s">
        <v>3874</v>
      </c>
      <c r="F299" t="s">
        <v>3214</v>
      </c>
      <c r="G299" t="s">
        <v>3875</v>
      </c>
    </row>
    <row r="300" ht="11.25" customHeight="1">
      <c r="A300" s="375" t="s">
        <v>16</v>
      </c>
      <c r="B300" t="s">
        <v>3826</v>
      </c>
      <c r="C300" t="s">
        <v>3827</v>
      </c>
      <c r="D300" t="s">
        <v>3876</v>
      </c>
      <c r="E300" t="s">
        <v>3877</v>
      </c>
      <c r="F300" t="s">
        <v>3060</v>
      </c>
      <c r="G300" t="s">
        <v>3878</v>
      </c>
    </row>
    <row r="301" ht="11.25" customHeight="1">
      <c r="A301" s="375" t="s">
        <v>16</v>
      </c>
      <c r="B301" t="s">
        <v>3879</v>
      </c>
      <c r="C301" t="s">
        <v>3880</v>
      </c>
      <c r="D301" t="s">
        <v>3881</v>
      </c>
      <c r="E301" t="s">
        <v>3882</v>
      </c>
      <c r="F301" t="s">
        <v>3060</v>
      </c>
      <c r="G301" t="s">
        <v>3883</v>
      </c>
    </row>
    <row r="302" ht="11.25" customHeight="1">
      <c r="A302" s="375" t="s">
        <v>16</v>
      </c>
      <c r="B302" t="s">
        <v>3879</v>
      </c>
      <c r="C302" t="s">
        <v>3880</v>
      </c>
      <c r="D302" t="s">
        <v>3831</v>
      </c>
      <c r="E302" t="s">
        <v>3884</v>
      </c>
      <c r="F302" t="s">
        <v>3060</v>
      </c>
      <c r="G302" t="s">
        <v>3885</v>
      </c>
    </row>
    <row r="303" ht="11.25" customHeight="1">
      <c r="A303" s="375" t="s">
        <v>16</v>
      </c>
      <c r="B303" t="s">
        <v>3879</v>
      </c>
      <c r="C303" t="s">
        <v>3880</v>
      </c>
      <c r="D303" t="s">
        <v>3886</v>
      </c>
      <c r="E303" t="s">
        <v>3887</v>
      </c>
      <c r="F303" t="s">
        <v>3060</v>
      </c>
      <c r="G303" t="s">
        <v>3888</v>
      </c>
    </row>
    <row r="304" ht="11.25" customHeight="1">
      <c r="A304" s="375" t="s">
        <v>16</v>
      </c>
      <c r="B304" t="s">
        <v>3879</v>
      </c>
      <c r="C304" t="s">
        <v>3880</v>
      </c>
      <c r="D304" t="s">
        <v>3889</v>
      </c>
      <c r="E304" t="s">
        <v>3890</v>
      </c>
      <c r="F304" t="s">
        <v>3060</v>
      </c>
      <c r="G304" t="s">
        <v>3891</v>
      </c>
    </row>
    <row r="305" ht="11.25" customHeight="1">
      <c r="A305" s="375" t="s">
        <v>16</v>
      </c>
      <c r="B305" t="s">
        <v>3879</v>
      </c>
      <c r="C305" t="s">
        <v>3880</v>
      </c>
      <c r="D305" t="s">
        <v>3892</v>
      </c>
      <c r="E305" t="s">
        <v>3893</v>
      </c>
      <c r="F305" t="s">
        <v>3060</v>
      </c>
      <c r="G305" t="s">
        <v>3894</v>
      </c>
    </row>
    <row r="306" ht="11.25" customHeight="1">
      <c r="A306" s="375" t="s">
        <v>16</v>
      </c>
      <c r="B306" t="s">
        <v>3879</v>
      </c>
      <c r="C306" t="s">
        <v>3880</v>
      </c>
      <c r="D306" t="s">
        <v>3895</v>
      </c>
      <c r="E306" t="s">
        <v>3896</v>
      </c>
      <c r="F306" t="s">
        <v>3060</v>
      </c>
      <c r="G306" t="s">
        <v>3897</v>
      </c>
    </row>
    <row r="307" ht="11.25" customHeight="1">
      <c r="A307" s="375" t="s">
        <v>16</v>
      </c>
      <c r="B307" t="s">
        <v>3879</v>
      </c>
      <c r="C307" t="s">
        <v>3880</v>
      </c>
      <c r="D307" t="s">
        <v>3898</v>
      </c>
      <c r="E307" t="s">
        <v>3899</v>
      </c>
      <c r="F307" t="s">
        <v>3060</v>
      </c>
      <c r="G307" t="s">
        <v>3900</v>
      </c>
    </row>
    <row r="308" ht="11.25" customHeight="1">
      <c r="A308" s="375" t="s">
        <v>16</v>
      </c>
      <c r="B308" t="s">
        <v>3879</v>
      </c>
      <c r="C308" t="s">
        <v>3880</v>
      </c>
      <c r="D308" t="s">
        <v>3901</v>
      </c>
      <c r="E308" t="s">
        <v>3902</v>
      </c>
      <c r="F308" t="s">
        <v>3060</v>
      </c>
      <c r="G308" t="s">
        <v>3903</v>
      </c>
    </row>
    <row r="309" ht="11.25" customHeight="1">
      <c r="A309" s="375" t="s">
        <v>16</v>
      </c>
      <c r="B309" t="s">
        <v>3879</v>
      </c>
      <c r="C309" t="s">
        <v>3880</v>
      </c>
      <c r="D309" t="s">
        <v>3904</v>
      </c>
      <c r="E309" t="s">
        <v>3905</v>
      </c>
      <c r="F309" t="s">
        <v>3057</v>
      </c>
      <c r="G309" t="s">
        <v>3906</v>
      </c>
    </row>
    <row r="310" ht="11.25" customHeight="1">
      <c r="A310" s="375" t="s">
        <v>16</v>
      </c>
      <c r="B310" t="s">
        <v>3879</v>
      </c>
      <c r="C310" t="s">
        <v>3880</v>
      </c>
      <c r="D310" t="s">
        <v>3907</v>
      </c>
      <c r="E310" t="s">
        <v>3908</v>
      </c>
      <c r="F310" t="s">
        <v>3060</v>
      </c>
      <c r="G310" t="s">
        <v>3909</v>
      </c>
    </row>
    <row r="311" ht="11.25" customHeight="1">
      <c r="A311" s="375" t="s">
        <v>16</v>
      </c>
      <c r="B311" t="s">
        <v>3879</v>
      </c>
      <c r="C311" t="s">
        <v>3880</v>
      </c>
      <c r="D311" t="s">
        <v>3910</v>
      </c>
      <c r="E311" t="s">
        <v>3911</v>
      </c>
      <c r="F311" t="s">
        <v>3060</v>
      </c>
      <c r="G311" t="s">
        <v>3912</v>
      </c>
    </row>
    <row r="312" ht="11.25" customHeight="1">
      <c r="A312" s="375" t="s">
        <v>16</v>
      </c>
      <c r="B312" t="s">
        <v>3879</v>
      </c>
      <c r="C312" t="s">
        <v>3880</v>
      </c>
      <c r="D312" t="s">
        <v>3913</v>
      </c>
      <c r="E312" t="s">
        <v>3914</v>
      </c>
      <c r="F312" t="s">
        <v>3060</v>
      </c>
      <c r="G312" t="s">
        <v>3915</v>
      </c>
    </row>
    <row r="313" ht="11.25" customHeight="1">
      <c r="A313" s="375" t="s">
        <v>16</v>
      </c>
      <c r="B313" t="s">
        <v>3879</v>
      </c>
      <c r="C313" t="s">
        <v>3880</v>
      </c>
      <c r="D313" t="s">
        <v>3394</v>
      </c>
      <c r="E313" t="s">
        <v>3916</v>
      </c>
      <c r="F313" t="s">
        <v>3060</v>
      </c>
      <c r="G313" t="s">
        <v>3917</v>
      </c>
    </row>
    <row r="314" ht="11.25" customHeight="1">
      <c r="A314" s="375" t="s">
        <v>16</v>
      </c>
      <c r="B314" t="s">
        <v>3879</v>
      </c>
      <c r="C314" t="s">
        <v>3880</v>
      </c>
      <c r="D314" t="s">
        <v>3879</v>
      </c>
      <c r="E314" t="s">
        <v>3880</v>
      </c>
      <c r="F314" t="s">
        <v>3054</v>
      </c>
      <c r="G314" t="s">
        <v>3918</v>
      </c>
    </row>
    <row r="315" ht="11.25" customHeight="1">
      <c r="A315" s="375" t="s">
        <v>16</v>
      </c>
      <c r="B315" t="s">
        <v>3879</v>
      </c>
      <c r="C315" t="s">
        <v>3880</v>
      </c>
      <c r="D315" t="s">
        <v>3919</v>
      </c>
      <c r="E315" t="s">
        <v>3920</v>
      </c>
      <c r="F315" t="s">
        <v>3057</v>
      </c>
      <c r="G315" t="s">
        <v>3921</v>
      </c>
    </row>
  </sheetData>
  <sheetProtection autoFilter="0" deleteColumns="0" deleteRows="0" insertColumns="1" insertRows="0" sort="0"/>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693" width="13.8515625"/>
    <col customWidth="1" min="2" max="2" style="1693" width="10.421875"/>
    <col customWidth="1" min="3" max="3" style="1693" width="7.57421875"/>
    <col customWidth="1" min="4" max="4" style="1693" width="13.8515625"/>
    <col customWidth="1" min="5" max="5" style="1693" width="11.57421875"/>
    <col customWidth="1" min="6" max="6" style="1693" width="16.28125"/>
    <col customWidth="1" min="7" max="7" style="1693" width="16.00390625"/>
    <col customWidth="1" min="8" max="9" style="1693" width="16.140625"/>
  </cols>
  <sheetData>
    <row r="1" ht="11.25" customHeight="1">
      <c r="A1" s="837" t="s">
        <v>3922</v>
      </c>
      <c r="B1" s="837" t="s">
        <v>3923</v>
      </c>
      <c r="C1" s="1161" t="s">
        <v>3924</v>
      </c>
      <c r="D1" s="837" t="s">
        <v>3925</v>
      </c>
      <c r="E1" s="837" t="s">
        <v>3926</v>
      </c>
      <c r="F1" s="1161" t="s">
        <v>3927</v>
      </c>
      <c r="G1" s="1161" t="s">
        <v>3928</v>
      </c>
      <c r="H1" s="1161" t="s">
        <v>3929</v>
      </c>
      <c r="I1" s="1161" t="s">
        <v>3930</v>
      </c>
    </row>
    <row r="2" ht="11.25" customHeight="1">
      <c r="A2" s="1693" t="s">
        <v>110</v>
      </c>
      <c r="B2" s="1693" t="s">
        <v>3931</v>
      </c>
      <c r="C2" s="1693" t="s">
        <v>22</v>
      </c>
      <c r="D2" s="1693" t="s">
        <v>3932</v>
      </c>
      <c r="E2" s="1693" t="s">
        <v>3933</v>
      </c>
      <c r="F2" s="1693" t="s">
        <v>22</v>
      </c>
      <c r="G2" s="1693" t="s">
        <v>22</v>
      </c>
      <c r="H2" s="1693" t="s">
        <v>22</v>
      </c>
      <c r="I2" s="1693" t="s">
        <v>22</v>
      </c>
    </row>
    <row r="3" ht="11.25" customHeight="1">
      <c r="A3" s="1693" t="s">
        <v>111</v>
      </c>
      <c r="B3" s="1693" t="s">
        <v>3934</v>
      </c>
      <c r="C3" s="1693" t="s">
        <v>22</v>
      </c>
      <c r="D3" s="1693" t="s">
        <v>3935</v>
      </c>
      <c r="E3" s="1693" t="s">
        <v>3936</v>
      </c>
      <c r="F3" s="1693" t="s">
        <v>22</v>
      </c>
      <c r="G3" s="1693" t="s">
        <v>22</v>
      </c>
      <c r="H3" s="1693" t="s">
        <v>22</v>
      </c>
      <c r="I3" s="1693" t="s">
        <v>22</v>
      </c>
    </row>
    <row r="4" ht="11.25" customHeight="1">
      <c r="A4" s="1693" t="s">
        <v>90</v>
      </c>
      <c r="B4" s="1693" t="s">
        <v>3937</v>
      </c>
      <c r="C4" s="1693" t="s">
        <v>22</v>
      </c>
      <c r="D4" s="1693" t="s">
        <v>3938</v>
      </c>
      <c r="E4" s="1693" t="s">
        <v>3939</v>
      </c>
      <c r="F4" s="1693" t="s">
        <v>22</v>
      </c>
      <c r="G4" s="1693" t="s">
        <v>22</v>
      </c>
      <c r="H4" s="1693" t="s">
        <v>22</v>
      </c>
      <c r="I4" s="1693" t="s">
        <v>22</v>
      </c>
    </row>
    <row r="5" ht="11.25" customHeight="1">
      <c r="A5" s="1693" t="s">
        <v>91</v>
      </c>
      <c r="B5" s="1693" t="s">
        <v>3940</v>
      </c>
      <c r="C5" s="1693" t="s">
        <v>22</v>
      </c>
      <c r="D5" s="1693" t="s">
        <v>3938</v>
      </c>
      <c r="E5" s="1693" t="s">
        <v>3941</v>
      </c>
      <c r="F5" s="1693" t="s">
        <v>22</v>
      </c>
      <c r="G5" s="1693" t="s">
        <v>22</v>
      </c>
      <c r="H5" s="1693" t="s">
        <v>22</v>
      </c>
      <c r="I5" s="1693" t="s">
        <v>22</v>
      </c>
    </row>
    <row r="6" ht="11.25" customHeight="1">
      <c r="A6" s="1693" t="s">
        <v>112</v>
      </c>
      <c r="B6" s="1693" t="s">
        <v>3942</v>
      </c>
      <c r="C6" s="1693" t="s">
        <v>22</v>
      </c>
      <c r="D6" s="1693" t="s">
        <v>3943</v>
      </c>
      <c r="E6" s="1693" t="s">
        <v>3944</v>
      </c>
      <c r="F6" s="1693" t="s">
        <v>22</v>
      </c>
      <c r="G6" s="1693" t="s">
        <v>22</v>
      </c>
      <c r="H6" s="1693" t="s">
        <v>22</v>
      </c>
      <c r="I6" s="1693" t="s">
        <v>22</v>
      </c>
    </row>
    <row r="7" ht="11.25" customHeight="1">
      <c r="A7" s="1693" t="s">
        <v>92</v>
      </c>
      <c r="B7" s="1693" t="s">
        <v>3945</v>
      </c>
      <c r="C7" s="1693" t="s">
        <v>22</v>
      </c>
      <c r="D7" s="1693" t="s">
        <v>3943</v>
      </c>
      <c r="E7" s="1693" t="s">
        <v>3941</v>
      </c>
      <c r="F7" s="1693" t="s">
        <v>22</v>
      </c>
      <c r="G7" s="1693" t="s">
        <v>22</v>
      </c>
      <c r="H7" s="1693" t="s">
        <v>22</v>
      </c>
      <c r="I7" s="1693" t="s">
        <v>22</v>
      </c>
    </row>
    <row r="8" ht="11.25" customHeight="1">
      <c r="A8" s="1693" t="s">
        <v>93</v>
      </c>
      <c r="B8" s="1693" t="s">
        <v>3946</v>
      </c>
      <c r="C8" s="1693" t="s">
        <v>22</v>
      </c>
      <c r="D8" s="1693" t="s">
        <v>3943</v>
      </c>
      <c r="E8" s="1693" t="s">
        <v>3939</v>
      </c>
      <c r="F8" s="1693" t="s">
        <v>22</v>
      </c>
      <c r="G8" s="1693" t="s">
        <v>22</v>
      </c>
      <c r="H8" s="1693" t="s">
        <v>22</v>
      </c>
      <c r="I8" s="1693" t="s">
        <v>22</v>
      </c>
    </row>
    <row r="9" ht="11.25" customHeight="1">
      <c r="A9" s="1693" t="s">
        <v>113</v>
      </c>
      <c r="B9" s="1693" t="s">
        <v>3947</v>
      </c>
      <c r="C9" s="1693" t="s">
        <v>22</v>
      </c>
      <c r="D9" s="1693" t="s">
        <v>3943</v>
      </c>
      <c r="E9" s="1693" t="s">
        <v>3939</v>
      </c>
      <c r="F9" s="1693" t="s">
        <v>22</v>
      </c>
      <c r="G9" s="1693" t="s">
        <v>22</v>
      </c>
      <c r="H9" s="1693" t="s">
        <v>22</v>
      </c>
      <c r="I9" s="1693" t="s">
        <v>22</v>
      </c>
    </row>
    <row r="10" ht="11.25" customHeight="1">
      <c r="A10" s="1693" t="s">
        <v>150</v>
      </c>
      <c r="B10" s="1693" t="s">
        <v>3948</v>
      </c>
      <c r="C10" s="1693" t="s">
        <v>22</v>
      </c>
      <c r="D10" s="1693" t="s">
        <v>3943</v>
      </c>
      <c r="E10" s="1693" t="s">
        <v>3941</v>
      </c>
      <c r="F10" s="1693" t="s">
        <v>22</v>
      </c>
      <c r="G10" s="1693" t="s">
        <v>22</v>
      </c>
      <c r="H10" s="1693" t="s">
        <v>22</v>
      </c>
      <c r="I10" s="1693" t="s">
        <v>22</v>
      </c>
    </row>
    <row r="11" ht="11.25" customHeight="1">
      <c r="A11" s="1693" t="s">
        <v>151</v>
      </c>
      <c r="B11" s="1693" t="s">
        <v>3949</v>
      </c>
      <c r="C11" s="1693" t="s">
        <v>22</v>
      </c>
      <c r="D11" s="1693" t="s">
        <v>3943</v>
      </c>
      <c r="E11" s="1693" t="s">
        <v>3939</v>
      </c>
      <c r="F11" s="1693" t="s">
        <v>22</v>
      </c>
      <c r="G11" s="1693" t="s">
        <v>22</v>
      </c>
      <c r="H11" s="1693" t="s">
        <v>22</v>
      </c>
      <c r="I11" s="1693" t="s">
        <v>22</v>
      </c>
    </row>
    <row r="12" ht="11.25" customHeight="1">
      <c r="A12" s="1693" t="s">
        <v>152</v>
      </c>
      <c r="B12" s="1693" t="s">
        <v>3950</v>
      </c>
      <c r="C12" s="1693" t="s">
        <v>22</v>
      </c>
      <c r="D12" s="1693" t="s">
        <v>3943</v>
      </c>
      <c r="E12" s="1693" t="s">
        <v>3939</v>
      </c>
      <c r="F12" s="1693" t="s">
        <v>22</v>
      </c>
      <c r="G12" s="1693" t="s">
        <v>22</v>
      </c>
      <c r="H12" s="1693" t="s">
        <v>22</v>
      </c>
      <c r="I12" s="1693" t="s">
        <v>22</v>
      </c>
    </row>
    <row r="13" ht="11.25" customHeight="1">
      <c r="A13" s="1693" t="s">
        <v>153</v>
      </c>
      <c r="B13" s="1693" t="s">
        <v>3951</v>
      </c>
      <c r="C13" s="1693" t="s">
        <v>22</v>
      </c>
      <c r="D13" s="1693" t="s">
        <v>3943</v>
      </c>
      <c r="E13" s="1693" t="s">
        <v>3939</v>
      </c>
      <c r="F13" s="1693" t="s">
        <v>22</v>
      </c>
      <c r="G13" s="1693" t="s">
        <v>22</v>
      </c>
      <c r="H13" s="1693" t="s">
        <v>22</v>
      </c>
      <c r="I13" s="1693" t="s">
        <v>22</v>
      </c>
    </row>
    <row r="14" ht="11.25" customHeight="1">
      <c r="A14" s="1693" t="s">
        <v>154</v>
      </c>
      <c r="B14" s="1693" t="s">
        <v>3952</v>
      </c>
      <c r="C14" s="1693" t="s">
        <v>22</v>
      </c>
      <c r="D14" s="1693" t="s">
        <v>3943</v>
      </c>
      <c r="E14" s="1693" t="s">
        <v>3939</v>
      </c>
      <c r="F14" s="1693" t="s">
        <v>22</v>
      </c>
      <c r="G14" s="1693" t="s">
        <v>22</v>
      </c>
      <c r="H14" s="1693" t="s">
        <v>22</v>
      </c>
      <c r="I14" s="1693" t="s">
        <v>22</v>
      </c>
    </row>
    <row r="15" ht="11.25" customHeight="1">
      <c r="A15" s="1693" t="s">
        <v>155</v>
      </c>
      <c r="B15" s="1693" t="s">
        <v>3953</v>
      </c>
      <c r="C15" s="1693" t="s">
        <v>22</v>
      </c>
      <c r="D15" s="1693" t="s">
        <v>3943</v>
      </c>
      <c r="E15" s="1693" t="s">
        <v>3939</v>
      </c>
      <c r="F15" s="1693" t="s">
        <v>22</v>
      </c>
      <c r="G15" s="1693" t="s">
        <v>22</v>
      </c>
      <c r="H15" s="1693" t="s">
        <v>22</v>
      </c>
      <c r="I15" s="1693" t="s">
        <v>22</v>
      </c>
    </row>
    <row r="16" ht="11.25" customHeight="1">
      <c r="A16" s="1693" t="s">
        <v>1463</v>
      </c>
      <c r="B16" s="1693" t="s">
        <v>3954</v>
      </c>
      <c r="C16" s="1693" t="s">
        <v>22</v>
      </c>
      <c r="D16" s="1693" t="s">
        <v>3943</v>
      </c>
      <c r="E16" s="1693" t="s">
        <v>3939</v>
      </c>
      <c r="F16" s="1693" t="s">
        <v>22</v>
      </c>
      <c r="G16" s="1693" t="s">
        <v>22</v>
      </c>
      <c r="H16" s="1693" t="s">
        <v>22</v>
      </c>
      <c r="I16" s="1693" t="s">
        <v>22</v>
      </c>
    </row>
    <row r="17" ht="11.25" customHeight="1">
      <c r="A17" s="1693" t="s">
        <v>1469</v>
      </c>
      <c r="B17" s="1693" t="s">
        <v>3955</v>
      </c>
      <c r="C17" s="1693" t="s">
        <v>22</v>
      </c>
      <c r="D17" s="1693" t="s">
        <v>3943</v>
      </c>
      <c r="E17" s="1693" t="s">
        <v>3941</v>
      </c>
      <c r="F17" s="1693" t="s">
        <v>22</v>
      </c>
      <c r="G17" s="1693" t="s">
        <v>22</v>
      </c>
      <c r="H17" s="1693" t="s">
        <v>22</v>
      </c>
      <c r="I17" s="1693" t="s">
        <v>22</v>
      </c>
    </row>
    <row r="18" ht="11.25" customHeight="1">
      <c r="A18" s="1693" t="s">
        <v>1481</v>
      </c>
      <c r="B18" s="1693" t="s">
        <v>3956</v>
      </c>
      <c r="C18" s="1693" t="s">
        <v>22</v>
      </c>
      <c r="D18" s="1693" t="s">
        <v>3943</v>
      </c>
      <c r="E18" s="1693" t="s">
        <v>3941</v>
      </c>
      <c r="F18" s="1693" t="s">
        <v>22</v>
      </c>
      <c r="G18" s="1693" t="s">
        <v>22</v>
      </c>
      <c r="H18" s="1693" t="s">
        <v>22</v>
      </c>
      <c r="I18" s="1693" t="s">
        <v>22</v>
      </c>
    </row>
    <row r="19" ht="11.25" customHeight="1">
      <c r="A19" s="1693" t="s">
        <v>1495</v>
      </c>
      <c r="B19" s="1693" t="s">
        <v>3957</v>
      </c>
      <c r="C19" s="1693" t="s">
        <v>22</v>
      </c>
      <c r="D19" s="1693" t="s">
        <v>3958</v>
      </c>
      <c r="E19" s="1693" t="s">
        <v>3959</v>
      </c>
      <c r="F19" s="1693" t="s">
        <v>22</v>
      </c>
      <c r="G19" s="1693" t="s">
        <v>22</v>
      </c>
      <c r="H19" s="1693" t="s">
        <v>22</v>
      </c>
      <c r="I19" s="1693" t="s">
        <v>22</v>
      </c>
    </row>
    <row r="20" ht="11.25" customHeight="1">
      <c r="A20" s="1693" t="s">
        <v>1507</v>
      </c>
      <c r="B20" s="1693" t="s">
        <v>3960</v>
      </c>
      <c r="C20" s="1693" t="s">
        <v>22</v>
      </c>
      <c r="D20" s="1693" t="s">
        <v>3958</v>
      </c>
      <c r="E20" s="1693" t="s">
        <v>3939</v>
      </c>
      <c r="F20" s="1693" t="s">
        <v>22</v>
      </c>
      <c r="G20" s="1693" t="s">
        <v>22</v>
      </c>
      <c r="H20" s="1693" t="s">
        <v>22</v>
      </c>
      <c r="I20" s="1693" t="s">
        <v>22</v>
      </c>
    </row>
    <row r="21" ht="11.25" customHeight="1">
      <c r="A21" s="1693" t="s">
        <v>1516</v>
      </c>
      <c r="B21" s="1693" t="s">
        <v>3961</v>
      </c>
      <c r="C21" s="1693" t="s">
        <v>22</v>
      </c>
      <c r="D21" s="1693" t="s">
        <v>3943</v>
      </c>
      <c r="E21" s="1693" t="s">
        <v>3939</v>
      </c>
      <c r="F21" s="1693" t="s">
        <v>22</v>
      </c>
      <c r="G21" s="1693" t="s">
        <v>22</v>
      </c>
      <c r="H21" s="1693" t="s">
        <v>22</v>
      </c>
      <c r="I21" s="1693" t="s">
        <v>22</v>
      </c>
    </row>
    <row r="22" ht="11.25" customHeight="1">
      <c r="A22" s="1693" t="s">
        <v>1532</v>
      </c>
      <c r="B22" s="1693" t="s">
        <v>3962</v>
      </c>
      <c r="C22" s="1693" t="s">
        <v>22</v>
      </c>
      <c r="D22" s="1693" t="s">
        <v>3943</v>
      </c>
      <c r="E22" s="1693" t="s">
        <v>3939</v>
      </c>
      <c r="F22" s="1693" t="s">
        <v>22</v>
      </c>
      <c r="G22" s="1693" t="s">
        <v>22</v>
      </c>
      <c r="H22" s="1693" t="s">
        <v>22</v>
      </c>
      <c r="I22" s="1693" t="s">
        <v>22</v>
      </c>
    </row>
    <row r="23" ht="11.25" customHeight="1">
      <c r="A23" s="1693" t="s">
        <v>1539</v>
      </c>
      <c r="B23" s="1693" t="s">
        <v>3963</v>
      </c>
      <c r="C23" s="1693" t="s">
        <v>22</v>
      </c>
      <c r="D23" s="1693" t="s">
        <v>3938</v>
      </c>
      <c r="E23" s="1693" t="s">
        <v>3964</v>
      </c>
      <c r="F23" s="1693" t="s">
        <v>22</v>
      </c>
      <c r="G23" s="1693" t="s">
        <v>22</v>
      </c>
      <c r="H23" s="1693" t="s">
        <v>22</v>
      </c>
      <c r="I23" s="1693" t="s">
        <v>22</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10.57421875" defaultRowHeight="14.25" customHeight="1"/>
  <cols>
    <col customWidth="1" hidden="1" min="1" max="1" style="1634" width="9.140625"/>
    <col customWidth="1" hidden="1" min="2" max="2" style="1637" width="9.140625"/>
    <col customWidth="1" min="3" max="3" style="1844" width="3.00390625"/>
    <col customWidth="1" min="4" max="4" style="1637" width="5.00390625"/>
    <col customWidth="1" min="5" max="5" style="1637" width="48.00390625"/>
    <col customWidth="1" min="6" max="6" style="1637" width="38.00390625"/>
    <col customWidth="1" hidden="1" min="7" max="7" style="1637" width="1.7109375"/>
    <col customWidth="1" min="8" max="11" style="1637" width="19.8515625"/>
    <col customWidth="1" min="12" max="12" style="1637" width="9.7109375"/>
    <col customWidth="1" min="13" max="18" style="1637" width="19.8515625"/>
    <col customWidth="1" hidden="1" min="19" max="19" style="1637" width="1.7109375"/>
    <col customWidth="1" hidden="1" min="20" max="22" style="1637" width="19.8515625"/>
    <col customWidth="1" hidden="1" min="23" max="23" style="1637" width="1.7109375"/>
    <col customWidth="1" hidden="1" min="24" max="26" style="1637" width="19.8515625"/>
    <col customWidth="1" hidden="1" min="27" max="27" style="1637" width="1.7109375"/>
    <col customWidth="1" hidden="1" min="28" max="29" style="1637" width="19.8515625"/>
    <col customWidth="1" hidden="1" min="30" max="30" style="1637" width="1.7109375"/>
    <col customWidth="1" min="31" max="31" style="1637" width="103.7109375"/>
    <col customWidth="1" hidden="1" min="32" max="34" style="1637" width="103.7109375"/>
    <col customWidth="1" min="35" max="35" style="1821" width="3.00390625"/>
    <col customWidth="1" min="36" max="38" style="1644" width="10.00390625"/>
    <col customWidth="1" hidden="1" min="39" max="39" style="1644" width="13.7109375"/>
    <col customWidth="1" min="40" max="40" style="1644" width="15.00390625"/>
    <col customWidth="1" min="41" max="41" style="1644" width="16.00390625"/>
    <col customWidth="1" min="42" max="45" style="1644" width="10.00390625"/>
    <col hidden="1" min="46" max="46" style="1637" width="10.57421875"/>
  </cols>
  <sheetData>
    <row r="1" ht="22.5" hidden="1" customHeight="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r="2" ht="14.25" hidden="1" customHeight="1">
      <c r="AT2" s="449">
        <v>0</v>
      </c>
    </row>
    <row r="3" s="1615" customFormat="1" ht="5.25" customHeight="1">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r="4" ht="39.75" customHeight="1">
      <c r="C4" s="452"/>
      <c r="D4" s="2159" t="str">
        <f>ORG_VD_NAME_FORM</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r="5" s="1637" customFormat="1" ht="18" customHeight="1">
      <c r="A5" s="761"/>
      <c r="C5" s="824"/>
      <c r="D5" s="2216" t="str">
        <f>IF(org=0,"Не определено",org)</f>
        <v xml:space="preserve">филиал ПАО "ОГК-2" - Рязанская ГРЭС</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r="6" s="1614" customFormat="1" ht="11.5" customHeight="1">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r="7" ht="14.65" customHeight="1">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r="8" ht="27.300000000000001" customHeight="1">
      <c r="C8" s="452"/>
      <c r="D8" s="2129" t="s">
        <v>88</v>
      </c>
      <c r="E8" s="2225" t="str">
        <f>"Наименование "&amp;IF(TEMPLATE_SPHERE&lt;&gt;"HEAT","централизованной ","")&amp;"системы "&amp;TEMPLATE_SPHERE_RUS</f>
        <v xml:space="preserve">Наименование системы теплоснабжения</v>
      </c>
      <c r="F8" s="2225" t="str">
        <f>IF(TEMPLATE_SPHERE&lt;&gt;"HEAT","Регулируемый вид деятельности","Вид регулируемой деятельности")</f>
        <v xml:space="preserve">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r="9" ht="46.149999999999999" customHeight="1">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r="10" ht="12" hidden="1" customHeight="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r="11" s="1643" customFormat="1" ht="11.25" hidden="1" customHeight="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r="12" ht="14.65" customHeight="1">
      <c r="A12" s="449"/>
      <c r="C12" s="452"/>
      <c r="D12" s="436" t="s">
        <v>110</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r="13" ht="18" customHeight="1">
      <c r="A13" s="449"/>
      <c r="C13" s="452"/>
      <c r="D13" s="407"/>
      <c r="E13" s="871" t="str">
        <f>IF(TITLE_DIFFERENTIATION_TYPE="нет","","Добавить систему")</f>
        <v/>
      </c>
      <c r="F13" s="871" t="str">
        <f>IF(TITLE_DIFFERENTIATION_TYPE="нет","Добавить вид деятельности","")</f>
        <v xml:space="preserve">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r="14" ht="14.65" customHeight="1">
      <c r="AI14" s="449"/>
      <c r="AT14" s="449">
        <v>14</v>
      </c>
    </row>
    <row r="15" ht="14.65" customHeight="1">
      <c r="E15" s="760"/>
      <c r="L15" s="760"/>
      <c r="AT15" s="449">
        <v>14</v>
      </c>
    </row>
    <row r="16" ht="14.65" customHeight="1">
      <c r="L16" s="760"/>
      <c r="AT16" s="449">
        <v>14</v>
      </c>
    </row>
    <row r="17" ht="14.65" customHeight="1">
      <c r="L17" s="760"/>
      <c r="AT17" s="449">
        <v>14</v>
      </c>
    </row>
    <row r="18" ht="22.5" hidden="1" customHeight="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autoFilter="0" deleteColumns="0" deleteRows="0" formatColumns="0" formatRows="0" insertColumns="1" insertRows="0" sort="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2">
    <dataValidation sqref="E11:G11" allowBlank="1" error="Допускается ввод только неотрицательных чисел!" errorTitle="Ошибка" showErrorMessage="1"/>
    <dataValidation sqref="F12"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5C0030-0022-4F44-8472-0062002000D5}" type="decimal" allowBlank="1" error="Допускается ввод только неотрицательных чисел!" errorTitle="Ошибка" showErrorMessage="1">
          <x14:formula1>
            <xm:f>0</xm:f>
          </x14:formula1>
          <x14:formula2>
            <xm:f>9.99999999999999E+23</xm:f>
          </x14:formula2>
          <xm:sqref>H11:AD11 T12 H12:I12 AB12 X12 K12 M12 O12 Q12</xm:sqref>
        </x14:dataValidation>
        <x14:dataValidation xr:uid="{00110073-0063-43BA-98DC-00AD00230022}" type="textLength" allowBlank="1" error="Допускается ввод не более 900 символов!" errorTitle="Ошибка" operator="lessThanOrEqual" showErrorMessage="1" showInputMessage="1">
          <x14:formula1>
            <xm:f>900</xm:f>
          </x14:formula1>
          <xm:sqref>E12</xm:sqref>
        </x14:dataValidation>
        <x14:dataValidation xr:uid="{00EA004E-0098-4ADD-AD3F-00E500D500C1}" type="whole" allowBlank="1" error="Допускается ввод только неотрицательных целых чисел!" errorTitle="Ошибка" showErrorMessage="1">
          <x14:formula1>
            <xm:f>0</xm:f>
          </x14:formula1>
          <x14:formula2>
            <xm:f>9.99999999999999E+23</xm:f>
          </x14:formula2>
          <xm:sqref>N12 P12 U12:V12 Y12:Z12 J12 R12:S12 AC12</xm:sqref>
        </x14:dataValidation>
        <x14:dataValidation xr:uid="{00950020-004F-43C0-8999-001E005D004F}" type="list" allowBlank="1" error="Выберите значение из списка" errorTitle="Ошибка" prompt="Выберите значение из списка" showErrorMessage="1" showInputMessage="1">
          <x14:formula1>
            <xm:f>kind_of_power_te_unit</xm:f>
          </x14:formula1>
          <xm:sqref>L12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2" style="185" width="9.140625"/>
  </cols>
  <sheetData>
    <row r="1" ht="11.25" customHeight="1">
      <c r="A1" s="185" t="s">
        <v>132</v>
      </c>
      <c r="B1" s="185" t="s">
        <v>3965</v>
      </c>
    </row>
    <row r="2" ht="11.25" customHeight="1">
      <c r="A2" s="185" t="s">
        <v>98</v>
      </c>
      <c r="B2" s="185" t="s">
        <v>3966</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3" width="9.140625"/>
    <col customWidth="1" min="2" max="2" style="1693" width="65.28125"/>
  </cols>
  <sheetData>
    <row r="1" ht="11.25" customHeight="1">
      <c r="A1" s="837" t="s">
        <v>3967</v>
      </c>
      <c r="B1" s="837" t="s">
        <v>3968</v>
      </c>
    </row>
    <row r="2" ht="11.25" customHeight="1">
      <c r="A2" s="837">
        <v>4213775</v>
      </c>
      <c r="B2" s="837" t="s">
        <v>1221</v>
      </c>
    </row>
    <row r="3" ht="11.25" customHeight="1">
      <c r="A3" s="837">
        <v>4213784</v>
      </c>
      <c r="B3" s="837" t="s">
        <v>1254</v>
      </c>
    </row>
    <row r="4" ht="11.25" customHeight="1">
      <c r="A4" s="837">
        <v>4213781</v>
      </c>
      <c r="B4" s="837" t="s">
        <v>1247</v>
      </c>
    </row>
    <row r="5" ht="11.25" customHeight="1">
      <c r="A5" s="837">
        <v>4213776</v>
      </c>
      <c r="B5" s="837" t="s">
        <v>168</v>
      </c>
    </row>
    <row r="6" ht="11.25" customHeight="1">
      <c r="A6" s="837">
        <v>4213777</v>
      </c>
      <c r="B6" s="837" t="s">
        <v>174</v>
      </c>
    </row>
    <row r="7" ht="11.25" customHeight="1">
      <c r="A7" s="837">
        <v>4213778</v>
      </c>
      <c r="B7" s="837" t="s">
        <v>180</v>
      </c>
    </row>
    <row r="8" ht="11.25" customHeight="1">
      <c r="A8" s="837">
        <v>4213780</v>
      </c>
      <c r="B8" s="837" t="s">
        <v>186</v>
      </c>
    </row>
    <row r="9" ht="11.25" customHeight="1">
      <c r="A9" s="837">
        <v>4213779</v>
      </c>
      <c r="B9" s="837" t="s">
        <v>1388</v>
      </c>
    </row>
    <row r="10" ht="11.25" customHeight="1">
      <c r="A10" s="837">
        <v>4213783</v>
      </c>
      <c r="B10" s="837" t="s">
        <v>1403</v>
      </c>
    </row>
    <row r="11" ht="11.25" customHeight="1">
      <c r="A11" s="837">
        <v>4213782</v>
      </c>
      <c r="B11" s="837" t="s">
        <v>192</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3" width="9.140625"/>
    <col customWidth="1" min="2" max="2" style="1693" width="65.28125"/>
  </cols>
  <sheetData>
    <row r="1" ht="11.25" customHeight="1">
      <c r="A1" s="837" t="s">
        <v>3967</v>
      </c>
      <c r="B1" s="837" t="s">
        <v>3969</v>
      </c>
    </row>
    <row r="2" ht="11.25" customHeight="1">
      <c r="A2" s="837" t="s">
        <v>3970</v>
      </c>
      <c r="B2" s="837" t="s">
        <v>1501</v>
      </c>
    </row>
    <row r="3" ht="11.25" customHeight="1">
      <c r="A3" s="837" t="s">
        <v>3971</v>
      </c>
      <c r="B3" s="837" t="s">
        <v>1511</v>
      </c>
    </row>
    <row r="4" ht="11.25" customHeight="1">
      <c r="A4" s="837" t="s">
        <v>3972</v>
      </c>
      <c r="B4" s="837" t="s">
        <v>1520</v>
      </c>
    </row>
    <row r="5" ht="11.25" customHeight="1">
      <c r="A5" s="837" t="s">
        <v>3973</v>
      </c>
      <c r="B5" s="837" t="s">
        <v>1529</v>
      </c>
    </row>
    <row r="6" ht="11.25" customHeight="1">
      <c r="A6" s="837" t="s">
        <v>3974</v>
      </c>
      <c r="B6" s="837" t="s">
        <v>1535</v>
      </c>
    </row>
    <row r="7" ht="11.25" customHeight="1">
      <c r="A7" s="837" t="s">
        <v>3975</v>
      </c>
      <c r="B7" s="837" t="s">
        <v>1543</v>
      </c>
    </row>
    <row r="8" ht="11.25" customHeight="1">
      <c r="A8" s="837" t="s">
        <v>3976</v>
      </c>
      <c r="B8" s="837" t="s">
        <v>1550</v>
      </c>
    </row>
    <row r="9" ht="11.25" customHeight="1">
      <c r="A9" s="837" t="s">
        <v>3977</v>
      </c>
      <c r="B9" s="837" t="s">
        <v>1556</v>
      </c>
    </row>
    <row r="10" ht="11.25" customHeight="1">
      <c r="A10" s="837" t="s">
        <v>3978</v>
      </c>
      <c r="B10" s="837" t="s">
        <v>1560</v>
      </c>
    </row>
    <row r="11" ht="11.25" customHeight="1">
      <c r="A11" s="837" t="s">
        <v>3979</v>
      </c>
      <c r="B11" s="837" t="s">
        <v>1567</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row r="1" ht="11.25" customHeight="1">
      <c r="A1" s="375" t="s">
        <v>3042</v>
      </c>
      <c r="B1" s="375" t="s">
        <v>3043</v>
      </c>
      <c r="C1" s="375" t="s">
        <v>3044</v>
      </c>
      <c r="D1" s="375" t="s">
        <v>3045</v>
      </c>
      <c r="E1" t="s">
        <v>3046</v>
      </c>
      <c r="F1" t="s">
        <v>3047</v>
      </c>
      <c r="G1" t="s">
        <v>3048</v>
      </c>
    </row>
    <row r="2" ht="11.25" customHeight="1">
      <c r="A2" t="s">
        <v>16</v>
      </c>
      <c r="B2" t="s">
        <v>3049</v>
      </c>
      <c r="C2" t="s">
        <v>3050</v>
      </c>
      <c r="D2" t="s">
        <v>3049</v>
      </c>
      <c r="E2" t="s">
        <v>3050</v>
      </c>
      <c r="F2" t="s">
        <v>3051</v>
      </c>
      <c r="G2" t="s">
        <v>110</v>
      </c>
    </row>
    <row r="3" ht="11.25" customHeight="1">
      <c r="A3" t="s">
        <v>16</v>
      </c>
      <c r="B3" t="s">
        <v>3052</v>
      </c>
      <c r="C3" t="s">
        <v>3053</v>
      </c>
      <c r="D3" t="s">
        <v>3052</v>
      </c>
      <c r="E3" t="s">
        <v>3053</v>
      </c>
      <c r="F3" t="s">
        <v>3054</v>
      </c>
      <c r="G3" t="s">
        <v>111</v>
      </c>
    </row>
    <row r="4" ht="11.25" customHeight="1">
      <c r="A4" t="s">
        <v>16</v>
      </c>
      <c r="B4" t="s">
        <v>3052</v>
      </c>
      <c r="C4" t="s">
        <v>3053</v>
      </c>
      <c r="D4" t="s">
        <v>3055</v>
      </c>
      <c r="E4" t="s">
        <v>3056</v>
      </c>
      <c r="F4" t="s">
        <v>3057</v>
      </c>
      <c r="G4" t="s">
        <v>90</v>
      </c>
    </row>
    <row r="5" ht="11.25" customHeight="1">
      <c r="A5" t="s">
        <v>16</v>
      </c>
      <c r="B5" t="s">
        <v>3052</v>
      </c>
      <c r="C5" t="s">
        <v>3053</v>
      </c>
      <c r="D5" t="s">
        <v>3058</v>
      </c>
      <c r="E5" t="s">
        <v>3059</v>
      </c>
      <c r="F5" t="s">
        <v>3060</v>
      </c>
      <c r="G5" t="s">
        <v>91</v>
      </c>
    </row>
    <row r="6" ht="11.25" customHeight="1">
      <c r="A6" t="s">
        <v>16</v>
      </c>
      <c r="B6" t="s">
        <v>3052</v>
      </c>
      <c r="C6" t="s">
        <v>3053</v>
      </c>
      <c r="D6" t="s">
        <v>3061</v>
      </c>
      <c r="E6" t="s">
        <v>3062</v>
      </c>
      <c r="F6" t="s">
        <v>3060</v>
      </c>
      <c r="G6" t="s">
        <v>112</v>
      </c>
    </row>
    <row r="7" ht="11.25" customHeight="1">
      <c r="A7" t="s">
        <v>16</v>
      </c>
      <c r="B7" t="s">
        <v>3052</v>
      </c>
      <c r="C7" t="s">
        <v>3053</v>
      </c>
      <c r="D7" t="s">
        <v>3063</v>
      </c>
      <c r="E7" t="s">
        <v>3064</v>
      </c>
      <c r="F7" t="s">
        <v>3060</v>
      </c>
      <c r="G7" t="s">
        <v>92</v>
      </c>
    </row>
    <row r="8" ht="11.25" customHeight="1">
      <c r="A8" t="s">
        <v>16</v>
      </c>
      <c r="B8" t="s">
        <v>3052</v>
      </c>
      <c r="C8" t="s">
        <v>3053</v>
      </c>
      <c r="D8" t="s">
        <v>3065</v>
      </c>
      <c r="E8" t="s">
        <v>3066</v>
      </c>
      <c r="F8" t="s">
        <v>3060</v>
      </c>
      <c r="G8" t="s">
        <v>93</v>
      </c>
    </row>
    <row r="9" ht="11.25" customHeight="1">
      <c r="A9" t="s">
        <v>16</v>
      </c>
      <c r="B9" t="s">
        <v>3052</v>
      </c>
      <c r="C9" t="s">
        <v>3053</v>
      </c>
      <c r="D9" t="s">
        <v>3067</v>
      </c>
      <c r="E9" t="s">
        <v>3068</v>
      </c>
      <c r="F9" t="s">
        <v>3060</v>
      </c>
      <c r="G9" t="s">
        <v>113</v>
      </c>
    </row>
    <row r="10" ht="11.25" customHeight="1">
      <c r="A10" t="s">
        <v>16</v>
      </c>
      <c r="B10" t="s">
        <v>3069</v>
      </c>
      <c r="C10" t="s">
        <v>3070</v>
      </c>
      <c r="D10" t="s">
        <v>3069</v>
      </c>
      <c r="E10" t="s">
        <v>3070</v>
      </c>
      <c r="F10" t="s">
        <v>3071</v>
      </c>
      <c r="G10" t="s">
        <v>150</v>
      </c>
    </row>
    <row r="11" ht="11.25" customHeight="1">
      <c r="A11" t="s">
        <v>16</v>
      </c>
      <c r="B11" t="s">
        <v>3072</v>
      </c>
      <c r="C11" t="s">
        <v>3073</v>
      </c>
      <c r="D11" t="s">
        <v>3072</v>
      </c>
      <c r="E11" t="s">
        <v>3073</v>
      </c>
      <c r="F11" t="s">
        <v>3071</v>
      </c>
      <c r="G11" t="s">
        <v>151</v>
      </c>
    </row>
    <row r="12" ht="11.25" customHeight="1">
      <c r="A12" t="s">
        <v>16</v>
      </c>
      <c r="B12" t="s">
        <v>3074</v>
      </c>
      <c r="C12" t="s">
        <v>3075</v>
      </c>
      <c r="D12" t="s">
        <v>3074</v>
      </c>
      <c r="E12" t="s">
        <v>3075</v>
      </c>
      <c r="F12" t="s">
        <v>3071</v>
      </c>
      <c r="G12" t="s">
        <v>152</v>
      </c>
    </row>
    <row r="13" ht="11.25" customHeight="1">
      <c r="A13" t="s">
        <v>16</v>
      </c>
      <c r="B13" t="s">
        <v>3076</v>
      </c>
      <c r="C13" t="s">
        <v>3077</v>
      </c>
      <c r="D13" t="s">
        <v>3076</v>
      </c>
      <c r="E13" t="s">
        <v>3077</v>
      </c>
      <c r="F13" t="s">
        <v>3071</v>
      </c>
      <c r="G13" t="s">
        <v>153</v>
      </c>
    </row>
    <row r="14" ht="11.25" customHeight="1">
      <c r="A14" t="s">
        <v>16</v>
      </c>
      <c r="B14" t="s">
        <v>3078</v>
      </c>
      <c r="C14" t="s">
        <v>3079</v>
      </c>
      <c r="D14" t="s">
        <v>3078</v>
      </c>
      <c r="E14" t="s">
        <v>3079</v>
      </c>
      <c r="F14" t="s">
        <v>3051</v>
      </c>
      <c r="G14" t="s">
        <v>154</v>
      </c>
    </row>
    <row r="15" ht="11.25" customHeight="1">
      <c r="A15" t="s">
        <v>16</v>
      </c>
      <c r="B15" t="s">
        <v>3080</v>
      </c>
      <c r="C15" t="s">
        <v>3081</v>
      </c>
      <c r="D15" t="s">
        <v>3082</v>
      </c>
      <c r="E15" t="s">
        <v>3083</v>
      </c>
      <c r="F15" t="s">
        <v>3060</v>
      </c>
      <c r="G15" t="s">
        <v>155</v>
      </c>
    </row>
    <row r="16" ht="11.25" customHeight="1">
      <c r="A16" t="s">
        <v>16</v>
      </c>
      <c r="B16" t="s">
        <v>3080</v>
      </c>
      <c r="C16" t="s">
        <v>3081</v>
      </c>
      <c r="D16" t="s">
        <v>3080</v>
      </c>
      <c r="E16" t="s">
        <v>3081</v>
      </c>
      <c r="F16" t="s">
        <v>3054</v>
      </c>
      <c r="G16" t="s">
        <v>1463</v>
      </c>
    </row>
    <row r="17" ht="11.25" customHeight="1">
      <c r="A17" t="s">
        <v>16</v>
      </c>
      <c r="B17" t="s">
        <v>3080</v>
      </c>
      <c r="C17" t="s">
        <v>3081</v>
      </c>
      <c r="D17" t="s">
        <v>3084</v>
      </c>
      <c r="E17" t="s">
        <v>3085</v>
      </c>
      <c r="F17" t="s">
        <v>3057</v>
      </c>
      <c r="G17" t="s">
        <v>1469</v>
      </c>
    </row>
    <row r="18" ht="11.25" customHeight="1">
      <c r="A18" t="s">
        <v>16</v>
      </c>
      <c r="B18" t="s">
        <v>3080</v>
      </c>
      <c r="C18" t="s">
        <v>3081</v>
      </c>
      <c r="D18" t="s">
        <v>3086</v>
      </c>
      <c r="E18" t="s">
        <v>3087</v>
      </c>
      <c r="F18" t="s">
        <v>3060</v>
      </c>
      <c r="G18" t="s">
        <v>1481</v>
      </c>
    </row>
    <row r="19" ht="11.25" customHeight="1">
      <c r="A19" t="s">
        <v>16</v>
      </c>
      <c r="B19" t="s">
        <v>3080</v>
      </c>
      <c r="C19" t="s">
        <v>3081</v>
      </c>
      <c r="D19" t="s">
        <v>3088</v>
      </c>
      <c r="E19" t="s">
        <v>3089</v>
      </c>
      <c r="F19" t="s">
        <v>3060</v>
      </c>
      <c r="G19" t="s">
        <v>1495</v>
      </c>
    </row>
    <row r="20" ht="11.25" customHeight="1">
      <c r="A20" t="s">
        <v>16</v>
      </c>
      <c r="B20" t="s">
        <v>3080</v>
      </c>
      <c r="C20" t="s">
        <v>3081</v>
      </c>
      <c r="D20" t="s">
        <v>3090</v>
      </c>
      <c r="E20" t="s">
        <v>3091</v>
      </c>
      <c r="F20" t="s">
        <v>3060</v>
      </c>
      <c r="G20" t="s">
        <v>1507</v>
      </c>
    </row>
    <row r="21" ht="11.25" customHeight="1">
      <c r="A21" t="s">
        <v>16</v>
      </c>
      <c r="B21" t="s">
        <v>3080</v>
      </c>
      <c r="C21" t="s">
        <v>3081</v>
      </c>
      <c r="D21" t="s">
        <v>3092</v>
      </c>
      <c r="E21" t="s">
        <v>3093</v>
      </c>
      <c r="F21" t="s">
        <v>3060</v>
      </c>
      <c r="G21" t="s">
        <v>1516</v>
      </c>
    </row>
    <row r="22" ht="11.25" customHeight="1">
      <c r="A22" t="s">
        <v>16</v>
      </c>
      <c r="B22" t="s">
        <v>3094</v>
      </c>
      <c r="C22" t="s">
        <v>3095</v>
      </c>
      <c r="D22" t="s">
        <v>3094</v>
      </c>
      <c r="E22" t="s">
        <v>3095</v>
      </c>
      <c r="F22" t="s">
        <v>3051</v>
      </c>
      <c r="G22" t="s">
        <v>1532</v>
      </c>
    </row>
    <row r="23" ht="11.25" customHeight="1">
      <c r="A23" t="s">
        <v>16</v>
      </c>
      <c r="B23" t="s">
        <v>3096</v>
      </c>
      <c r="C23" t="s">
        <v>3097</v>
      </c>
      <c r="D23" t="s">
        <v>3098</v>
      </c>
      <c r="E23" t="s">
        <v>3099</v>
      </c>
      <c r="F23" t="s">
        <v>3060</v>
      </c>
      <c r="G23" t="s">
        <v>1539</v>
      </c>
    </row>
    <row r="24" ht="11.25" customHeight="1">
      <c r="A24" t="s">
        <v>16</v>
      </c>
      <c r="B24" t="s">
        <v>3096</v>
      </c>
      <c r="C24" t="s">
        <v>3097</v>
      </c>
      <c r="D24" t="s">
        <v>3100</v>
      </c>
      <c r="E24" t="s">
        <v>3101</v>
      </c>
      <c r="F24" t="s">
        <v>3060</v>
      </c>
      <c r="G24" t="s">
        <v>1547</v>
      </c>
    </row>
    <row r="25" ht="11.25" customHeight="1">
      <c r="A25" t="s">
        <v>16</v>
      </c>
      <c r="B25" t="s">
        <v>3096</v>
      </c>
      <c r="C25" t="s">
        <v>3097</v>
      </c>
      <c r="D25" t="s">
        <v>3102</v>
      </c>
      <c r="E25" t="s">
        <v>3103</v>
      </c>
      <c r="F25" t="s">
        <v>3060</v>
      </c>
      <c r="G25" t="s">
        <v>1554</v>
      </c>
    </row>
    <row r="26" ht="11.25" customHeight="1">
      <c r="A26" t="s">
        <v>16</v>
      </c>
      <c r="B26" t="s">
        <v>3096</v>
      </c>
      <c r="C26" t="s">
        <v>3097</v>
      </c>
      <c r="D26" t="s">
        <v>3104</v>
      </c>
      <c r="E26" t="s">
        <v>3105</v>
      </c>
      <c r="F26" t="s">
        <v>3060</v>
      </c>
      <c r="G26" t="s">
        <v>1558</v>
      </c>
    </row>
    <row r="27" ht="11.25" customHeight="1">
      <c r="A27" t="s">
        <v>16</v>
      </c>
      <c r="B27" t="s">
        <v>3096</v>
      </c>
      <c r="C27" t="s">
        <v>3097</v>
      </c>
      <c r="D27" t="s">
        <v>3096</v>
      </c>
      <c r="E27" t="s">
        <v>3097</v>
      </c>
      <c r="F27" t="s">
        <v>3054</v>
      </c>
      <c r="G27" t="s">
        <v>1563</v>
      </c>
    </row>
    <row r="28" ht="11.25" customHeight="1">
      <c r="A28" t="s">
        <v>16</v>
      </c>
      <c r="B28" t="s">
        <v>3096</v>
      </c>
      <c r="C28" t="s">
        <v>3097</v>
      </c>
      <c r="D28" t="s">
        <v>3106</v>
      </c>
      <c r="E28" t="s">
        <v>3107</v>
      </c>
      <c r="F28" t="s">
        <v>3060</v>
      </c>
      <c r="G28" t="s">
        <v>1571</v>
      </c>
    </row>
    <row r="29" ht="11.25" customHeight="1">
      <c r="A29" t="s">
        <v>16</v>
      </c>
      <c r="B29" t="s">
        <v>3096</v>
      </c>
      <c r="C29" t="s">
        <v>3097</v>
      </c>
      <c r="D29" t="s">
        <v>3108</v>
      </c>
      <c r="E29" t="s">
        <v>3109</v>
      </c>
      <c r="F29" t="s">
        <v>3060</v>
      </c>
      <c r="G29" t="s">
        <v>1573</v>
      </c>
    </row>
    <row r="30" ht="11.25" customHeight="1">
      <c r="A30" t="s">
        <v>16</v>
      </c>
      <c r="B30" t="s">
        <v>3096</v>
      </c>
      <c r="C30" t="s">
        <v>3097</v>
      </c>
      <c r="D30" t="s">
        <v>3110</v>
      </c>
      <c r="E30" t="s">
        <v>3111</v>
      </c>
      <c r="F30" t="s">
        <v>3060</v>
      </c>
      <c r="G30" t="s">
        <v>1576</v>
      </c>
    </row>
    <row r="31" ht="11.25" customHeight="1">
      <c r="A31" t="s">
        <v>16</v>
      </c>
      <c r="B31" t="s">
        <v>3112</v>
      </c>
      <c r="C31" t="s">
        <v>3113</v>
      </c>
      <c r="D31" t="s">
        <v>3112</v>
      </c>
      <c r="E31" t="s">
        <v>3113</v>
      </c>
      <c r="F31" t="s">
        <v>3051</v>
      </c>
      <c r="G31" t="s">
        <v>1582</v>
      </c>
    </row>
    <row r="32" ht="11.25" customHeight="1">
      <c r="A32" t="s">
        <v>16</v>
      </c>
      <c r="B32" t="s">
        <v>3114</v>
      </c>
      <c r="C32" t="s">
        <v>3115</v>
      </c>
      <c r="D32" t="s">
        <v>3116</v>
      </c>
      <c r="E32" t="s">
        <v>3117</v>
      </c>
      <c r="F32" t="s">
        <v>3060</v>
      </c>
      <c r="G32" t="s">
        <v>1584</v>
      </c>
    </row>
    <row r="33" ht="11.25" customHeight="1">
      <c r="A33" t="s">
        <v>16</v>
      </c>
      <c r="B33" t="s">
        <v>3114</v>
      </c>
      <c r="C33" t="s">
        <v>3115</v>
      </c>
      <c r="D33" t="s">
        <v>3118</v>
      </c>
      <c r="E33" t="s">
        <v>3119</v>
      </c>
      <c r="F33" t="s">
        <v>3060</v>
      </c>
      <c r="G33" t="s">
        <v>1586</v>
      </c>
    </row>
    <row r="34" ht="11.25" customHeight="1">
      <c r="A34" t="s">
        <v>16</v>
      </c>
      <c r="B34" t="s">
        <v>3114</v>
      </c>
      <c r="C34" t="s">
        <v>3115</v>
      </c>
      <c r="D34" t="s">
        <v>3114</v>
      </c>
      <c r="E34" t="s">
        <v>3115</v>
      </c>
      <c r="F34" t="s">
        <v>3054</v>
      </c>
      <c r="G34" t="s">
        <v>1588</v>
      </c>
    </row>
    <row r="35" ht="11.25" customHeight="1">
      <c r="A35" t="s">
        <v>16</v>
      </c>
      <c r="B35" t="s">
        <v>3114</v>
      </c>
      <c r="C35" t="s">
        <v>3115</v>
      </c>
      <c r="D35" t="s">
        <v>3120</v>
      </c>
      <c r="E35" t="s">
        <v>3121</v>
      </c>
      <c r="F35" t="s">
        <v>3057</v>
      </c>
      <c r="G35" t="s">
        <v>1593</v>
      </c>
    </row>
    <row r="36" ht="11.25" customHeight="1">
      <c r="A36" t="s">
        <v>16</v>
      </c>
      <c r="B36" t="s">
        <v>3114</v>
      </c>
      <c r="C36" t="s">
        <v>3115</v>
      </c>
      <c r="D36" t="s">
        <v>3122</v>
      </c>
      <c r="E36" t="s">
        <v>3123</v>
      </c>
      <c r="F36" t="s">
        <v>3060</v>
      </c>
      <c r="G36" t="s">
        <v>1598</v>
      </c>
    </row>
    <row r="37" ht="11.25" customHeight="1">
      <c r="A37" t="s">
        <v>16</v>
      </c>
      <c r="B37" t="s">
        <v>3114</v>
      </c>
      <c r="C37" t="s">
        <v>3115</v>
      </c>
      <c r="D37" t="s">
        <v>3124</v>
      </c>
      <c r="E37" t="s">
        <v>3125</v>
      </c>
      <c r="F37" t="s">
        <v>3060</v>
      </c>
      <c r="G37" t="s">
        <v>1602</v>
      </c>
    </row>
    <row r="38" ht="11.25" customHeight="1">
      <c r="A38" t="s">
        <v>16</v>
      </c>
      <c r="B38" t="s">
        <v>3126</v>
      </c>
      <c r="C38" t="s">
        <v>3127</v>
      </c>
      <c r="D38" t="s">
        <v>3126</v>
      </c>
      <c r="E38" t="s">
        <v>3127</v>
      </c>
      <c r="F38" t="s">
        <v>3051</v>
      </c>
      <c r="G38" t="s">
        <v>1610</v>
      </c>
    </row>
    <row r="39" ht="11.25" customHeight="1">
      <c r="A39" t="s">
        <v>16</v>
      </c>
      <c r="B39" t="s">
        <v>3128</v>
      </c>
      <c r="C39" t="s">
        <v>3129</v>
      </c>
      <c r="D39" t="s">
        <v>3130</v>
      </c>
      <c r="E39" t="s">
        <v>3131</v>
      </c>
      <c r="F39" t="s">
        <v>3060</v>
      </c>
      <c r="G39" t="s">
        <v>1616</v>
      </c>
    </row>
    <row r="40" ht="11.25" customHeight="1">
      <c r="A40" t="s">
        <v>16</v>
      </c>
      <c r="B40" t="s">
        <v>3128</v>
      </c>
      <c r="C40" t="s">
        <v>3129</v>
      </c>
      <c r="D40" t="s">
        <v>3132</v>
      </c>
      <c r="E40" t="s">
        <v>3133</v>
      </c>
      <c r="F40" t="s">
        <v>3060</v>
      </c>
      <c r="G40" t="s">
        <v>1621</v>
      </c>
    </row>
    <row r="41" ht="11.25" customHeight="1">
      <c r="A41" t="s">
        <v>16</v>
      </c>
      <c r="B41" t="s">
        <v>3128</v>
      </c>
      <c r="C41" t="s">
        <v>3129</v>
      </c>
      <c r="D41" t="s">
        <v>3134</v>
      </c>
      <c r="E41" t="s">
        <v>3135</v>
      </c>
      <c r="F41" t="s">
        <v>3060</v>
      </c>
      <c r="G41" t="s">
        <v>1625</v>
      </c>
    </row>
    <row r="42" ht="11.25" customHeight="1">
      <c r="A42" t="s">
        <v>16</v>
      </c>
      <c r="B42" t="s">
        <v>3128</v>
      </c>
      <c r="C42" t="s">
        <v>3129</v>
      </c>
      <c r="D42" t="s">
        <v>3136</v>
      </c>
      <c r="E42" t="s">
        <v>3137</v>
      </c>
      <c r="F42" t="s">
        <v>3060</v>
      </c>
      <c r="G42" t="s">
        <v>1628</v>
      </c>
    </row>
    <row r="43" ht="11.25" customHeight="1">
      <c r="A43" t="s">
        <v>16</v>
      </c>
      <c r="B43" t="s">
        <v>3128</v>
      </c>
      <c r="C43" t="s">
        <v>3129</v>
      </c>
      <c r="D43" t="s">
        <v>3138</v>
      </c>
      <c r="E43" t="s">
        <v>3139</v>
      </c>
      <c r="F43" t="s">
        <v>3057</v>
      </c>
      <c r="G43" t="s">
        <v>1635</v>
      </c>
    </row>
    <row r="44" ht="11.25" customHeight="1">
      <c r="A44" t="s">
        <v>16</v>
      </c>
      <c r="B44" t="s">
        <v>3128</v>
      </c>
      <c r="C44" t="s">
        <v>3129</v>
      </c>
      <c r="D44" t="s">
        <v>3140</v>
      </c>
      <c r="E44" t="s">
        <v>3141</v>
      </c>
      <c r="F44" t="s">
        <v>3060</v>
      </c>
      <c r="G44" t="s">
        <v>1644</v>
      </c>
    </row>
    <row r="45" ht="11.25" customHeight="1">
      <c r="A45" t="s">
        <v>16</v>
      </c>
      <c r="B45" t="s">
        <v>3128</v>
      </c>
      <c r="C45" t="s">
        <v>3129</v>
      </c>
      <c r="D45" t="s">
        <v>3142</v>
      </c>
      <c r="E45" t="s">
        <v>3143</v>
      </c>
      <c r="F45" t="s">
        <v>3057</v>
      </c>
      <c r="G45" t="s">
        <v>1649</v>
      </c>
    </row>
    <row r="46" ht="11.25" customHeight="1">
      <c r="A46" t="s">
        <v>16</v>
      </c>
      <c r="B46" t="s">
        <v>3128</v>
      </c>
      <c r="C46" t="s">
        <v>3129</v>
      </c>
      <c r="D46" t="s">
        <v>3144</v>
      </c>
      <c r="E46" t="s">
        <v>3145</v>
      </c>
      <c r="F46" t="s">
        <v>3060</v>
      </c>
      <c r="G46" t="s">
        <v>1652</v>
      </c>
    </row>
    <row r="47" ht="11.25" customHeight="1">
      <c r="A47" t="s">
        <v>16</v>
      </c>
      <c r="B47" t="s">
        <v>3128</v>
      </c>
      <c r="C47" t="s">
        <v>3129</v>
      </c>
      <c r="D47" t="s">
        <v>3146</v>
      </c>
      <c r="E47" t="s">
        <v>3147</v>
      </c>
      <c r="F47" t="s">
        <v>3060</v>
      </c>
      <c r="G47" t="s">
        <v>1658</v>
      </c>
    </row>
    <row r="48" ht="11.25" customHeight="1">
      <c r="A48" t="s">
        <v>16</v>
      </c>
      <c r="B48" t="s">
        <v>3128</v>
      </c>
      <c r="C48" t="s">
        <v>3129</v>
      </c>
      <c r="D48" t="s">
        <v>3128</v>
      </c>
      <c r="E48" t="s">
        <v>3129</v>
      </c>
      <c r="F48" t="s">
        <v>3054</v>
      </c>
      <c r="G48" t="s">
        <v>1663</v>
      </c>
    </row>
    <row r="49" ht="11.25" customHeight="1">
      <c r="A49" t="s">
        <v>16</v>
      </c>
      <c r="B49" t="s">
        <v>3128</v>
      </c>
      <c r="C49" t="s">
        <v>3129</v>
      </c>
      <c r="D49" t="s">
        <v>3148</v>
      </c>
      <c r="E49" t="s">
        <v>3149</v>
      </c>
      <c r="F49" t="s">
        <v>3060</v>
      </c>
      <c r="G49" t="s">
        <v>1666</v>
      </c>
    </row>
    <row r="50" ht="11.25" customHeight="1">
      <c r="A50" t="s">
        <v>16</v>
      </c>
      <c r="B50" t="s">
        <v>3128</v>
      </c>
      <c r="C50" t="s">
        <v>3129</v>
      </c>
      <c r="D50" t="s">
        <v>3150</v>
      </c>
      <c r="E50" t="s">
        <v>3151</v>
      </c>
      <c r="F50" t="s">
        <v>3060</v>
      </c>
      <c r="G50" t="s">
        <v>1670</v>
      </c>
    </row>
    <row r="51" ht="11.25" customHeight="1">
      <c r="A51" t="s">
        <v>16</v>
      </c>
      <c r="B51" t="s">
        <v>3128</v>
      </c>
      <c r="C51" t="s">
        <v>3129</v>
      </c>
      <c r="D51" t="s">
        <v>3152</v>
      </c>
      <c r="E51" t="s">
        <v>3153</v>
      </c>
      <c r="F51" t="s">
        <v>3060</v>
      </c>
      <c r="G51" t="s">
        <v>1675</v>
      </c>
    </row>
    <row r="52" ht="11.25" customHeight="1">
      <c r="A52" t="s">
        <v>16</v>
      </c>
      <c r="B52" t="s">
        <v>3128</v>
      </c>
      <c r="C52" t="s">
        <v>3129</v>
      </c>
      <c r="D52" t="s">
        <v>3154</v>
      </c>
      <c r="E52" t="s">
        <v>3155</v>
      </c>
      <c r="F52" t="s">
        <v>3060</v>
      </c>
      <c r="G52" t="s">
        <v>1679</v>
      </c>
    </row>
    <row r="53" ht="11.25" customHeight="1">
      <c r="A53" t="s">
        <v>16</v>
      </c>
      <c r="B53" t="s">
        <v>3128</v>
      </c>
      <c r="C53" t="s">
        <v>3129</v>
      </c>
      <c r="D53" t="s">
        <v>3156</v>
      </c>
      <c r="E53" t="s">
        <v>3157</v>
      </c>
      <c r="F53" t="s">
        <v>3060</v>
      </c>
      <c r="G53" t="s">
        <v>1681</v>
      </c>
    </row>
    <row r="54" ht="11.25" customHeight="1">
      <c r="A54" t="s">
        <v>16</v>
      </c>
      <c r="B54" t="s">
        <v>3128</v>
      </c>
      <c r="C54" t="s">
        <v>3129</v>
      </c>
      <c r="D54" t="s">
        <v>3158</v>
      </c>
      <c r="E54" t="s">
        <v>3159</v>
      </c>
      <c r="F54" t="s">
        <v>3060</v>
      </c>
      <c r="G54" t="s">
        <v>1684</v>
      </c>
    </row>
    <row r="55" ht="11.25" customHeight="1">
      <c r="A55" t="s">
        <v>16</v>
      </c>
      <c r="B55" t="s">
        <v>3128</v>
      </c>
      <c r="C55" t="s">
        <v>3129</v>
      </c>
      <c r="D55" t="s">
        <v>3160</v>
      </c>
      <c r="E55" t="s">
        <v>3161</v>
      </c>
      <c r="F55" t="s">
        <v>3060</v>
      </c>
      <c r="G55" t="s">
        <v>1688</v>
      </c>
    </row>
    <row r="56" ht="11.25" customHeight="1">
      <c r="A56" t="s">
        <v>16</v>
      </c>
      <c r="B56" t="s">
        <v>3128</v>
      </c>
      <c r="C56" t="s">
        <v>3129</v>
      </c>
      <c r="D56" t="s">
        <v>3162</v>
      </c>
      <c r="E56" t="s">
        <v>3163</v>
      </c>
      <c r="F56" t="s">
        <v>3060</v>
      </c>
      <c r="G56" t="s">
        <v>1691</v>
      </c>
    </row>
    <row r="57" ht="11.25" customHeight="1">
      <c r="A57" t="s">
        <v>16</v>
      </c>
      <c r="B57" t="s">
        <v>3128</v>
      </c>
      <c r="C57" t="s">
        <v>3129</v>
      </c>
      <c r="D57" t="s">
        <v>3164</v>
      </c>
      <c r="E57" t="s">
        <v>3165</v>
      </c>
      <c r="F57" t="s">
        <v>3060</v>
      </c>
      <c r="G57" t="s">
        <v>1694</v>
      </c>
    </row>
    <row r="58" ht="11.25" customHeight="1">
      <c r="A58" t="s">
        <v>16</v>
      </c>
      <c r="B58" t="s">
        <v>3128</v>
      </c>
      <c r="C58" t="s">
        <v>3129</v>
      </c>
      <c r="D58" t="s">
        <v>3166</v>
      </c>
      <c r="E58" t="s">
        <v>3167</v>
      </c>
      <c r="F58" t="s">
        <v>3060</v>
      </c>
      <c r="G58" t="s">
        <v>1697</v>
      </c>
    </row>
    <row r="59" ht="11.25" customHeight="1">
      <c r="A59" t="s">
        <v>16</v>
      </c>
      <c r="B59" t="s">
        <v>3128</v>
      </c>
      <c r="C59" t="s">
        <v>3129</v>
      </c>
      <c r="D59" t="s">
        <v>3168</v>
      </c>
      <c r="E59" t="s">
        <v>3169</v>
      </c>
      <c r="F59" t="s">
        <v>3060</v>
      </c>
      <c r="G59" t="s">
        <v>1701</v>
      </c>
    </row>
    <row r="60" ht="11.25" customHeight="1">
      <c r="A60" t="s">
        <v>16</v>
      </c>
      <c r="B60" t="s">
        <v>3128</v>
      </c>
      <c r="C60" t="s">
        <v>3129</v>
      </c>
      <c r="D60" t="s">
        <v>3170</v>
      </c>
      <c r="E60" t="s">
        <v>3171</v>
      </c>
      <c r="F60" t="s">
        <v>3057</v>
      </c>
      <c r="G60" t="s">
        <v>1704</v>
      </c>
    </row>
    <row r="61" ht="11.25" customHeight="1">
      <c r="A61" t="s">
        <v>16</v>
      </c>
      <c r="B61" t="s">
        <v>3128</v>
      </c>
      <c r="C61" t="s">
        <v>3129</v>
      </c>
      <c r="D61" t="s">
        <v>3172</v>
      </c>
      <c r="E61" t="s">
        <v>3173</v>
      </c>
      <c r="F61" t="s">
        <v>3060</v>
      </c>
      <c r="G61" t="s">
        <v>3174</v>
      </c>
    </row>
    <row r="62" ht="11.25" customHeight="1">
      <c r="A62" t="s">
        <v>16</v>
      </c>
      <c r="B62" t="s">
        <v>3128</v>
      </c>
      <c r="C62" t="s">
        <v>3129</v>
      </c>
      <c r="D62" t="s">
        <v>3175</v>
      </c>
      <c r="E62" t="s">
        <v>3176</v>
      </c>
      <c r="F62" t="s">
        <v>3060</v>
      </c>
      <c r="G62" t="s">
        <v>3177</v>
      </c>
    </row>
    <row r="63" ht="11.25" customHeight="1">
      <c r="A63" t="s">
        <v>16</v>
      </c>
      <c r="B63" t="s">
        <v>3128</v>
      </c>
      <c r="C63" t="s">
        <v>3129</v>
      </c>
      <c r="D63" t="s">
        <v>3178</v>
      </c>
      <c r="E63" t="s">
        <v>3179</v>
      </c>
      <c r="F63" t="s">
        <v>3060</v>
      </c>
      <c r="G63" t="s">
        <v>3180</v>
      </c>
    </row>
    <row r="64" ht="11.25" customHeight="1">
      <c r="A64" t="s">
        <v>16</v>
      </c>
      <c r="B64" t="s">
        <v>3181</v>
      </c>
      <c r="C64" t="s">
        <v>3182</v>
      </c>
      <c r="D64" t="s">
        <v>3181</v>
      </c>
      <c r="E64" t="s">
        <v>3182</v>
      </c>
      <c r="F64" t="s">
        <v>3051</v>
      </c>
      <c r="G64" t="s">
        <v>3183</v>
      </c>
    </row>
    <row r="65" ht="11.25" customHeight="1">
      <c r="A65" t="s">
        <v>16</v>
      </c>
      <c r="B65" t="s">
        <v>3184</v>
      </c>
      <c r="C65" t="s">
        <v>3185</v>
      </c>
      <c r="D65" t="s">
        <v>3186</v>
      </c>
      <c r="E65" t="s">
        <v>3187</v>
      </c>
      <c r="F65" t="s">
        <v>3060</v>
      </c>
      <c r="G65" t="s">
        <v>3188</v>
      </c>
    </row>
    <row r="66" ht="11.25" customHeight="1">
      <c r="A66" t="s">
        <v>16</v>
      </c>
      <c r="B66" t="s">
        <v>3184</v>
      </c>
      <c r="C66" t="s">
        <v>3185</v>
      </c>
      <c r="D66" t="s">
        <v>3189</v>
      </c>
      <c r="E66" t="s">
        <v>3190</v>
      </c>
      <c r="F66" t="s">
        <v>3060</v>
      </c>
      <c r="G66" t="s">
        <v>3191</v>
      </c>
    </row>
    <row r="67" ht="11.25" customHeight="1">
      <c r="A67" t="s">
        <v>16</v>
      </c>
      <c r="B67" t="s">
        <v>3184</v>
      </c>
      <c r="C67" t="s">
        <v>3185</v>
      </c>
      <c r="D67" t="s">
        <v>3192</v>
      </c>
      <c r="E67" t="s">
        <v>3193</v>
      </c>
      <c r="F67" t="s">
        <v>3060</v>
      </c>
      <c r="G67" t="s">
        <v>2021</v>
      </c>
    </row>
    <row r="68" ht="11.25" customHeight="1">
      <c r="A68" t="s">
        <v>16</v>
      </c>
      <c r="B68" t="s">
        <v>3184</v>
      </c>
      <c r="C68" t="s">
        <v>3185</v>
      </c>
      <c r="D68" t="s">
        <v>3194</v>
      </c>
      <c r="E68" t="s">
        <v>3195</v>
      </c>
      <c r="F68" t="s">
        <v>3060</v>
      </c>
      <c r="G68" t="s">
        <v>3196</v>
      </c>
    </row>
    <row r="69" ht="11.25" customHeight="1">
      <c r="A69" t="s">
        <v>16</v>
      </c>
      <c r="B69" t="s">
        <v>3184</v>
      </c>
      <c r="C69" t="s">
        <v>3185</v>
      </c>
      <c r="D69" t="s">
        <v>3184</v>
      </c>
      <c r="E69" t="s">
        <v>3185</v>
      </c>
      <c r="F69" t="s">
        <v>3054</v>
      </c>
      <c r="G69" t="s">
        <v>2224</v>
      </c>
    </row>
    <row r="70" ht="11.25" customHeight="1">
      <c r="A70" t="s">
        <v>16</v>
      </c>
      <c r="B70" t="s">
        <v>3184</v>
      </c>
      <c r="C70" t="s">
        <v>3185</v>
      </c>
      <c r="D70" t="s">
        <v>3197</v>
      </c>
      <c r="E70" t="s">
        <v>3198</v>
      </c>
      <c r="F70" t="s">
        <v>3060</v>
      </c>
      <c r="G70" t="s">
        <v>3199</v>
      </c>
    </row>
    <row r="71" ht="11.25" customHeight="1">
      <c r="A71" t="s">
        <v>16</v>
      </c>
      <c r="B71" t="s">
        <v>3184</v>
      </c>
      <c r="C71" t="s">
        <v>3185</v>
      </c>
      <c r="D71" t="s">
        <v>3200</v>
      </c>
      <c r="E71" t="s">
        <v>3201</v>
      </c>
      <c r="F71" t="s">
        <v>3060</v>
      </c>
      <c r="G71" t="s">
        <v>3202</v>
      </c>
    </row>
    <row r="72" ht="11.25" customHeight="1">
      <c r="A72" t="s">
        <v>16</v>
      </c>
      <c r="B72" t="s">
        <v>3184</v>
      </c>
      <c r="C72" t="s">
        <v>3185</v>
      </c>
      <c r="D72" t="s">
        <v>3203</v>
      </c>
      <c r="E72" t="s">
        <v>3204</v>
      </c>
      <c r="F72" t="s">
        <v>3060</v>
      </c>
      <c r="G72" t="s">
        <v>3205</v>
      </c>
    </row>
    <row r="73" ht="11.25" customHeight="1">
      <c r="A73" t="s">
        <v>16</v>
      </c>
      <c r="B73" t="s">
        <v>3184</v>
      </c>
      <c r="C73" t="s">
        <v>3185</v>
      </c>
      <c r="D73" t="s">
        <v>3206</v>
      </c>
      <c r="E73" t="s">
        <v>3207</v>
      </c>
      <c r="F73" t="s">
        <v>3060</v>
      </c>
      <c r="G73" t="s">
        <v>3208</v>
      </c>
    </row>
    <row r="74" ht="11.25" customHeight="1">
      <c r="A74" t="s">
        <v>16</v>
      </c>
      <c r="B74" t="s">
        <v>3184</v>
      </c>
      <c r="C74" t="s">
        <v>3185</v>
      </c>
      <c r="D74" t="s">
        <v>3209</v>
      </c>
      <c r="E74" t="s">
        <v>3210</v>
      </c>
      <c r="F74" t="s">
        <v>3060</v>
      </c>
      <c r="G74" t="s">
        <v>3211</v>
      </c>
    </row>
    <row r="75" ht="11.25" customHeight="1">
      <c r="A75" t="s">
        <v>16</v>
      </c>
      <c r="B75" t="s">
        <v>3184</v>
      </c>
      <c r="C75" t="s">
        <v>3185</v>
      </c>
      <c r="D75" t="s">
        <v>3212</v>
      </c>
      <c r="E75" t="s">
        <v>3213</v>
      </c>
      <c r="F75" t="s">
        <v>3214</v>
      </c>
      <c r="G75" t="s">
        <v>3215</v>
      </c>
    </row>
    <row r="76" ht="11.25" customHeight="1">
      <c r="A76" t="s">
        <v>16</v>
      </c>
      <c r="B76" t="s">
        <v>3184</v>
      </c>
      <c r="C76" t="s">
        <v>3185</v>
      </c>
      <c r="D76" t="s">
        <v>3216</v>
      </c>
      <c r="E76" t="s">
        <v>3217</v>
      </c>
      <c r="F76" t="s">
        <v>3057</v>
      </c>
      <c r="G76" t="s">
        <v>3218</v>
      </c>
    </row>
    <row r="77" ht="11.25" customHeight="1">
      <c r="A77" t="s">
        <v>16</v>
      </c>
      <c r="B77" t="s">
        <v>3184</v>
      </c>
      <c r="C77" t="s">
        <v>3185</v>
      </c>
      <c r="D77" t="s">
        <v>3219</v>
      </c>
      <c r="E77" t="s">
        <v>3220</v>
      </c>
      <c r="F77" t="s">
        <v>3060</v>
      </c>
      <c r="G77" t="s">
        <v>3221</v>
      </c>
    </row>
    <row r="78" ht="11.25" customHeight="1">
      <c r="A78" t="s">
        <v>16</v>
      </c>
      <c r="B78" t="s">
        <v>3222</v>
      </c>
      <c r="C78" t="s">
        <v>3223</v>
      </c>
      <c r="D78" t="s">
        <v>3222</v>
      </c>
      <c r="E78" t="s">
        <v>3223</v>
      </c>
      <c r="F78" t="s">
        <v>3051</v>
      </c>
      <c r="G78" t="s">
        <v>3224</v>
      </c>
    </row>
    <row r="79" ht="11.25" customHeight="1">
      <c r="A79" t="s">
        <v>16</v>
      </c>
      <c r="B79" t="s">
        <v>3225</v>
      </c>
      <c r="C79" t="s">
        <v>3226</v>
      </c>
      <c r="D79" t="s">
        <v>3227</v>
      </c>
      <c r="E79" t="s">
        <v>3228</v>
      </c>
      <c r="F79" t="s">
        <v>3060</v>
      </c>
      <c r="G79" t="s">
        <v>3229</v>
      </c>
    </row>
    <row r="80" ht="11.25" customHeight="1">
      <c r="A80" t="s">
        <v>16</v>
      </c>
      <c r="B80" t="s">
        <v>3225</v>
      </c>
      <c r="C80" t="s">
        <v>3226</v>
      </c>
      <c r="D80" t="s">
        <v>3230</v>
      </c>
      <c r="E80" t="s">
        <v>3231</v>
      </c>
      <c r="F80" t="s">
        <v>3060</v>
      </c>
      <c r="G80" t="s">
        <v>3232</v>
      </c>
    </row>
    <row r="81" ht="11.25" customHeight="1">
      <c r="A81" t="s">
        <v>16</v>
      </c>
      <c r="B81" t="s">
        <v>3225</v>
      </c>
      <c r="C81" t="s">
        <v>3226</v>
      </c>
      <c r="D81" t="s">
        <v>3233</v>
      </c>
      <c r="E81" t="s">
        <v>3234</v>
      </c>
      <c r="F81" t="s">
        <v>3060</v>
      </c>
      <c r="G81" t="s">
        <v>3235</v>
      </c>
    </row>
    <row r="82" ht="11.25" customHeight="1">
      <c r="A82" t="s">
        <v>16</v>
      </c>
      <c r="B82" t="s">
        <v>3225</v>
      </c>
      <c r="C82" t="s">
        <v>3226</v>
      </c>
      <c r="D82" t="s">
        <v>3236</v>
      </c>
      <c r="E82" t="s">
        <v>3237</v>
      </c>
      <c r="F82" t="s">
        <v>3060</v>
      </c>
      <c r="G82" t="s">
        <v>3238</v>
      </c>
    </row>
    <row r="83" ht="11.25" customHeight="1">
      <c r="A83" t="s">
        <v>16</v>
      </c>
      <c r="B83" t="s">
        <v>3225</v>
      </c>
      <c r="C83" t="s">
        <v>3226</v>
      </c>
      <c r="D83" t="s">
        <v>3225</v>
      </c>
      <c r="E83" t="s">
        <v>3226</v>
      </c>
      <c r="F83" t="s">
        <v>3054</v>
      </c>
      <c r="G83" t="s">
        <v>3239</v>
      </c>
    </row>
    <row r="84" ht="11.25" customHeight="1">
      <c r="A84" t="s">
        <v>16</v>
      </c>
      <c r="B84" t="s">
        <v>3225</v>
      </c>
      <c r="C84" t="s">
        <v>3226</v>
      </c>
      <c r="D84" t="s">
        <v>3240</v>
      </c>
      <c r="E84" t="s">
        <v>3241</v>
      </c>
      <c r="F84" t="s">
        <v>3214</v>
      </c>
      <c r="G84" t="s">
        <v>3242</v>
      </c>
    </row>
    <row r="85" ht="11.25" customHeight="1">
      <c r="A85" t="s">
        <v>16</v>
      </c>
      <c r="B85" t="s">
        <v>3225</v>
      </c>
      <c r="C85" t="s">
        <v>3226</v>
      </c>
      <c r="D85" t="s">
        <v>3243</v>
      </c>
      <c r="E85" t="s">
        <v>3244</v>
      </c>
      <c r="F85" t="s">
        <v>3060</v>
      </c>
      <c r="G85" t="s">
        <v>3245</v>
      </c>
    </row>
    <row r="86" ht="11.25" customHeight="1">
      <c r="A86" t="s">
        <v>16</v>
      </c>
      <c r="B86" t="s">
        <v>3225</v>
      </c>
      <c r="C86" t="s">
        <v>3226</v>
      </c>
      <c r="D86" t="s">
        <v>3246</v>
      </c>
      <c r="E86" t="s">
        <v>3247</v>
      </c>
      <c r="F86" t="s">
        <v>3060</v>
      </c>
      <c r="G86" t="s">
        <v>3248</v>
      </c>
    </row>
    <row r="87" ht="11.25" customHeight="1">
      <c r="A87" t="s">
        <v>16</v>
      </c>
      <c r="B87" t="s">
        <v>3225</v>
      </c>
      <c r="C87" t="s">
        <v>3226</v>
      </c>
      <c r="D87" t="s">
        <v>3249</v>
      </c>
      <c r="E87" t="s">
        <v>3250</v>
      </c>
      <c r="F87" t="s">
        <v>3060</v>
      </c>
      <c r="G87" t="s">
        <v>3251</v>
      </c>
    </row>
    <row r="88" ht="11.25" customHeight="1">
      <c r="A88" t="s">
        <v>16</v>
      </c>
      <c r="B88" t="s">
        <v>3225</v>
      </c>
      <c r="C88" t="s">
        <v>3226</v>
      </c>
      <c r="D88" t="s">
        <v>3252</v>
      </c>
      <c r="E88" t="s">
        <v>3253</v>
      </c>
      <c r="F88" t="s">
        <v>3060</v>
      </c>
      <c r="G88" t="s">
        <v>3254</v>
      </c>
    </row>
    <row r="89" ht="11.25" customHeight="1">
      <c r="A89" t="s">
        <v>16</v>
      </c>
      <c r="B89" t="s">
        <v>3225</v>
      </c>
      <c r="C89" t="s">
        <v>3226</v>
      </c>
      <c r="D89" t="s">
        <v>3255</v>
      </c>
      <c r="E89" t="s">
        <v>3256</v>
      </c>
      <c r="F89" t="s">
        <v>3060</v>
      </c>
      <c r="G89" t="s">
        <v>3257</v>
      </c>
    </row>
    <row r="90" ht="11.25" customHeight="1">
      <c r="A90" t="s">
        <v>16</v>
      </c>
      <c r="B90" t="s">
        <v>3258</v>
      </c>
      <c r="C90" t="s">
        <v>3259</v>
      </c>
      <c r="D90" t="s">
        <v>3258</v>
      </c>
      <c r="E90" t="s">
        <v>3259</v>
      </c>
      <c r="F90" t="s">
        <v>3051</v>
      </c>
      <c r="G90" t="s">
        <v>3260</v>
      </c>
    </row>
    <row r="91" ht="11.25" customHeight="1">
      <c r="A91" t="s">
        <v>16</v>
      </c>
      <c r="B91" t="s">
        <v>3261</v>
      </c>
      <c r="C91" t="s">
        <v>3262</v>
      </c>
      <c r="D91" t="s">
        <v>3263</v>
      </c>
      <c r="E91" t="s">
        <v>3264</v>
      </c>
      <c r="F91" t="s">
        <v>3060</v>
      </c>
      <c r="G91" t="s">
        <v>3265</v>
      </c>
    </row>
    <row r="92" ht="11.25" customHeight="1">
      <c r="A92" t="s">
        <v>16</v>
      </c>
      <c r="B92" t="s">
        <v>3261</v>
      </c>
      <c r="C92" t="s">
        <v>3262</v>
      </c>
      <c r="D92" t="s">
        <v>3266</v>
      </c>
      <c r="E92" t="s">
        <v>3267</v>
      </c>
      <c r="F92" t="s">
        <v>3060</v>
      </c>
      <c r="G92" t="s">
        <v>3268</v>
      </c>
    </row>
    <row r="93" ht="11.25" customHeight="1">
      <c r="A93" t="s">
        <v>16</v>
      </c>
      <c r="B93" t="s">
        <v>3261</v>
      </c>
      <c r="C93" t="s">
        <v>3262</v>
      </c>
      <c r="D93" t="s">
        <v>3269</v>
      </c>
      <c r="E93" t="s">
        <v>3270</v>
      </c>
      <c r="F93" t="s">
        <v>3060</v>
      </c>
      <c r="G93" t="s">
        <v>3271</v>
      </c>
    </row>
    <row r="94" ht="11.25" customHeight="1">
      <c r="A94" t="s">
        <v>16</v>
      </c>
      <c r="B94" t="s">
        <v>3261</v>
      </c>
      <c r="C94" t="s">
        <v>3262</v>
      </c>
      <c r="D94" t="s">
        <v>3272</v>
      </c>
      <c r="E94" t="s">
        <v>3273</v>
      </c>
      <c r="F94" t="s">
        <v>3060</v>
      </c>
      <c r="G94" t="s">
        <v>3274</v>
      </c>
    </row>
    <row r="95" ht="11.25" customHeight="1">
      <c r="A95" t="s">
        <v>16</v>
      </c>
      <c r="B95" t="s">
        <v>3261</v>
      </c>
      <c r="C95" t="s">
        <v>3262</v>
      </c>
      <c r="D95" t="s">
        <v>3275</v>
      </c>
      <c r="E95" t="s">
        <v>3276</v>
      </c>
      <c r="F95" t="s">
        <v>3060</v>
      </c>
      <c r="G95" t="s">
        <v>3277</v>
      </c>
    </row>
    <row r="96" ht="11.25" customHeight="1">
      <c r="A96" t="s">
        <v>16</v>
      </c>
      <c r="B96" t="s">
        <v>3261</v>
      </c>
      <c r="C96" t="s">
        <v>3262</v>
      </c>
      <c r="D96" t="s">
        <v>3261</v>
      </c>
      <c r="E96" t="s">
        <v>3262</v>
      </c>
      <c r="F96" t="s">
        <v>3054</v>
      </c>
      <c r="G96" t="s">
        <v>3278</v>
      </c>
    </row>
    <row r="97" ht="11.25" customHeight="1">
      <c r="A97" t="s">
        <v>16</v>
      </c>
      <c r="B97" t="s">
        <v>3261</v>
      </c>
      <c r="C97" t="s">
        <v>3262</v>
      </c>
      <c r="D97" t="s">
        <v>3279</v>
      </c>
      <c r="E97" t="s">
        <v>3280</v>
      </c>
      <c r="F97" t="s">
        <v>3060</v>
      </c>
      <c r="G97" t="s">
        <v>3281</v>
      </c>
    </row>
    <row r="98" ht="11.25" customHeight="1">
      <c r="A98" t="s">
        <v>16</v>
      </c>
      <c r="B98" t="s">
        <v>3261</v>
      </c>
      <c r="C98" t="s">
        <v>3262</v>
      </c>
      <c r="D98" t="s">
        <v>3282</v>
      </c>
      <c r="E98" t="s">
        <v>3283</v>
      </c>
      <c r="F98" t="s">
        <v>3057</v>
      </c>
      <c r="G98" t="s">
        <v>3284</v>
      </c>
    </row>
    <row r="99" ht="11.25" customHeight="1">
      <c r="A99" t="s">
        <v>16</v>
      </c>
      <c r="B99" t="s">
        <v>3261</v>
      </c>
      <c r="C99" t="s">
        <v>3262</v>
      </c>
      <c r="D99" t="s">
        <v>3285</v>
      </c>
      <c r="E99" t="s">
        <v>3286</v>
      </c>
      <c r="F99" t="s">
        <v>3060</v>
      </c>
      <c r="G99" t="s">
        <v>3287</v>
      </c>
    </row>
    <row r="100" ht="11.25" customHeight="1">
      <c r="A100" t="s">
        <v>16</v>
      </c>
      <c r="B100" t="s">
        <v>3261</v>
      </c>
      <c r="C100" t="s">
        <v>3262</v>
      </c>
      <c r="D100" t="s">
        <v>3288</v>
      </c>
      <c r="E100" t="s">
        <v>3289</v>
      </c>
      <c r="F100" t="s">
        <v>3057</v>
      </c>
      <c r="G100" t="s">
        <v>3290</v>
      </c>
    </row>
    <row r="101" ht="11.25" customHeight="1">
      <c r="A101" t="s">
        <v>16</v>
      </c>
      <c r="B101" t="s">
        <v>3261</v>
      </c>
      <c r="C101" t="s">
        <v>3262</v>
      </c>
      <c r="D101" t="s">
        <v>3291</v>
      </c>
      <c r="E101" t="s">
        <v>3292</v>
      </c>
      <c r="F101" t="s">
        <v>3060</v>
      </c>
      <c r="G101" t="s">
        <v>3293</v>
      </c>
    </row>
    <row r="102" ht="11.25" customHeight="1">
      <c r="A102" t="s">
        <v>16</v>
      </c>
      <c r="B102" t="s">
        <v>3294</v>
      </c>
      <c r="C102" t="s">
        <v>3295</v>
      </c>
      <c r="D102" t="s">
        <v>3294</v>
      </c>
      <c r="E102" t="s">
        <v>3295</v>
      </c>
      <c r="F102" t="s">
        <v>3051</v>
      </c>
      <c r="G102" t="s">
        <v>3296</v>
      </c>
    </row>
    <row r="103" ht="11.25" customHeight="1">
      <c r="A103" t="s">
        <v>16</v>
      </c>
      <c r="B103" t="s">
        <v>3297</v>
      </c>
      <c r="C103" t="s">
        <v>3298</v>
      </c>
      <c r="D103" t="s">
        <v>3299</v>
      </c>
      <c r="E103" t="s">
        <v>3300</v>
      </c>
      <c r="F103" t="s">
        <v>3060</v>
      </c>
      <c r="G103" t="s">
        <v>3301</v>
      </c>
    </row>
    <row r="104" ht="11.25" customHeight="1">
      <c r="A104" t="s">
        <v>16</v>
      </c>
      <c r="B104" t="s">
        <v>3297</v>
      </c>
      <c r="C104" t="s">
        <v>3298</v>
      </c>
      <c r="D104" t="s">
        <v>3302</v>
      </c>
      <c r="E104" t="s">
        <v>3303</v>
      </c>
      <c r="F104" t="s">
        <v>3060</v>
      </c>
      <c r="G104" t="s">
        <v>3304</v>
      </c>
    </row>
    <row r="105" ht="11.25" customHeight="1">
      <c r="A105" t="s">
        <v>16</v>
      </c>
      <c r="B105" t="s">
        <v>3297</v>
      </c>
      <c r="C105" t="s">
        <v>3298</v>
      </c>
      <c r="D105" t="s">
        <v>3305</v>
      </c>
      <c r="E105" t="s">
        <v>3306</v>
      </c>
      <c r="F105" t="s">
        <v>3060</v>
      </c>
      <c r="G105" t="s">
        <v>3307</v>
      </c>
    </row>
    <row r="106" ht="11.25" customHeight="1">
      <c r="A106" t="s">
        <v>16</v>
      </c>
      <c r="B106" t="s">
        <v>3297</v>
      </c>
      <c r="C106" t="s">
        <v>3298</v>
      </c>
      <c r="D106" t="s">
        <v>3308</v>
      </c>
      <c r="E106" t="s">
        <v>3309</v>
      </c>
      <c r="F106" t="s">
        <v>3060</v>
      </c>
      <c r="G106" t="s">
        <v>3310</v>
      </c>
    </row>
    <row r="107" ht="11.25" customHeight="1">
      <c r="A107" t="s">
        <v>16</v>
      </c>
      <c r="B107" t="s">
        <v>3297</v>
      </c>
      <c r="C107" t="s">
        <v>3298</v>
      </c>
      <c r="D107" t="s">
        <v>3311</v>
      </c>
      <c r="E107" t="s">
        <v>3312</v>
      </c>
      <c r="F107" t="s">
        <v>3060</v>
      </c>
      <c r="G107" t="s">
        <v>3313</v>
      </c>
    </row>
    <row r="108" ht="11.25" customHeight="1">
      <c r="A108" t="s">
        <v>16</v>
      </c>
      <c r="B108" t="s">
        <v>3297</v>
      </c>
      <c r="C108" t="s">
        <v>3298</v>
      </c>
      <c r="D108" t="s">
        <v>3314</v>
      </c>
      <c r="E108" t="s">
        <v>3315</v>
      </c>
      <c r="F108" t="s">
        <v>3060</v>
      </c>
      <c r="G108" t="s">
        <v>3316</v>
      </c>
    </row>
    <row r="109" ht="11.25" customHeight="1">
      <c r="A109" t="s">
        <v>16</v>
      </c>
      <c r="B109" t="s">
        <v>3297</v>
      </c>
      <c r="C109" t="s">
        <v>3298</v>
      </c>
      <c r="D109" t="s">
        <v>3317</v>
      </c>
      <c r="E109" t="s">
        <v>3318</v>
      </c>
      <c r="F109" t="s">
        <v>3060</v>
      </c>
      <c r="G109" t="s">
        <v>3319</v>
      </c>
    </row>
    <row r="110" ht="11.25" customHeight="1">
      <c r="A110" t="s">
        <v>16</v>
      </c>
      <c r="B110" t="s">
        <v>3297</v>
      </c>
      <c r="C110" t="s">
        <v>3298</v>
      </c>
      <c r="D110" t="s">
        <v>3297</v>
      </c>
      <c r="E110" t="s">
        <v>3298</v>
      </c>
      <c r="F110" t="s">
        <v>3054</v>
      </c>
      <c r="G110" t="s">
        <v>3320</v>
      </c>
    </row>
    <row r="111" ht="11.25" customHeight="1">
      <c r="A111" t="s">
        <v>16</v>
      </c>
      <c r="B111" t="s">
        <v>3297</v>
      </c>
      <c r="C111" t="s">
        <v>3298</v>
      </c>
      <c r="D111" t="s">
        <v>3321</v>
      </c>
      <c r="E111" t="s">
        <v>3322</v>
      </c>
      <c r="F111" t="s">
        <v>3214</v>
      </c>
      <c r="G111" t="s">
        <v>3323</v>
      </c>
    </row>
    <row r="112" ht="11.25" customHeight="1">
      <c r="A112" t="s">
        <v>16</v>
      </c>
      <c r="B112" t="s">
        <v>3297</v>
      </c>
      <c r="C112" t="s">
        <v>3298</v>
      </c>
      <c r="D112" t="s">
        <v>3324</v>
      </c>
      <c r="E112" t="s">
        <v>3325</v>
      </c>
      <c r="F112" t="s">
        <v>3060</v>
      </c>
      <c r="G112" t="s">
        <v>3326</v>
      </c>
    </row>
    <row r="113" ht="11.25" customHeight="1">
      <c r="A113" t="s">
        <v>16</v>
      </c>
      <c r="B113" t="s">
        <v>3297</v>
      </c>
      <c r="C113" t="s">
        <v>3298</v>
      </c>
      <c r="D113" t="s">
        <v>3327</v>
      </c>
      <c r="E113" t="s">
        <v>3328</v>
      </c>
      <c r="F113" t="s">
        <v>3057</v>
      </c>
      <c r="G113" t="s">
        <v>3329</v>
      </c>
    </row>
    <row r="114" ht="11.25" customHeight="1">
      <c r="A114" t="s">
        <v>16</v>
      </c>
      <c r="B114" t="s">
        <v>3297</v>
      </c>
      <c r="C114" t="s">
        <v>3298</v>
      </c>
      <c r="D114" t="s">
        <v>3330</v>
      </c>
      <c r="E114" t="s">
        <v>3331</v>
      </c>
      <c r="F114" t="s">
        <v>3060</v>
      </c>
      <c r="G114" t="s">
        <v>3332</v>
      </c>
    </row>
    <row r="115" ht="11.25" customHeight="1">
      <c r="A115" t="s">
        <v>16</v>
      </c>
      <c r="B115" t="s">
        <v>3297</v>
      </c>
      <c r="C115" t="s">
        <v>3298</v>
      </c>
      <c r="D115" t="s">
        <v>3333</v>
      </c>
      <c r="E115" t="s">
        <v>3334</v>
      </c>
      <c r="F115" t="s">
        <v>3060</v>
      </c>
      <c r="G115" t="s">
        <v>3335</v>
      </c>
    </row>
    <row r="116" ht="11.25" customHeight="1">
      <c r="A116" t="s">
        <v>16</v>
      </c>
      <c r="B116" t="s">
        <v>3297</v>
      </c>
      <c r="C116" t="s">
        <v>3298</v>
      </c>
      <c r="D116" t="s">
        <v>3336</v>
      </c>
      <c r="E116" t="s">
        <v>3337</v>
      </c>
      <c r="F116" t="s">
        <v>3060</v>
      </c>
      <c r="G116" t="s">
        <v>3338</v>
      </c>
    </row>
    <row r="117" ht="11.25" customHeight="1">
      <c r="A117" t="s">
        <v>16</v>
      </c>
      <c r="B117" t="s">
        <v>3297</v>
      </c>
      <c r="C117" t="s">
        <v>3298</v>
      </c>
      <c r="D117" t="s">
        <v>3339</v>
      </c>
      <c r="E117" t="s">
        <v>3340</v>
      </c>
      <c r="F117" t="s">
        <v>3060</v>
      </c>
      <c r="G117" t="s">
        <v>3341</v>
      </c>
    </row>
    <row r="118" ht="11.25" customHeight="1">
      <c r="A118" t="s">
        <v>16</v>
      </c>
      <c r="B118" t="s">
        <v>3297</v>
      </c>
      <c r="C118" t="s">
        <v>3298</v>
      </c>
      <c r="D118" t="s">
        <v>3342</v>
      </c>
      <c r="E118" t="s">
        <v>3343</v>
      </c>
      <c r="F118" t="s">
        <v>3060</v>
      </c>
      <c r="G118" t="s">
        <v>3344</v>
      </c>
    </row>
    <row r="119" ht="11.25" customHeight="1">
      <c r="A119" t="s">
        <v>16</v>
      </c>
      <c r="B119" t="s">
        <v>3297</v>
      </c>
      <c r="C119" t="s">
        <v>3298</v>
      </c>
      <c r="D119" t="s">
        <v>3345</v>
      </c>
      <c r="E119" t="s">
        <v>3346</v>
      </c>
      <c r="F119" t="s">
        <v>3060</v>
      </c>
      <c r="G119" t="s">
        <v>3347</v>
      </c>
    </row>
    <row r="120" ht="11.25" customHeight="1">
      <c r="A120" t="s">
        <v>16</v>
      </c>
      <c r="B120" t="s">
        <v>3297</v>
      </c>
      <c r="C120" t="s">
        <v>3298</v>
      </c>
      <c r="D120" t="s">
        <v>3348</v>
      </c>
      <c r="E120" t="s">
        <v>3349</v>
      </c>
      <c r="F120" t="s">
        <v>3060</v>
      </c>
      <c r="G120" t="s">
        <v>3350</v>
      </c>
    </row>
    <row r="121" ht="11.25" customHeight="1">
      <c r="A121" t="s">
        <v>16</v>
      </c>
      <c r="B121" t="s">
        <v>3351</v>
      </c>
      <c r="C121" t="s">
        <v>3352</v>
      </c>
      <c r="D121" t="s">
        <v>3351</v>
      </c>
      <c r="E121" t="s">
        <v>3352</v>
      </c>
      <c r="F121" t="s">
        <v>3051</v>
      </c>
      <c r="G121" t="s">
        <v>3353</v>
      </c>
    </row>
    <row r="122" ht="11.25" customHeight="1">
      <c r="A122" t="s">
        <v>16</v>
      </c>
      <c r="B122" t="s">
        <v>3354</v>
      </c>
      <c r="C122" t="s">
        <v>3355</v>
      </c>
      <c r="D122" t="s">
        <v>3356</v>
      </c>
      <c r="E122" t="s">
        <v>3357</v>
      </c>
      <c r="F122" t="s">
        <v>3060</v>
      </c>
      <c r="G122" t="s">
        <v>3358</v>
      </c>
    </row>
    <row r="123" ht="11.25" customHeight="1">
      <c r="A123" t="s">
        <v>16</v>
      </c>
      <c r="B123" t="s">
        <v>3354</v>
      </c>
      <c r="C123" t="s">
        <v>3355</v>
      </c>
      <c r="D123" t="s">
        <v>3359</v>
      </c>
      <c r="E123" t="s">
        <v>3360</v>
      </c>
      <c r="F123" t="s">
        <v>3060</v>
      </c>
      <c r="G123" t="s">
        <v>3361</v>
      </c>
    </row>
    <row r="124" ht="11.25" customHeight="1">
      <c r="A124" t="s">
        <v>16</v>
      </c>
      <c r="B124" t="s">
        <v>3354</v>
      </c>
      <c r="C124" t="s">
        <v>3355</v>
      </c>
      <c r="D124" t="s">
        <v>3362</v>
      </c>
      <c r="E124" t="s">
        <v>3363</v>
      </c>
      <c r="F124" t="s">
        <v>3060</v>
      </c>
      <c r="G124" t="s">
        <v>3364</v>
      </c>
    </row>
    <row r="125" ht="11.25" customHeight="1">
      <c r="A125" t="s">
        <v>16</v>
      </c>
      <c r="B125" t="s">
        <v>3354</v>
      </c>
      <c r="C125" t="s">
        <v>3355</v>
      </c>
      <c r="D125" t="s">
        <v>3354</v>
      </c>
      <c r="E125" t="s">
        <v>3355</v>
      </c>
      <c r="F125" t="s">
        <v>3054</v>
      </c>
      <c r="G125" t="s">
        <v>3365</v>
      </c>
    </row>
    <row r="126" ht="11.25" customHeight="1">
      <c r="A126" t="s">
        <v>16</v>
      </c>
      <c r="B126" t="s">
        <v>3354</v>
      </c>
      <c r="C126" t="s">
        <v>3355</v>
      </c>
      <c r="D126" t="s">
        <v>3366</v>
      </c>
      <c r="E126" t="s">
        <v>3367</v>
      </c>
      <c r="F126" t="s">
        <v>3057</v>
      </c>
      <c r="G126" t="s">
        <v>3368</v>
      </c>
    </row>
    <row r="127" ht="11.25" customHeight="1">
      <c r="A127" t="s">
        <v>16</v>
      </c>
      <c r="B127" t="s">
        <v>3354</v>
      </c>
      <c r="C127" t="s">
        <v>3355</v>
      </c>
      <c r="D127" t="s">
        <v>3369</v>
      </c>
      <c r="E127" t="s">
        <v>3370</v>
      </c>
      <c r="F127" t="s">
        <v>3060</v>
      </c>
      <c r="G127" t="s">
        <v>3371</v>
      </c>
    </row>
    <row r="128" ht="11.25" customHeight="1">
      <c r="A128" t="s">
        <v>16</v>
      </c>
      <c r="B128" t="s">
        <v>3372</v>
      </c>
      <c r="C128" t="s">
        <v>3373</v>
      </c>
      <c r="D128" t="s">
        <v>3372</v>
      </c>
      <c r="E128" t="s">
        <v>3373</v>
      </c>
      <c r="F128" t="s">
        <v>3051</v>
      </c>
      <c r="G128" t="s">
        <v>3374</v>
      </c>
    </row>
    <row r="129" ht="11.25" customHeight="1">
      <c r="A129" t="s">
        <v>16</v>
      </c>
      <c r="B129" t="s">
        <v>100</v>
      </c>
      <c r="C129" t="s">
        <v>3375</v>
      </c>
      <c r="D129" t="s">
        <v>3376</v>
      </c>
      <c r="E129" t="s">
        <v>3377</v>
      </c>
      <c r="F129" t="s">
        <v>3060</v>
      </c>
      <c r="G129" t="s">
        <v>3378</v>
      </c>
    </row>
    <row r="130" ht="11.25" customHeight="1">
      <c r="A130" t="s">
        <v>16</v>
      </c>
      <c r="B130" t="s">
        <v>100</v>
      </c>
      <c r="C130" t="s">
        <v>3375</v>
      </c>
      <c r="D130" t="s">
        <v>3379</v>
      </c>
      <c r="E130" t="s">
        <v>3380</v>
      </c>
      <c r="F130" t="s">
        <v>3060</v>
      </c>
      <c r="G130" t="s">
        <v>3381</v>
      </c>
    </row>
    <row r="131" ht="11.25" customHeight="1">
      <c r="A131" t="s">
        <v>16</v>
      </c>
      <c r="B131" t="s">
        <v>100</v>
      </c>
      <c r="C131" t="s">
        <v>3375</v>
      </c>
      <c r="D131" t="s">
        <v>101</v>
      </c>
      <c r="E131" t="s">
        <v>102</v>
      </c>
      <c r="F131" t="s">
        <v>3214</v>
      </c>
      <c r="G131" t="s">
        <v>99</v>
      </c>
    </row>
    <row r="132" ht="11.25" customHeight="1">
      <c r="A132" t="s">
        <v>16</v>
      </c>
      <c r="B132" t="s">
        <v>100</v>
      </c>
      <c r="C132" t="s">
        <v>3375</v>
      </c>
      <c r="D132" t="s">
        <v>3327</v>
      </c>
      <c r="E132" t="s">
        <v>3382</v>
      </c>
      <c r="F132" t="s">
        <v>3060</v>
      </c>
      <c r="G132" t="s">
        <v>3383</v>
      </c>
    </row>
    <row r="133" ht="11.25" customHeight="1">
      <c r="A133" t="s">
        <v>16</v>
      </c>
      <c r="B133" t="s">
        <v>100</v>
      </c>
      <c r="C133" t="s">
        <v>3375</v>
      </c>
      <c r="D133" t="s">
        <v>3384</v>
      </c>
      <c r="E133" t="s">
        <v>3385</v>
      </c>
      <c r="F133" t="s">
        <v>3060</v>
      </c>
      <c r="G133" t="s">
        <v>3386</v>
      </c>
    </row>
    <row r="134" ht="11.25" customHeight="1">
      <c r="A134" t="s">
        <v>16</v>
      </c>
      <c r="B134" t="s">
        <v>100</v>
      </c>
      <c r="C134" t="s">
        <v>3375</v>
      </c>
      <c r="D134" t="s">
        <v>3387</v>
      </c>
      <c r="E134" t="s">
        <v>3388</v>
      </c>
      <c r="F134" t="s">
        <v>3060</v>
      </c>
      <c r="G134" t="s">
        <v>3389</v>
      </c>
    </row>
    <row r="135" ht="11.25" customHeight="1">
      <c r="A135" t="s">
        <v>16</v>
      </c>
      <c r="B135" t="s">
        <v>100</v>
      </c>
      <c r="C135" t="s">
        <v>3375</v>
      </c>
      <c r="D135" t="s">
        <v>100</v>
      </c>
      <c r="E135" t="s">
        <v>3375</v>
      </c>
      <c r="F135" t="s">
        <v>3054</v>
      </c>
      <c r="G135" t="s">
        <v>3390</v>
      </c>
    </row>
    <row r="136" ht="11.25" customHeight="1">
      <c r="A136" t="s">
        <v>16</v>
      </c>
      <c r="B136" t="s">
        <v>100</v>
      </c>
      <c r="C136" t="s">
        <v>3375</v>
      </c>
      <c r="D136" t="s">
        <v>3391</v>
      </c>
      <c r="E136" t="s">
        <v>3392</v>
      </c>
      <c r="F136" t="s">
        <v>3057</v>
      </c>
      <c r="G136" t="s">
        <v>3393</v>
      </c>
    </row>
    <row r="137" ht="11.25" customHeight="1">
      <c r="A137" t="s">
        <v>16</v>
      </c>
      <c r="B137" t="s">
        <v>100</v>
      </c>
      <c r="C137" t="s">
        <v>3375</v>
      </c>
      <c r="D137" t="s">
        <v>3394</v>
      </c>
      <c r="E137" t="s">
        <v>3395</v>
      </c>
      <c r="F137" t="s">
        <v>3060</v>
      </c>
      <c r="G137" t="s">
        <v>3396</v>
      </c>
    </row>
    <row r="138" ht="11.25" customHeight="1">
      <c r="A138" t="s">
        <v>16</v>
      </c>
      <c r="B138" t="s">
        <v>3397</v>
      </c>
      <c r="C138" t="s">
        <v>3398</v>
      </c>
      <c r="D138" t="s">
        <v>3397</v>
      </c>
      <c r="E138" t="s">
        <v>3398</v>
      </c>
      <c r="F138" t="s">
        <v>3051</v>
      </c>
      <c r="G138" t="s">
        <v>3399</v>
      </c>
    </row>
    <row r="139" ht="11.25" customHeight="1">
      <c r="A139" t="s">
        <v>16</v>
      </c>
      <c r="B139" t="s">
        <v>3400</v>
      </c>
      <c r="C139" t="s">
        <v>3401</v>
      </c>
      <c r="D139" t="s">
        <v>3402</v>
      </c>
      <c r="E139" t="s">
        <v>3403</v>
      </c>
      <c r="F139" t="s">
        <v>3060</v>
      </c>
      <c r="G139" t="s">
        <v>3404</v>
      </c>
    </row>
    <row r="140" ht="11.25" customHeight="1">
      <c r="A140" t="s">
        <v>16</v>
      </c>
      <c r="B140" t="s">
        <v>3400</v>
      </c>
      <c r="C140" t="s">
        <v>3401</v>
      </c>
      <c r="D140" t="s">
        <v>3405</v>
      </c>
      <c r="E140" t="s">
        <v>3406</v>
      </c>
      <c r="F140" t="s">
        <v>3060</v>
      </c>
      <c r="G140" t="s">
        <v>3407</v>
      </c>
    </row>
    <row r="141" ht="11.25" customHeight="1">
      <c r="A141" t="s">
        <v>16</v>
      </c>
      <c r="B141" t="s">
        <v>3400</v>
      </c>
      <c r="C141" t="s">
        <v>3401</v>
      </c>
      <c r="D141" t="s">
        <v>3408</v>
      </c>
      <c r="E141" t="s">
        <v>3409</v>
      </c>
      <c r="F141" t="s">
        <v>3060</v>
      </c>
      <c r="G141" t="s">
        <v>3410</v>
      </c>
    </row>
    <row r="142" ht="11.25" customHeight="1">
      <c r="A142" t="s">
        <v>16</v>
      </c>
      <c r="B142" t="s">
        <v>3400</v>
      </c>
      <c r="C142" t="s">
        <v>3401</v>
      </c>
      <c r="D142" t="s">
        <v>3411</v>
      </c>
      <c r="E142" t="s">
        <v>3412</v>
      </c>
      <c r="F142" t="s">
        <v>3060</v>
      </c>
      <c r="G142" t="s">
        <v>3413</v>
      </c>
    </row>
    <row r="143" ht="11.25" customHeight="1">
      <c r="A143" t="s">
        <v>16</v>
      </c>
      <c r="B143" t="s">
        <v>3400</v>
      </c>
      <c r="C143" t="s">
        <v>3401</v>
      </c>
      <c r="D143" t="s">
        <v>3400</v>
      </c>
      <c r="E143" t="s">
        <v>3401</v>
      </c>
      <c r="F143" t="s">
        <v>3054</v>
      </c>
      <c r="G143" t="s">
        <v>3414</v>
      </c>
    </row>
    <row r="144" ht="11.25" customHeight="1">
      <c r="A144" t="s">
        <v>16</v>
      </c>
      <c r="B144" t="s">
        <v>3400</v>
      </c>
      <c r="C144" t="s">
        <v>3401</v>
      </c>
      <c r="D144" t="s">
        <v>3415</v>
      </c>
      <c r="E144" t="s">
        <v>3416</v>
      </c>
      <c r="F144" t="s">
        <v>3060</v>
      </c>
      <c r="G144" t="s">
        <v>3417</v>
      </c>
    </row>
    <row r="145" ht="11.25" customHeight="1">
      <c r="A145" t="s">
        <v>16</v>
      </c>
      <c r="B145" t="s">
        <v>3400</v>
      </c>
      <c r="C145" t="s">
        <v>3401</v>
      </c>
      <c r="D145" t="s">
        <v>3418</v>
      </c>
      <c r="E145" t="s">
        <v>3419</v>
      </c>
      <c r="F145" t="s">
        <v>3060</v>
      </c>
      <c r="G145" t="s">
        <v>3420</v>
      </c>
    </row>
    <row r="146" ht="11.25" customHeight="1">
      <c r="A146" t="s">
        <v>16</v>
      </c>
      <c r="B146" t="s">
        <v>3421</v>
      </c>
      <c r="C146" t="s">
        <v>3422</v>
      </c>
      <c r="D146" t="s">
        <v>3421</v>
      </c>
      <c r="E146" t="s">
        <v>3422</v>
      </c>
      <c r="F146" t="s">
        <v>3051</v>
      </c>
      <c r="G146" t="s">
        <v>3423</v>
      </c>
    </row>
    <row r="147" ht="11.25" customHeight="1">
      <c r="A147" t="s">
        <v>16</v>
      </c>
      <c r="B147" t="s">
        <v>3424</v>
      </c>
      <c r="C147" t="s">
        <v>3425</v>
      </c>
      <c r="D147" t="s">
        <v>3426</v>
      </c>
      <c r="E147" t="s">
        <v>3427</v>
      </c>
      <c r="F147" t="s">
        <v>3060</v>
      </c>
      <c r="G147" t="s">
        <v>3428</v>
      </c>
    </row>
    <row r="148" ht="11.25" customHeight="1">
      <c r="A148" t="s">
        <v>16</v>
      </c>
      <c r="B148" t="s">
        <v>3424</v>
      </c>
      <c r="C148" t="s">
        <v>3425</v>
      </c>
      <c r="D148" t="s">
        <v>3429</v>
      </c>
      <c r="E148" t="s">
        <v>3430</v>
      </c>
      <c r="F148" t="s">
        <v>3060</v>
      </c>
      <c r="G148" t="s">
        <v>3431</v>
      </c>
    </row>
    <row r="149" ht="11.25" customHeight="1">
      <c r="A149" t="s">
        <v>16</v>
      </c>
      <c r="B149" t="s">
        <v>3424</v>
      </c>
      <c r="C149" t="s">
        <v>3425</v>
      </c>
      <c r="D149" t="s">
        <v>3432</v>
      </c>
      <c r="E149" t="s">
        <v>3433</v>
      </c>
      <c r="F149" t="s">
        <v>3060</v>
      </c>
      <c r="G149" t="s">
        <v>3434</v>
      </c>
    </row>
    <row r="150" ht="11.25" customHeight="1">
      <c r="A150" t="s">
        <v>16</v>
      </c>
      <c r="B150" t="s">
        <v>3424</v>
      </c>
      <c r="C150" t="s">
        <v>3425</v>
      </c>
      <c r="D150" t="s">
        <v>3435</v>
      </c>
      <c r="E150" t="s">
        <v>3436</v>
      </c>
      <c r="F150" t="s">
        <v>3060</v>
      </c>
      <c r="G150" t="s">
        <v>3437</v>
      </c>
    </row>
    <row r="151" ht="11.25" customHeight="1">
      <c r="A151" t="s">
        <v>16</v>
      </c>
      <c r="B151" t="s">
        <v>3424</v>
      </c>
      <c r="C151" t="s">
        <v>3425</v>
      </c>
      <c r="D151" t="s">
        <v>3438</v>
      </c>
      <c r="E151" t="s">
        <v>3439</v>
      </c>
      <c r="F151" t="s">
        <v>3060</v>
      </c>
      <c r="G151" t="s">
        <v>3440</v>
      </c>
    </row>
    <row r="152" ht="11.25" customHeight="1">
      <c r="A152" t="s">
        <v>16</v>
      </c>
      <c r="B152" t="s">
        <v>3424</v>
      </c>
      <c r="C152" t="s">
        <v>3425</v>
      </c>
      <c r="D152" t="s">
        <v>3441</v>
      </c>
      <c r="E152" t="s">
        <v>3442</v>
      </c>
      <c r="F152" t="s">
        <v>3060</v>
      </c>
      <c r="G152" t="s">
        <v>3443</v>
      </c>
    </row>
    <row r="153" ht="11.25" customHeight="1">
      <c r="A153" t="s">
        <v>16</v>
      </c>
      <c r="B153" t="s">
        <v>3424</v>
      </c>
      <c r="C153" t="s">
        <v>3425</v>
      </c>
      <c r="D153" t="s">
        <v>3444</v>
      </c>
      <c r="E153" t="s">
        <v>3445</v>
      </c>
      <c r="F153" t="s">
        <v>3060</v>
      </c>
      <c r="G153" t="s">
        <v>3446</v>
      </c>
    </row>
    <row r="154" ht="11.25" customHeight="1">
      <c r="A154" t="s">
        <v>16</v>
      </c>
      <c r="B154" t="s">
        <v>3424</v>
      </c>
      <c r="C154" t="s">
        <v>3425</v>
      </c>
      <c r="D154" t="s">
        <v>3447</v>
      </c>
      <c r="E154" t="s">
        <v>3448</v>
      </c>
      <c r="F154" t="s">
        <v>3060</v>
      </c>
      <c r="G154" t="s">
        <v>3449</v>
      </c>
    </row>
    <row r="155" ht="11.25" customHeight="1">
      <c r="A155" t="s">
        <v>16</v>
      </c>
      <c r="B155" t="s">
        <v>3424</v>
      </c>
      <c r="C155" t="s">
        <v>3425</v>
      </c>
      <c r="D155" t="s">
        <v>3450</v>
      </c>
      <c r="E155" t="s">
        <v>3451</v>
      </c>
      <c r="F155" t="s">
        <v>3060</v>
      </c>
      <c r="G155" t="s">
        <v>3452</v>
      </c>
    </row>
    <row r="156" ht="11.25" customHeight="1">
      <c r="A156" t="s">
        <v>16</v>
      </c>
      <c r="B156" t="s">
        <v>3424</v>
      </c>
      <c r="C156" t="s">
        <v>3425</v>
      </c>
      <c r="D156" t="s">
        <v>3424</v>
      </c>
      <c r="E156" t="s">
        <v>3425</v>
      </c>
      <c r="F156" t="s">
        <v>3054</v>
      </c>
      <c r="G156" t="s">
        <v>3453</v>
      </c>
    </row>
    <row r="157" ht="11.25" customHeight="1">
      <c r="A157" t="s">
        <v>16</v>
      </c>
      <c r="B157" t="s">
        <v>3424</v>
      </c>
      <c r="C157" t="s">
        <v>3425</v>
      </c>
      <c r="D157" t="s">
        <v>3454</v>
      </c>
      <c r="E157" t="s">
        <v>3455</v>
      </c>
      <c r="F157" t="s">
        <v>3214</v>
      </c>
      <c r="G157" t="s">
        <v>3456</v>
      </c>
    </row>
    <row r="158" ht="11.25" customHeight="1">
      <c r="A158" t="s">
        <v>16</v>
      </c>
      <c r="B158" t="s">
        <v>3424</v>
      </c>
      <c r="C158" t="s">
        <v>3425</v>
      </c>
      <c r="D158" t="s">
        <v>3457</v>
      </c>
      <c r="E158" t="s">
        <v>3458</v>
      </c>
      <c r="F158" t="s">
        <v>3060</v>
      </c>
      <c r="G158" t="s">
        <v>3459</v>
      </c>
    </row>
    <row r="159" ht="11.25" customHeight="1">
      <c r="A159" t="s">
        <v>16</v>
      </c>
      <c r="B159" t="s">
        <v>3424</v>
      </c>
      <c r="C159" t="s">
        <v>3425</v>
      </c>
      <c r="D159" t="s">
        <v>3460</v>
      </c>
      <c r="E159" t="s">
        <v>3461</v>
      </c>
      <c r="F159" t="s">
        <v>3060</v>
      </c>
      <c r="G159" t="s">
        <v>3462</v>
      </c>
    </row>
    <row r="160" ht="11.25" customHeight="1">
      <c r="A160" t="s">
        <v>16</v>
      </c>
      <c r="B160" t="s">
        <v>3424</v>
      </c>
      <c r="C160" t="s">
        <v>3425</v>
      </c>
      <c r="D160" t="s">
        <v>3463</v>
      </c>
      <c r="E160" t="s">
        <v>3464</v>
      </c>
      <c r="F160" t="s">
        <v>3060</v>
      </c>
      <c r="G160" t="s">
        <v>3465</v>
      </c>
    </row>
    <row r="161" ht="11.25" customHeight="1">
      <c r="A161" t="s">
        <v>16</v>
      </c>
      <c r="B161" t="s">
        <v>3466</v>
      </c>
      <c r="C161" t="s">
        <v>3467</v>
      </c>
      <c r="D161" t="s">
        <v>3466</v>
      </c>
      <c r="E161" t="s">
        <v>3467</v>
      </c>
      <c r="F161" t="s">
        <v>3051</v>
      </c>
      <c r="G161" t="s">
        <v>3468</v>
      </c>
    </row>
    <row r="162" ht="11.25" customHeight="1">
      <c r="A162" t="s">
        <v>16</v>
      </c>
      <c r="B162" t="s">
        <v>3469</v>
      </c>
      <c r="C162" t="s">
        <v>3470</v>
      </c>
      <c r="D162" t="s">
        <v>3426</v>
      </c>
      <c r="E162" t="s">
        <v>3471</v>
      </c>
      <c r="F162" t="s">
        <v>3060</v>
      </c>
      <c r="G162" t="s">
        <v>3472</v>
      </c>
    </row>
    <row r="163" ht="11.25" customHeight="1">
      <c r="A163" t="s">
        <v>16</v>
      </c>
      <c r="B163" t="s">
        <v>3469</v>
      </c>
      <c r="C163" t="s">
        <v>3470</v>
      </c>
      <c r="D163" t="s">
        <v>3473</v>
      </c>
      <c r="E163" t="s">
        <v>3474</v>
      </c>
      <c r="F163" t="s">
        <v>3060</v>
      </c>
      <c r="G163" t="s">
        <v>3475</v>
      </c>
    </row>
    <row r="164" ht="11.25" customHeight="1">
      <c r="A164" t="s">
        <v>16</v>
      </c>
      <c r="B164" t="s">
        <v>3469</v>
      </c>
      <c r="C164" t="s">
        <v>3470</v>
      </c>
      <c r="D164" t="s">
        <v>3476</v>
      </c>
      <c r="E164" t="s">
        <v>3477</v>
      </c>
      <c r="F164" t="s">
        <v>3060</v>
      </c>
      <c r="G164" t="s">
        <v>3478</v>
      </c>
    </row>
    <row r="165" ht="11.25" customHeight="1">
      <c r="A165" t="s">
        <v>16</v>
      </c>
      <c r="B165" t="s">
        <v>3469</v>
      </c>
      <c r="C165" t="s">
        <v>3470</v>
      </c>
      <c r="D165" t="s">
        <v>3479</v>
      </c>
      <c r="E165" t="s">
        <v>3480</v>
      </c>
      <c r="F165" t="s">
        <v>3060</v>
      </c>
      <c r="G165" t="s">
        <v>3481</v>
      </c>
    </row>
    <row r="166" ht="11.25" customHeight="1">
      <c r="A166" t="s">
        <v>16</v>
      </c>
      <c r="B166" t="s">
        <v>3469</v>
      </c>
      <c r="C166" t="s">
        <v>3470</v>
      </c>
      <c r="D166" t="s">
        <v>3482</v>
      </c>
      <c r="E166" t="s">
        <v>3483</v>
      </c>
      <c r="F166" t="s">
        <v>3060</v>
      </c>
      <c r="G166" t="s">
        <v>3484</v>
      </c>
    </row>
    <row r="167" ht="11.25" customHeight="1">
      <c r="A167" t="s">
        <v>16</v>
      </c>
      <c r="B167" t="s">
        <v>3469</v>
      </c>
      <c r="C167" t="s">
        <v>3470</v>
      </c>
      <c r="D167" t="s">
        <v>3469</v>
      </c>
      <c r="E167" t="s">
        <v>3470</v>
      </c>
      <c r="F167" t="s">
        <v>3054</v>
      </c>
      <c r="G167" t="s">
        <v>3485</v>
      </c>
    </row>
    <row r="168" ht="11.25" customHeight="1">
      <c r="A168" t="s">
        <v>16</v>
      </c>
      <c r="B168" t="s">
        <v>3469</v>
      </c>
      <c r="C168" t="s">
        <v>3470</v>
      </c>
      <c r="D168" t="s">
        <v>3486</v>
      </c>
      <c r="E168" t="s">
        <v>3487</v>
      </c>
      <c r="F168" t="s">
        <v>3214</v>
      </c>
      <c r="G168" t="s">
        <v>3488</v>
      </c>
    </row>
    <row r="169" ht="11.25" customHeight="1">
      <c r="A169" t="s">
        <v>16</v>
      </c>
      <c r="B169" t="s">
        <v>3489</v>
      </c>
      <c r="C169" t="s">
        <v>3490</v>
      </c>
      <c r="D169" t="s">
        <v>3489</v>
      </c>
      <c r="E169" t="s">
        <v>3490</v>
      </c>
      <c r="F169" t="s">
        <v>3051</v>
      </c>
      <c r="G169" t="s">
        <v>3491</v>
      </c>
    </row>
    <row r="170" ht="11.25" customHeight="1">
      <c r="A170" t="s">
        <v>16</v>
      </c>
      <c r="B170" t="s">
        <v>3492</v>
      </c>
      <c r="C170" t="s">
        <v>3493</v>
      </c>
      <c r="D170" t="s">
        <v>3494</v>
      </c>
      <c r="E170" t="s">
        <v>3495</v>
      </c>
      <c r="F170" t="s">
        <v>3060</v>
      </c>
      <c r="G170" t="s">
        <v>3496</v>
      </c>
    </row>
    <row r="171" ht="11.25" customHeight="1">
      <c r="A171" t="s">
        <v>16</v>
      </c>
      <c r="B171" t="s">
        <v>3492</v>
      </c>
      <c r="C171" t="s">
        <v>3493</v>
      </c>
      <c r="D171" t="s">
        <v>3497</v>
      </c>
      <c r="E171" t="s">
        <v>3498</v>
      </c>
      <c r="F171" t="s">
        <v>3060</v>
      </c>
      <c r="G171" t="s">
        <v>3499</v>
      </c>
    </row>
    <row r="172" ht="11.25" customHeight="1">
      <c r="A172" t="s">
        <v>16</v>
      </c>
      <c r="B172" t="s">
        <v>3492</v>
      </c>
      <c r="C172" t="s">
        <v>3493</v>
      </c>
      <c r="D172" t="s">
        <v>3500</v>
      </c>
      <c r="E172" t="s">
        <v>3501</v>
      </c>
      <c r="F172" t="s">
        <v>3060</v>
      </c>
      <c r="G172" t="s">
        <v>3502</v>
      </c>
    </row>
    <row r="173" ht="11.25" customHeight="1">
      <c r="A173" t="s">
        <v>16</v>
      </c>
      <c r="B173" t="s">
        <v>3492</v>
      </c>
      <c r="C173" t="s">
        <v>3493</v>
      </c>
      <c r="D173" t="s">
        <v>3503</v>
      </c>
      <c r="E173" t="s">
        <v>3504</v>
      </c>
      <c r="F173" t="s">
        <v>3060</v>
      </c>
      <c r="G173" t="s">
        <v>3505</v>
      </c>
    </row>
    <row r="174" ht="11.25" customHeight="1">
      <c r="A174" t="s">
        <v>16</v>
      </c>
      <c r="B174" t="s">
        <v>3492</v>
      </c>
      <c r="C174" t="s">
        <v>3493</v>
      </c>
      <c r="D174" t="s">
        <v>3506</v>
      </c>
      <c r="E174" t="s">
        <v>3507</v>
      </c>
      <c r="F174" t="s">
        <v>3060</v>
      </c>
      <c r="G174" t="s">
        <v>3508</v>
      </c>
    </row>
    <row r="175" ht="11.25" customHeight="1">
      <c r="A175" t="s">
        <v>16</v>
      </c>
      <c r="B175" t="s">
        <v>3492</v>
      </c>
      <c r="C175" t="s">
        <v>3493</v>
      </c>
      <c r="D175" t="s">
        <v>3509</v>
      </c>
      <c r="E175" t="s">
        <v>3510</v>
      </c>
      <c r="F175" t="s">
        <v>3060</v>
      </c>
      <c r="G175" t="s">
        <v>3511</v>
      </c>
    </row>
    <row r="176" ht="11.25" customHeight="1">
      <c r="A176" t="s">
        <v>16</v>
      </c>
      <c r="B176" t="s">
        <v>3492</v>
      </c>
      <c r="C176" t="s">
        <v>3493</v>
      </c>
      <c r="D176" t="s">
        <v>3512</v>
      </c>
      <c r="E176" t="s">
        <v>3513</v>
      </c>
      <c r="F176" t="s">
        <v>3060</v>
      </c>
      <c r="G176" t="s">
        <v>3514</v>
      </c>
    </row>
    <row r="177" ht="11.25" customHeight="1">
      <c r="A177" t="s">
        <v>16</v>
      </c>
      <c r="B177" t="s">
        <v>3492</v>
      </c>
      <c r="C177" t="s">
        <v>3493</v>
      </c>
      <c r="D177" t="s">
        <v>3515</v>
      </c>
      <c r="E177" t="s">
        <v>3516</v>
      </c>
      <c r="F177" t="s">
        <v>3060</v>
      </c>
      <c r="G177" t="s">
        <v>3517</v>
      </c>
    </row>
    <row r="178" ht="11.25" customHeight="1">
      <c r="A178" t="s">
        <v>16</v>
      </c>
      <c r="B178" t="s">
        <v>3492</v>
      </c>
      <c r="C178" t="s">
        <v>3493</v>
      </c>
      <c r="D178" t="s">
        <v>3518</v>
      </c>
      <c r="E178" t="s">
        <v>3519</v>
      </c>
      <c r="F178" t="s">
        <v>3060</v>
      </c>
      <c r="G178" t="s">
        <v>3520</v>
      </c>
    </row>
    <row r="179" ht="11.25" customHeight="1">
      <c r="A179" t="s">
        <v>16</v>
      </c>
      <c r="B179" t="s">
        <v>3492</v>
      </c>
      <c r="C179" t="s">
        <v>3493</v>
      </c>
      <c r="D179" t="s">
        <v>3521</v>
      </c>
      <c r="E179" t="s">
        <v>3522</v>
      </c>
      <c r="F179" t="s">
        <v>3060</v>
      </c>
      <c r="G179" t="s">
        <v>3523</v>
      </c>
    </row>
    <row r="180" ht="11.25" customHeight="1">
      <c r="A180" t="s">
        <v>16</v>
      </c>
      <c r="B180" t="s">
        <v>3492</v>
      </c>
      <c r="C180" t="s">
        <v>3493</v>
      </c>
      <c r="D180" t="s">
        <v>3524</v>
      </c>
      <c r="E180" t="s">
        <v>3525</v>
      </c>
      <c r="F180" t="s">
        <v>3060</v>
      </c>
      <c r="G180" t="s">
        <v>3526</v>
      </c>
    </row>
    <row r="181" ht="11.25" customHeight="1">
      <c r="A181" t="s">
        <v>16</v>
      </c>
      <c r="B181" t="s">
        <v>3492</v>
      </c>
      <c r="C181" t="s">
        <v>3493</v>
      </c>
      <c r="D181" t="s">
        <v>3527</v>
      </c>
      <c r="E181" t="s">
        <v>3528</v>
      </c>
      <c r="F181" t="s">
        <v>3060</v>
      </c>
      <c r="G181" t="s">
        <v>3529</v>
      </c>
    </row>
    <row r="182" ht="11.25" customHeight="1">
      <c r="A182" t="s">
        <v>16</v>
      </c>
      <c r="B182" t="s">
        <v>3492</v>
      </c>
      <c r="C182" t="s">
        <v>3493</v>
      </c>
      <c r="D182" t="s">
        <v>3530</v>
      </c>
      <c r="E182" t="s">
        <v>3531</v>
      </c>
      <c r="F182" t="s">
        <v>3060</v>
      </c>
      <c r="G182" t="s">
        <v>3532</v>
      </c>
    </row>
    <row r="183" ht="11.25" customHeight="1">
      <c r="A183" t="s">
        <v>16</v>
      </c>
      <c r="B183" t="s">
        <v>3492</v>
      </c>
      <c r="C183" t="s">
        <v>3493</v>
      </c>
      <c r="D183" t="s">
        <v>3533</v>
      </c>
      <c r="E183" t="s">
        <v>3534</v>
      </c>
      <c r="F183" t="s">
        <v>3060</v>
      </c>
      <c r="G183" t="s">
        <v>3535</v>
      </c>
    </row>
    <row r="184" ht="11.25" customHeight="1">
      <c r="A184" t="s">
        <v>16</v>
      </c>
      <c r="B184" t="s">
        <v>3492</v>
      </c>
      <c r="C184" t="s">
        <v>3493</v>
      </c>
      <c r="D184" t="s">
        <v>3536</v>
      </c>
      <c r="E184" t="s">
        <v>3537</v>
      </c>
      <c r="F184" t="s">
        <v>3060</v>
      </c>
      <c r="G184" t="s">
        <v>3538</v>
      </c>
    </row>
    <row r="185" ht="11.25" customHeight="1">
      <c r="A185" t="s">
        <v>16</v>
      </c>
      <c r="B185" t="s">
        <v>3492</v>
      </c>
      <c r="C185" t="s">
        <v>3493</v>
      </c>
      <c r="D185" t="s">
        <v>3492</v>
      </c>
      <c r="E185" t="s">
        <v>3493</v>
      </c>
      <c r="F185" t="s">
        <v>3054</v>
      </c>
      <c r="G185" t="s">
        <v>3539</v>
      </c>
    </row>
    <row r="186" ht="11.25" customHeight="1">
      <c r="A186" t="s">
        <v>16</v>
      </c>
      <c r="B186" t="s">
        <v>3492</v>
      </c>
      <c r="C186" t="s">
        <v>3493</v>
      </c>
      <c r="D186" t="s">
        <v>3540</v>
      </c>
      <c r="E186" t="s">
        <v>3541</v>
      </c>
      <c r="F186" t="s">
        <v>3060</v>
      </c>
      <c r="G186" t="s">
        <v>3542</v>
      </c>
    </row>
    <row r="187" ht="11.25" customHeight="1">
      <c r="A187" t="s">
        <v>16</v>
      </c>
      <c r="B187" t="s">
        <v>3492</v>
      </c>
      <c r="C187" t="s">
        <v>3493</v>
      </c>
      <c r="D187" t="s">
        <v>3543</v>
      </c>
      <c r="E187" t="s">
        <v>3544</v>
      </c>
      <c r="F187" t="s">
        <v>3060</v>
      </c>
      <c r="G187" t="s">
        <v>3545</v>
      </c>
    </row>
    <row r="188" ht="11.25" customHeight="1">
      <c r="A188" t="s">
        <v>16</v>
      </c>
      <c r="B188" t="s">
        <v>3492</v>
      </c>
      <c r="C188" t="s">
        <v>3493</v>
      </c>
      <c r="D188" t="s">
        <v>3546</v>
      </c>
      <c r="E188" t="s">
        <v>3547</v>
      </c>
      <c r="F188" t="s">
        <v>3060</v>
      </c>
      <c r="G188" t="s">
        <v>3548</v>
      </c>
    </row>
    <row r="189" ht="11.25" customHeight="1">
      <c r="A189" t="s">
        <v>16</v>
      </c>
      <c r="B189" t="s">
        <v>3549</v>
      </c>
      <c r="C189" t="s">
        <v>3550</v>
      </c>
      <c r="D189" t="s">
        <v>3549</v>
      </c>
      <c r="E189" t="s">
        <v>3550</v>
      </c>
      <c r="F189" t="s">
        <v>3051</v>
      </c>
      <c r="G189" t="s">
        <v>3551</v>
      </c>
    </row>
    <row r="190" ht="11.25" customHeight="1">
      <c r="A190" t="s">
        <v>16</v>
      </c>
      <c r="B190" t="s">
        <v>3552</v>
      </c>
      <c r="C190" t="s">
        <v>3553</v>
      </c>
      <c r="D190" t="s">
        <v>3554</v>
      </c>
      <c r="E190" t="s">
        <v>3555</v>
      </c>
      <c r="F190" t="s">
        <v>3060</v>
      </c>
      <c r="G190" t="s">
        <v>3556</v>
      </c>
    </row>
    <row r="191" ht="11.25" customHeight="1">
      <c r="A191" t="s">
        <v>16</v>
      </c>
      <c r="B191" t="s">
        <v>3552</v>
      </c>
      <c r="C191" t="s">
        <v>3553</v>
      </c>
      <c r="D191" t="s">
        <v>3557</v>
      </c>
      <c r="E191" t="s">
        <v>3558</v>
      </c>
      <c r="F191" t="s">
        <v>3060</v>
      </c>
      <c r="G191" t="s">
        <v>3559</v>
      </c>
    </row>
    <row r="192" ht="11.25" customHeight="1">
      <c r="A192" t="s">
        <v>16</v>
      </c>
      <c r="B192" t="s">
        <v>3552</v>
      </c>
      <c r="C192" t="s">
        <v>3553</v>
      </c>
      <c r="D192" t="s">
        <v>3560</v>
      </c>
      <c r="E192" t="s">
        <v>3561</v>
      </c>
      <c r="F192" t="s">
        <v>3060</v>
      </c>
      <c r="G192" t="s">
        <v>3562</v>
      </c>
    </row>
    <row r="193" ht="11.25" customHeight="1">
      <c r="A193" t="s">
        <v>16</v>
      </c>
      <c r="B193" t="s">
        <v>3552</v>
      </c>
      <c r="C193" t="s">
        <v>3553</v>
      </c>
      <c r="D193" t="s">
        <v>3563</v>
      </c>
      <c r="E193" t="s">
        <v>3564</v>
      </c>
      <c r="F193" t="s">
        <v>3060</v>
      </c>
      <c r="G193" t="s">
        <v>3565</v>
      </c>
    </row>
    <row r="194" ht="11.25" customHeight="1">
      <c r="A194" t="s">
        <v>16</v>
      </c>
      <c r="B194" t="s">
        <v>3552</v>
      </c>
      <c r="C194" t="s">
        <v>3553</v>
      </c>
      <c r="D194" t="s">
        <v>3552</v>
      </c>
      <c r="E194" t="s">
        <v>3553</v>
      </c>
      <c r="F194" t="s">
        <v>3054</v>
      </c>
      <c r="G194" t="s">
        <v>3566</v>
      </c>
    </row>
    <row r="195" ht="11.25" customHeight="1">
      <c r="A195" t="s">
        <v>16</v>
      </c>
      <c r="B195" t="s">
        <v>3552</v>
      </c>
      <c r="C195" t="s">
        <v>3553</v>
      </c>
      <c r="D195" t="s">
        <v>3567</v>
      </c>
      <c r="E195" t="s">
        <v>3568</v>
      </c>
      <c r="F195" t="s">
        <v>3057</v>
      </c>
      <c r="G195" t="s">
        <v>3569</v>
      </c>
    </row>
    <row r="196" ht="11.25" customHeight="1">
      <c r="A196" t="s">
        <v>16</v>
      </c>
      <c r="B196" t="s">
        <v>3570</v>
      </c>
      <c r="C196" t="s">
        <v>3571</v>
      </c>
      <c r="D196" t="s">
        <v>3570</v>
      </c>
      <c r="E196" t="s">
        <v>3571</v>
      </c>
      <c r="F196" t="s">
        <v>3051</v>
      </c>
      <c r="G196" t="s">
        <v>3572</v>
      </c>
    </row>
    <row r="197" ht="11.25" customHeight="1">
      <c r="A197" t="s">
        <v>16</v>
      </c>
      <c r="B197" t="s">
        <v>3573</v>
      </c>
      <c r="C197" t="s">
        <v>3574</v>
      </c>
      <c r="D197" t="s">
        <v>3186</v>
      </c>
      <c r="E197" t="s">
        <v>3575</v>
      </c>
      <c r="F197" t="s">
        <v>3060</v>
      </c>
      <c r="G197" t="s">
        <v>3576</v>
      </c>
    </row>
    <row r="198" ht="11.25" customHeight="1">
      <c r="A198" t="s">
        <v>16</v>
      </c>
      <c r="B198" t="s">
        <v>3573</v>
      </c>
      <c r="C198" t="s">
        <v>3574</v>
      </c>
      <c r="D198" t="s">
        <v>3577</v>
      </c>
      <c r="E198" t="s">
        <v>3578</v>
      </c>
      <c r="F198" t="s">
        <v>3060</v>
      </c>
      <c r="G198" t="s">
        <v>3579</v>
      </c>
    </row>
    <row r="199" ht="11.25" customHeight="1">
      <c r="A199" t="s">
        <v>16</v>
      </c>
      <c r="B199" t="s">
        <v>3573</v>
      </c>
      <c r="C199" t="s">
        <v>3574</v>
      </c>
      <c r="D199" t="s">
        <v>3580</v>
      </c>
      <c r="E199" t="s">
        <v>3581</v>
      </c>
      <c r="F199" t="s">
        <v>3060</v>
      </c>
      <c r="G199" t="s">
        <v>3582</v>
      </c>
    </row>
    <row r="200" ht="11.25" customHeight="1">
      <c r="A200" t="s">
        <v>16</v>
      </c>
      <c r="B200" t="s">
        <v>3573</v>
      </c>
      <c r="C200" t="s">
        <v>3574</v>
      </c>
      <c r="D200" t="s">
        <v>3497</v>
      </c>
      <c r="E200" t="s">
        <v>3583</v>
      </c>
      <c r="F200" t="s">
        <v>3060</v>
      </c>
      <c r="G200" t="s">
        <v>3584</v>
      </c>
    </row>
    <row r="201" ht="11.25" customHeight="1">
      <c r="A201" t="s">
        <v>16</v>
      </c>
      <c r="B201" t="s">
        <v>3573</v>
      </c>
      <c r="C201" t="s">
        <v>3574</v>
      </c>
      <c r="D201" t="s">
        <v>3585</v>
      </c>
      <c r="E201" t="s">
        <v>3586</v>
      </c>
      <c r="F201" t="s">
        <v>3060</v>
      </c>
      <c r="G201" t="s">
        <v>3587</v>
      </c>
    </row>
    <row r="202" ht="11.25" customHeight="1">
      <c r="A202" t="s">
        <v>16</v>
      </c>
      <c r="B202" t="s">
        <v>3573</v>
      </c>
      <c r="C202" t="s">
        <v>3574</v>
      </c>
      <c r="D202" t="s">
        <v>3588</v>
      </c>
      <c r="E202" t="s">
        <v>3589</v>
      </c>
      <c r="F202" t="s">
        <v>3060</v>
      </c>
      <c r="G202" t="s">
        <v>3590</v>
      </c>
    </row>
    <row r="203" ht="11.25" customHeight="1">
      <c r="A203" t="s">
        <v>16</v>
      </c>
      <c r="B203" t="s">
        <v>3573</v>
      </c>
      <c r="C203" t="s">
        <v>3574</v>
      </c>
      <c r="D203" t="s">
        <v>3591</v>
      </c>
      <c r="E203" t="s">
        <v>3592</v>
      </c>
      <c r="F203" t="s">
        <v>3060</v>
      </c>
      <c r="G203" t="s">
        <v>3593</v>
      </c>
    </row>
    <row r="204" ht="11.25" customHeight="1">
      <c r="A204" t="s">
        <v>16</v>
      </c>
      <c r="B204" t="s">
        <v>3573</v>
      </c>
      <c r="C204" t="s">
        <v>3574</v>
      </c>
      <c r="D204" t="s">
        <v>3594</v>
      </c>
      <c r="E204" t="s">
        <v>3595</v>
      </c>
      <c r="F204" t="s">
        <v>3060</v>
      </c>
      <c r="G204" t="s">
        <v>3596</v>
      </c>
    </row>
    <row r="205" ht="11.25" customHeight="1">
      <c r="A205" t="s">
        <v>16</v>
      </c>
      <c r="B205" t="s">
        <v>3573</v>
      </c>
      <c r="C205" t="s">
        <v>3574</v>
      </c>
      <c r="D205" t="s">
        <v>3597</v>
      </c>
      <c r="E205" t="s">
        <v>3598</v>
      </c>
      <c r="F205" t="s">
        <v>3060</v>
      </c>
      <c r="G205" t="s">
        <v>3599</v>
      </c>
    </row>
    <row r="206" ht="11.25" customHeight="1">
      <c r="A206" t="s">
        <v>16</v>
      </c>
      <c r="B206" t="s">
        <v>3573</v>
      </c>
      <c r="C206" t="s">
        <v>3574</v>
      </c>
      <c r="D206" t="s">
        <v>3600</v>
      </c>
      <c r="E206" t="s">
        <v>3601</v>
      </c>
      <c r="F206" t="s">
        <v>3060</v>
      </c>
      <c r="G206" t="s">
        <v>3602</v>
      </c>
    </row>
    <row r="207" ht="11.25" customHeight="1">
      <c r="A207" t="s">
        <v>16</v>
      </c>
      <c r="B207" t="s">
        <v>3573</v>
      </c>
      <c r="C207" t="s">
        <v>3574</v>
      </c>
      <c r="D207" t="s">
        <v>3573</v>
      </c>
      <c r="E207" t="s">
        <v>3574</v>
      </c>
      <c r="F207" t="s">
        <v>3054</v>
      </c>
      <c r="G207" t="s">
        <v>3603</v>
      </c>
    </row>
    <row r="208" ht="11.25" customHeight="1">
      <c r="A208" t="s">
        <v>16</v>
      </c>
      <c r="B208" t="s">
        <v>3573</v>
      </c>
      <c r="C208" t="s">
        <v>3574</v>
      </c>
      <c r="D208" t="s">
        <v>3604</v>
      </c>
      <c r="E208" t="s">
        <v>3605</v>
      </c>
      <c r="F208" t="s">
        <v>3057</v>
      </c>
      <c r="G208" t="s">
        <v>3606</v>
      </c>
    </row>
    <row r="209" ht="11.25" customHeight="1">
      <c r="A209" t="s">
        <v>16</v>
      </c>
      <c r="B209" t="s">
        <v>3573</v>
      </c>
      <c r="C209" t="s">
        <v>3574</v>
      </c>
      <c r="D209" t="s">
        <v>3607</v>
      </c>
      <c r="E209" t="s">
        <v>3608</v>
      </c>
      <c r="F209" t="s">
        <v>3060</v>
      </c>
      <c r="G209" t="s">
        <v>3609</v>
      </c>
    </row>
    <row r="210" ht="11.25" customHeight="1">
      <c r="A210" t="s">
        <v>16</v>
      </c>
      <c r="B210" t="s">
        <v>3573</v>
      </c>
      <c r="C210" t="s">
        <v>3574</v>
      </c>
      <c r="D210" t="s">
        <v>3610</v>
      </c>
      <c r="E210" t="s">
        <v>3611</v>
      </c>
      <c r="F210" t="s">
        <v>3060</v>
      </c>
      <c r="G210" t="s">
        <v>3612</v>
      </c>
    </row>
    <row r="211" ht="11.25" customHeight="1">
      <c r="A211" t="s">
        <v>16</v>
      </c>
      <c r="B211" t="s">
        <v>3573</v>
      </c>
      <c r="C211" t="s">
        <v>3574</v>
      </c>
      <c r="D211" t="s">
        <v>3613</v>
      </c>
      <c r="E211" t="s">
        <v>3614</v>
      </c>
      <c r="F211" t="s">
        <v>3060</v>
      </c>
      <c r="G211" t="s">
        <v>3615</v>
      </c>
    </row>
    <row r="212" ht="11.25" customHeight="1">
      <c r="A212" t="s">
        <v>16</v>
      </c>
      <c r="B212" t="s">
        <v>3616</v>
      </c>
      <c r="C212" t="s">
        <v>3617</v>
      </c>
      <c r="D212" t="s">
        <v>3616</v>
      </c>
      <c r="E212" t="s">
        <v>3617</v>
      </c>
      <c r="F212" t="s">
        <v>3051</v>
      </c>
      <c r="G212" t="s">
        <v>3618</v>
      </c>
    </row>
    <row r="213" ht="11.25" customHeight="1">
      <c r="A213" t="s">
        <v>16</v>
      </c>
      <c r="B213" t="s">
        <v>3619</v>
      </c>
      <c r="C213" t="s">
        <v>3620</v>
      </c>
      <c r="D213" t="s">
        <v>3621</v>
      </c>
      <c r="E213" t="s">
        <v>3622</v>
      </c>
      <c r="F213" t="s">
        <v>3060</v>
      </c>
      <c r="G213" t="s">
        <v>3623</v>
      </c>
    </row>
    <row r="214" ht="11.25" customHeight="1">
      <c r="A214" t="s">
        <v>16</v>
      </c>
      <c r="B214" t="s">
        <v>3619</v>
      </c>
      <c r="C214" t="s">
        <v>3620</v>
      </c>
      <c r="D214" t="s">
        <v>3426</v>
      </c>
      <c r="E214" t="s">
        <v>3624</v>
      </c>
      <c r="F214" t="s">
        <v>3060</v>
      </c>
      <c r="G214" t="s">
        <v>3625</v>
      </c>
    </row>
    <row r="215" ht="11.25" customHeight="1">
      <c r="A215" t="s">
        <v>16</v>
      </c>
      <c r="B215" t="s">
        <v>3619</v>
      </c>
      <c r="C215" t="s">
        <v>3620</v>
      </c>
      <c r="D215" t="s">
        <v>3626</v>
      </c>
      <c r="E215" t="s">
        <v>3627</v>
      </c>
      <c r="F215" t="s">
        <v>3060</v>
      </c>
      <c r="G215" t="s">
        <v>3628</v>
      </c>
    </row>
    <row r="216" ht="11.25" customHeight="1">
      <c r="A216" t="s">
        <v>16</v>
      </c>
      <c r="B216" t="s">
        <v>3619</v>
      </c>
      <c r="C216" t="s">
        <v>3620</v>
      </c>
      <c r="D216" t="s">
        <v>3629</v>
      </c>
      <c r="E216" t="s">
        <v>3630</v>
      </c>
      <c r="F216" t="s">
        <v>3060</v>
      </c>
      <c r="G216" t="s">
        <v>3631</v>
      </c>
    </row>
    <row r="217" ht="11.25" customHeight="1">
      <c r="A217" t="s">
        <v>16</v>
      </c>
      <c r="B217" t="s">
        <v>3619</v>
      </c>
      <c r="C217" t="s">
        <v>3620</v>
      </c>
      <c r="D217" t="s">
        <v>3632</v>
      </c>
      <c r="E217" t="s">
        <v>3633</v>
      </c>
      <c r="F217" t="s">
        <v>3060</v>
      </c>
      <c r="G217" t="s">
        <v>3634</v>
      </c>
    </row>
    <row r="218" ht="11.25" customHeight="1">
      <c r="A218" t="s">
        <v>16</v>
      </c>
      <c r="B218" t="s">
        <v>3619</v>
      </c>
      <c r="C218" t="s">
        <v>3620</v>
      </c>
      <c r="D218" t="s">
        <v>3635</v>
      </c>
      <c r="E218" t="s">
        <v>3636</v>
      </c>
      <c r="F218" t="s">
        <v>3060</v>
      </c>
      <c r="G218" t="s">
        <v>3637</v>
      </c>
    </row>
    <row r="219" ht="11.25" customHeight="1">
      <c r="A219" t="s">
        <v>16</v>
      </c>
      <c r="B219" t="s">
        <v>3619</v>
      </c>
      <c r="C219" t="s">
        <v>3620</v>
      </c>
      <c r="D219" t="s">
        <v>3638</v>
      </c>
      <c r="E219" t="s">
        <v>3639</v>
      </c>
      <c r="F219" t="s">
        <v>3060</v>
      </c>
      <c r="G219" t="s">
        <v>3640</v>
      </c>
    </row>
    <row r="220" ht="11.25" customHeight="1">
      <c r="A220" t="s">
        <v>16</v>
      </c>
      <c r="B220" t="s">
        <v>3619</v>
      </c>
      <c r="C220" t="s">
        <v>3620</v>
      </c>
      <c r="D220" t="s">
        <v>3641</v>
      </c>
      <c r="E220" t="s">
        <v>3642</v>
      </c>
      <c r="F220" t="s">
        <v>3060</v>
      </c>
      <c r="G220" t="s">
        <v>3643</v>
      </c>
    </row>
    <row r="221" ht="11.25" customHeight="1">
      <c r="A221" t="s">
        <v>16</v>
      </c>
      <c r="B221" t="s">
        <v>3619</v>
      </c>
      <c r="C221" t="s">
        <v>3620</v>
      </c>
      <c r="D221" t="s">
        <v>3644</v>
      </c>
      <c r="E221" t="s">
        <v>3645</v>
      </c>
      <c r="F221" t="s">
        <v>3060</v>
      </c>
      <c r="G221" t="s">
        <v>3646</v>
      </c>
    </row>
    <row r="222" ht="11.25" customHeight="1">
      <c r="A222" t="s">
        <v>16</v>
      </c>
      <c r="B222" t="s">
        <v>3619</v>
      </c>
      <c r="C222" t="s">
        <v>3620</v>
      </c>
      <c r="D222" t="s">
        <v>3647</v>
      </c>
      <c r="E222" t="s">
        <v>3648</v>
      </c>
      <c r="F222" t="s">
        <v>3060</v>
      </c>
      <c r="G222" t="s">
        <v>3649</v>
      </c>
    </row>
    <row r="223" ht="11.25" customHeight="1">
      <c r="A223" t="s">
        <v>16</v>
      </c>
      <c r="B223" t="s">
        <v>3619</v>
      </c>
      <c r="C223" t="s">
        <v>3620</v>
      </c>
      <c r="D223" t="s">
        <v>3650</v>
      </c>
      <c r="E223" t="s">
        <v>3651</v>
      </c>
      <c r="F223" t="s">
        <v>3060</v>
      </c>
      <c r="G223" t="s">
        <v>3652</v>
      </c>
    </row>
    <row r="224" ht="11.25" customHeight="1">
      <c r="A224" t="s">
        <v>16</v>
      </c>
      <c r="B224" t="s">
        <v>3619</v>
      </c>
      <c r="C224" t="s">
        <v>3620</v>
      </c>
      <c r="D224" t="s">
        <v>3653</v>
      </c>
      <c r="E224" t="s">
        <v>3654</v>
      </c>
      <c r="F224" t="s">
        <v>3060</v>
      </c>
      <c r="G224" t="s">
        <v>3655</v>
      </c>
    </row>
    <row r="225" ht="11.25" customHeight="1">
      <c r="A225" t="s">
        <v>16</v>
      </c>
      <c r="B225" t="s">
        <v>3619</v>
      </c>
      <c r="C225" t="s">
        <v>3620</v>
      </c>
      <c r="D225" t="s">
        <v>3656</v>
      </c>
      <c r="E225" t="s">
        <v>3657</v>
      </c>
      <c r="F225" t="s">
        <v>3060</v>
      </c>
      <c r="G225" t="s">
        <v>3658</v>
      </c>
    </row>
    <row r="226" ht="11.25" customHeight="1">
      <c r="A226" t="s">
        <v>16</v>
      </c>
      <c r="B226" t="s">
        <v>3619</v>
      </c>
      <c r="C226" t="s">
        <v>3620</v>
      </c>
      <c r="D226" t="s">
        <v>3619</v>
      </c>
      <c r="E226" t="s">
        <v>3620</v>
      </c>
      <c r="F226" t="s">
        <v>3054</v>
      </c>
      <c r="G226" t="s">
        <v>3659</v>
      </c>
    </row>
    <row r="227" ht="11.25" customHeight="1">
      <c r="A227" t="s">
        <v>16</v>
      </c>
      <c r="B227" t="s">
        <v>3619</v>
      </c>
      <c r="C227" t="s">
        <v>3620</v>
      </c>
      <c r="D227" t="s">
        <v>3660</v>
      </c>
      <c r="E227" t="s">
        <v>3661</v>
      </c>
      <c r="F227" t="s">
        <v>3060</v>
      </c>
      <c r="G227" t="s">
        <v>3662</v>
      </c>
    </row>
    <row r="228" ht="11.25" customHeight="1">
      <c r="A228" t="s">
        <v>16</v>
      </c>
      <c r="B228" t="s">
        <v>3619</v>
      </c>
      <c r="C228" t="s">
        <v>3620</v>
      </c>
      <c r="D228" t="s">
        <v>3663</v>
      </c>
      <c r="E228" t="s">
        <v>3664</v>
      </c>
      <c r="F228" t="s">
        <v>3060</v>
      </c>
      <c r="G228" t="s">
        <v>3665</v>
      </c>
    </row>
    <row r="229" ht="11.25" customHeight="1">
      <c r="A229" t="s">
        <v>16</v>
      </c>
      <c r="B229" t="s">
        <v>3666</v>
      </c>
      <c r="C229" t="s">
        <v>3667</v>
      </c>
      <c r="D229" t="s">
        <v>3666</v>
      </c>
      <c r="E229" t="s">
        <v>3667</v>
      </c>
      <c r="F229" t="s">
        <v>3051</v>
      </c>
      <c r="G229" t="s">
        <v>3668</v>
      </c>
    </row>
    <row r="230" ht="11.25" customHeight="1">
      <c r="A230" t="s">
        <v>16</v>
      </c>
      <c r="B230" t="s">
        <v>3669</v>
      </c>
      <c r="C230" t="s">
        <v>3670</v>
      </c>
      <c r="D230" t="s">
        <v>3671</v>
      </c>
      <c r="E230" t="s">
        <v>3672</v>
      </c>
      <c r="F230" t="s">
        <v>3060</v>
      </c>
      <c r="G230" t="s">
        <v>3673</v>
      </c>
    </row>
    <row r="231" ht="11.25" customHeight="1">
      <c r="A231" t="s">
        <v>16</v>
      </c>
      <c r="B231" t="s">
        <v>3669</v>
      </c>
      <c r="C231" t="s">
        <v>3670</v>
      </c>
      <c r="D231" t="s">
        <v>3674</v>
      </c>
      <c r="E231" t="s">
        <v>3675</v>
      </c>
      <c r="F231" t="s">
        <v>3060</v>
      </c>
      <c r="G231" t="s">
        <v>3676</v>
      </c>
    </row>
    <row r="232" ht="11.25" customHeight="1">
      <c r="A232" t="s">
        <v>16</v>
      </c>
      <c r="B232" t="s">
        <v>3669</v>
      </c>
      <c r="C232" t="s">
        <v>3670</v>
      </c>
      <c r="D232" t="s">
        <v>3677</v>
      </c>
      <c r="E232" t="s">
        <v>3678</v>
      </c>
      <c r="F232" t="s">
        <v>3060</v>
      </c>
      <c r="G232" t="s">
        <v>3679</v>
      </c>
    </row>
    <row r="233" ht="11.25" customHeight="1">
      <c r="A233" t="s">
        <v>16</v>
      </c>
      <c r="B233" t="s">
        <v>3669</v>
      </c>
      <c r="C233" t="s">
        <v>3670</v>
      </c>
      <c r="D233" t="s">
        <v>3680</v>
      </c>
      <c r="E233" t="s">
        <v>3681</v>
      </c>
      <c r="F233" t="s">
        <v>3060</v>
      </c>
      <c r="G233" t="s">
        <v>3682</v>
      </c>
    </row>
    <row r="234" ht="11.25" customHeight="1">
      <c r="A234" t="s">
        <v>16</v>
      </c>
      <c r="B234" t="s">
        <v>3669</v>
      </c>
      <c r="C234" t="s">
        <v>3670</v>
      </c>
      <c r="D234" t="s">
        <v>3683</v>
      </c>
      <c r="E234" t="s">
        <v>3684</v>
      </c>
      <c r="F234" t="s">
        <v>3057</v>
      </c>
      <c r="G234" t="s">
        <v>3685</v>
      </c>
    </row>
    <row r="235" ht="11.25" customHeight="1">
      <c r="A235" t="s">
        <v>16</v>
      </c>
      <c r="B235" t="s">
        <v>3669</v>
      </c>
      <c r="C235" t="s">
        <v>3670</v>
      </c>
      <c r="D235" t="s">
        <v>3686</v>
      </c>
      <c r="E235" t="s">
        <v>3687</v>
      </c>
      <c r="F235" t="s">
        <v>3057</v>
      </c>
      <c r="G235" t="s">
        <v>3688</v>
      </c>
    </row>
    <row r="236" ht="11.25" customHeight="1">
      <c r="A236" t="s">
        <v>16</v>
      </c>
      <c r="B236" t="s">
        <v>3669</v>
      </c>
      <c r="C236" t="s">
        <v>3670</v>
      </c>
      <c r="D236" t="s">
        <v>3536</v>
      </c>
      <c r="E236" t="s">
        <v>3689</v>
      </c>
      <c r="F236" t="s">
        <v>3060</v>
      </c>
      <c r="G236" t="s">
        <v>3690</v>
      </c>
    </row>
    <row r="237" ht="11.25" customHeight="1">
      <c r="A237" t="s">
        <v>16</v>
      </c>
      <c r="B237" t="s">
        <v>3669</v>
      </c>
      <c r="C237" t="s">
        <v>3670</v>
      </c>
      <c r="D237" t="s">
        <v>3669</v>
      </c>
      <c r="E237" t="s">
        <v>3670</v>
      </c>
      <c r="F237" t="s">
        <v>3054</v>
      </c>
      <c r="G237" t="s">
        <v>3691</v>
      </c>
    </row>
    <row r="238" ht="11.25" customHeight="1">
      <c r="A238" t="s">
        <v>16</v>
      </c>
      <c r="B238" t="s">
        <v>3669</v>
      </c>
      <c r="C238" t="s">
        <v>3670</v>
      </c>
      <c r="D238" t="s">
        <v>3692</v>
      </c>
      <c r="E238" t="s">
        <v>3693</v>
      </c>
      <c r="F238" t="s">
        <v>3060</v>
      </c>
      <c r="G238" t="s">
        <v>3694</v>
      </c>
    </row>
    <row r="239" ht="11.25" customHeight="1">
      <c r="A239" t="s">
        <v>16</v>
      </c>
      <c r="B239" t="s">
        <v>3669</v>
      </c>
      <c r="C239" t="s">
        <v>3670</v>
      </c>
      <c r="D239" t="s">
        <v>3695</v>
      </c>
      <c r="E239" t="s">
        <v>3696</v>
      </c>
      <c r="F239" t="s">
        <v>3060</v>
      </c>
      <c r="G239" t="s">
        <v>3697</v>
      </c>
    </row>
    <row r="240" ht="11.25" customHeight="1">
      <c r="A240" t="s">
        <v>16</v>
      </c>
      <c r="B240" t="s">
        <v>3698</v>
      </c>
      <c r="C240" t="s">
        <v>3699</v>
      </c>
      <c r="D240" t="s">
        <v>3698</v>
      </c>
      <c r="E240" t="s">
        <v>3699</v>
      </c>
      <c r="F240" t="s">
        <v>3051</v>
      </c>
      <c r="G240" t="s">
        <v>3700</v>
      </c>
    </row>
    <row r="241" ht="11.25" customHeight="1">
      <c r="A241" t="s">
        <v>16</v>
      </c>
      <c r="B241" t="s">
        <v>3701</v>
      </c>
      <c r="C241" t="s">
        <v>3702</v>
      </c>
      <c r="D241" t="s">
        <v>3703</v>
      </c>
      <c r="E241" t="s">
        <v>3704</v>
      </c>
      <c r="F241" t="s">
        <v>3060</v>
      </c>
      <c r="G241" t="s">
        <v>3705</v>
      </c>
    </row>
    <row r="242" ht="11.25" customHeight="1">
      <c r="A242" t="s">
        <v>16</v>
      </c>
      <c r="B242" t="s">
        <v>3701</v>
      </c>
      <c r="C242" t="s">
        <v>3702</v>
      </c>
      <c r="D242" t="s">
        <v>3632</v>
      </c>
      <c r="E242" t="s">
        <v>3706</v>
      </c>
      <c r="F242" t="s">
        <v>3060</v>
      </c>
      <c r="G242" t="s">
        <v>3707</v>
      </c>
    </row>
    <row r="243" ht="11.25" customHeight="1">
      <c r="A243" t="s">
        <v>16</v>
      </c>
      <c r="B243" t="s">
        <v>3701</v>
      </c>
      <c r="C243" t="s">
        <v>3702</v>
      </c>
      <c r="D243" t="s">
        <v>3708</v>
      </c>
      <c r="E243" t="s">
        <v>3709</v>
      </c>
      <c r="F243" t="s">
        <v>3060</v>
      </c>
      <c r="G243" t="s">
        <v>3710</v>
      </c>
    </row>
    <row r="244" ht="11.25" customHeight="1">
      <c r="A244" t="s">
        <v>16</v>
      </c>
      <c r="B244" t="s">
        <v>3701</v>
      </c>
      <c r="C244" t="s">
        <v>3702</v>
      </c>
      <c r="D244" t="s">
        <v>3711</v>
      </c>
      <c r="E244" t="s">
        <v>3712</v>
      </c>
      <c r="F244" t="s">
        <v>3060</v>
      </c>
      <c r="G244" t="s">
        <v>3713</v>
      </c>
    </row>
    <row r="245" ht="11.25" customHeight="1">
      <c r="A245" t="s">
        <v>16</v>
      </c>
      <c r="B245" t="s">
        <v>3701</v>
      </c>
      <c r="C245" t="s">
        <v>3702</v>
      </c>
      <c r="D245" t="s">
        <v>3714</v>
      </c>
      <c r="E245" t="s">
        <v>3715</v>
      </c>
      <c r="F245" t="s">
        <v>3060</v>
      </c>
      <c r="G245" t="s">
        <v>3716</v>
      </c>
    </row>
    <row r="246" ht="11.25" customHeight="1">
      <c r="A246" t="s">
        <v>16</v>
      </c>
      <c r="B246" t="s">
        <v>3701</v>
      </c>
      <c r="C246" t="s">
        <v>3702</v>
      </c>
      <c r="D246" t="s">
        <v>3717</v>
      </c>
      <c r="E246" t="s">
        <v>3718</v>
      </c>
      <c r="F246" t="s">
        <v>3060</v>
      </c>
      <c r="G246" t="s">
        <v>3719</v>
      </c>
    </row>
    <row r="247" ht="11.25" customHeight="1">
      <c r="A247" t="s">
        <v>16</v>
      </c>
      <c r="B247" t="s">
        <v>3701</v>
      </c>
      <c r="C247" t="s">
        <v>3702</v>
      </c>
      <c r="D247" t="s">
        <v>3720</v>
      </c>
      <c r="E247" t="s">
        <v>3721</v>
      </c>
      <c r="F247" t="s">
        <v>3060</v>
      </c>
      <c r="G247" t="s">
        <v>3722</v>
      </c>
    </row>
    <row r="248" ht="11.25" customHeight="1">
      <c r="A248" t="s">
        <v>16</v>
      </c>
      <c r="B248" t="s">
        <v>3701</v>
      </c>
      <c r="C248" t="s">
        <v>3702</v>
      </c>
      <c r="D248" t="s">
        <v>3723</v>
      </c>
      <c r="E248" t="s">
        <v>3724</v>
      </c>
      <c r="F248" t="s">
        <v>3060</v>
      </c>
      <c r="G248" t="s">
        <v>3725</v>
      </c>
    </row>
    <row r="249" ht="11.25" customHeight="1">
      <c r="A249" t="s">
        <v>16</v>
      </c>
      <c r="B249" t="s">
        <v>3701</v>
      </c>
      <c r="C249" t="s">
        <v>3702</v>
      </c>
      <c r="D249" t="s">
        <v>3726</v>
      </c>
      <c r="E249" t="s">
        <v>3727</v>
      </c>
      <c r="F249" t="s">
        <v>3060</v>
      </c>
      <c r="G249" t="s">
        <v>3728</v>
      </c>
    </row>
    <row r="250" ht="11.25" customHeight="1">
      <c r="A250" t="s">
        <v>16</v>
      </c>
      <c r="B250" t="s">
        <v>3701</v>
      </c>
      <c r="C250" t="s">
        <v>3702</v>
      </c>
      <c r="D250" t="s">
        <v>3729</v>
      </c>
      <c r="E250" t="s">
        <v>3730</v>
      </c>
      <c r="F250" t="s">
        <v>3060</v>
      </c>
      <c r="G250" t="s">
        <v>3731</v>
      </c>
    </row>
    <row r="251" ht="11.25" customHeight="1">
      <c r="A251" t="s">
        <v>16</v>
      </c>
      <c r="B251" t="s">
        <v>3701</v>
      </c>
      <c r="C251" t="s">
        <v>3702</v>
      </c>
      <c r="D251" t="s">
        <v>3732</v>
      </c>
      <c r="E251" t="s">
        <v>3733</v>
      </c>
      <c r="F251" t="s">
        <v>3060</v>
      </c>
      <c r="G251" t="s">
        <v>3734</v>
      </c>
    </row>
    <row r="252" ht="11.25" customHeight="1">
      <c r="A252" t="s">
        <v>16</v>
      </c>
      <c r="B252" t="s">
        <v>3701</v>
      </c>
      <c r="C252" t="s">
        <v>3702</v>
      </c>
      <c r="D252" t="s">
        <v>3735</v>
      </c>
      <c r="E252" t="s">
        <v>3736</v>
      </c>
      <c r="F252" t="s">
        <v>3060</v>
      </c>
      <c r="G252" t="s">
        <v>3737</v>
      </c>
    </row>
    <row r="253" ht="11.25" customHeight="1">
      <c r="A253" t="s">
        <v>16</v>
      </c>
      <c r="B253" t="s">
        <v>3701</v>
      </c>
      <c r="C253" t="s">
        <v>3702</v>
      </c>
      <c r="D253" t="s">
        <v>3738</v>
      </c>
      <c r="E253" t="s">
        <v>3739</v>
      </c>
      <c r="F253" t="s">
        <v>3060</v>
      </c>
      <c r="G253" t="s">
        <v>3740</v>
      </c>
    </row>
    <row r="254" ht="11.25" customHeight="1">
      <c r="A254" t="s">
        <v>16</v>
      </c>
      <c r="B254" t="s">
        <v>3701</v>
      </c>
      <c r="C254" t="s">
        <v>3702</v>
      </c>
      <c r="D254" t="s">
        <v>3741</v>
      </c>
      <c r="E254" t="s">
        <v>3742</v>
      </c>
      <c r="F254" t="s">
        <v>3214</v>
      </c>
      <c r="G254" t="s">
        <v>3743</v>
      </c>
    </row>
    <row r="255" ht="11.25" customHeight="1">
      <c r="A255" t="s">
        <v>16</v>
      </c>
      <c r="B255" t="s">
        <v>3701</v>
      </c>
      <c r="C255" t="s">
        <v>3702</v>
      </c>
      <c r="D255" t="s">
        <v>3701</v>
      </c>
      <c r="E255" t="s">
        <v>3702</v>
      </c>
      <c r="F255" t="s">
        <v>3054</v>
      </c>
      <c r="G255" t="s">
        <v>3744</v>
      </c>
    </row>
    <row r="256" ht="11.25" customHeight="1">
      <c r="A256" t="s">
        <v>16</v>
      </c>
      <c r="B256" t="s">
        <v>3701</v>
      </c>
      <c r="C256" t="s">
        <v>3702</v>
      </c>
      <c r="D256" t="s">
        <v>3745</v>
      </c>
      <c r="E256" t="s">
        <v>3746</v>
      </c>
      <c r="F256" t="s">
        <v>3060</v>
      </c>
      <c r="G256" t="s">
        <v>3747</v>
      </c>
    </row>
    <row r="257" ht="11.25" customHeight="1">
      <c r="A257" t="s">
        <v>16</v>
      </c>
      <c r="B257" t="s">
        <v>3701</v>
      </c>
      <c r="C257" t="s">
        <v>3702</v>
      </c>
      <c r="D257" t="s">
        <v>3748</v>
      </c>
      <c r="E257" t="s">
        <v>3749</v>
      </c>
      <c r="F257" t="s">
        <v>3060</v>
      </c>
      <c r="G257" t="s">
        <v>3750</v>
      </c>
    </row>
    <row r="258" ht="11.25" customHeight="1">
      <c r="A258" t="s">
        <v>16</v>
      </c>
      <c r="B258" t="s">
        <v>3751</v>
      </c>
      <c r="C258" t="s">
        <v>3752</v>
      </c>
      <c r="D258" t="s">
        <v>3751</v>
      </c>
      <c r="E258" t="s">
        <v>3752</v>
      </c>
      <c r="F258" t="s">
        <v>3051</v>
      </c>
      <c r="G258" t="s">
        <v>3753</v>
      </c>
    </row>
    <row r="259" ht="11.25" customHeight="1">
      <c r="A259" t="s">
        <v>16</v>
      </c>
      <c r="B259" t="s">
        <v>3754</v>
      </c>
      <c r="C259" t="s">
        <v>3755</v>
      </c>
      <c r="D259" t="s">
        <v>3756</v>
      </c>
      <c r="E259" t="s">
        <v>3757</v>
      </c>
      <c r="F259" t="s">
        <v>3060</v>
      </c>
      <c r="G259" t="s">
        <v>3758</v>
      </c>
    </row>
    <row r="260" ht="11.25" customHeight="1">
      <c r="A260" t="s">
        <v>16</v>
      </c>
      <c r="B260" t="s">
        <v>3754</v>
      </c>
      <c r="C260" t="s">
        <v>3755</v>
      </c>
      <c r="D260" t="s">
        <v>3759</v>
      </c>
      <c r="E260" t="s">
        <v>3760</v>
      </c>
      <c r="F260" t="s">
        <v>3060</v>
      </c>
      <c r="G260" t="s">
        <v>3761</v>
      </c>
    </row>
    <row r="261" ht="11.25" customHeight="1">
      <c r="A261" t="s">
        <v>16</v>
      </c>
      <c r="B261" t="s">
        <v>3754</v>
      </c>
      <c r="C261" t="s">
        <v>3755</v>
      </c>
      <c r="D261" t="s">
        <v>3762</v>
      </c>
      <c r="E261" t="s">
        <v>3763</v>
      </c>
      <c r="F261" t="s">
        <v>3060</v>
      </c>
      <c r="G261" t="s">
        <v>3764</v>
      </c>
    </row>
    <row r="262" ht="11.25" customHeight="1">
      <c r="A262" t="s">
        <v>16</v>
      </c>
      <c r="B262" t="s">
        <v>3754</v>
      </c>
      <c r="C262" t="s">
        <v>3755</v>
      </c>
      <c r="D262" t="s">
        <v>3765</v>
      </c>
      <c r="E262" t="s">
        <v>3766</v>
      </c>
      <c r="F262" t="s">
        <v>3060</v>
      </c>
      <c r="G262" t="s">
        <v>3767</v>
      </c>
    </row>
    <row r="263" ht="11.25" customHeight="1">
      <c r="A263" t="s">
        <v>16</v>
      </c>
      <c r="B263" t="s">
        <v>3754</v>
      </c>
      <c r="C263" t="s">
        <v>3755</v>
      </c>
      <c r="D263" t="s">
        <v>3768</v>
      </c>
      <c r="E263" t="s">
        <v>3769</v>
      </c>
      <c r="F263" t="s">
        <v>3060</v>
      </c>
      <c r="G263" t="s">
        <v>3770</v>
      </c>
    </row>
    <row r="264" ht="11.25" customHeight="1">
      <c r="A264" t="s">
        <v>16</v>
      </c>
      <c r="B264" t="s">
        <v>3754</v>
      </c>
      <c r="C264" t="s">
        <v>3755</v>
      </c>
      <c r="D264" t="s">
        <v>3754</v>
      </c>
      <c r="E264" t="s">
        <v>3755</v>
      </c>
      <c r="F264" t="s">
        <v>3054</v>
      </c>
      <c r="G264" t="s">
        <v>3771</v>
      </c>
    </row>
    <row r="265" ht="11.25" customHeight="1">
      <c r="A265" t="s">
        <v>16</v>
      </c>
      <c r="B265" t="s">
        <v>3754</v>
      </c>
      <c r="C265" t="s">
        <v>3755</v>
      </c>
      <c r="D265" t="s">
        <v>3772</v>
      </c>
      <c r="E265" t="s">
        <v>3773</v>
      </c>
      <c r="F265" t="s">
        <v>3057</v>
      </c>
      <c r="G265" t="s">
        <v>3774</v>
      </c>
    </row>
    <row r="266" ht="11.25" customHeight="1">
      <c r="A266" t="s">
        <v>16</v>
      </c>
      <c r="B266" t="s">
        <v>3754</v>
      </c>
      <c r="C266" t="s">
        <v>3755</v>
      </c>
      <c r="D266" t="s">
        <v>3775</v>
      </c>
      <c r="E266" t="s">
        <v>3776</v>
      </c>
      <c r="F266" t="s">
        <v>3060</v>
      </c>
      <c r="G266" t="s">
        <v>3777</v>
      </c>
    </row>
    <row r="267" ht="11.25" customHeight="1">
      <c r="A267" t="s">
        <v>16</v>
      </c>
      <c r="B267" t="s">
        <v>3778</v>
      </c>
      <c r="C267" t="s">
        <v>3779</v>
      </c>
      <c r="D267" t="s">
        <v>3778</v>
      </c>
      <c r="E267" t="s">
        <v>3779</v>
      </c>
      <c r="F267" t="s">
        <v>3051</v>
      </c>
      <c r="G267" t="s">
        <v>3780</v>
      </c>
    </row>
    <row r="268" ht="11.25" customHeight="1">
      <c r="A268" t="s">
        <v>16</v>
      </c>
      <c r="B268" t="s">
        <v>3781</v>
      </c>
      <c r="C268" t="s">
        <v>3782</v>
      </c>
      <c r="D268" t="s">
        <v>3783</v>
      </c>
      <c r="E268" t="s">
        <v>3784</v>
      </c>
      <c r="F268" t="s">
        <v>3060</v>
      </c>
      <c r="G268" t="s">
        <v>3785</v>
      </c>
    </row>
    <row r="269" ht="11.25" customHeight="1">
      <c r="A269" t="s">
        <v>16</v>
      </c>
      <c r="B269" t="s">
        <v>3781</v>
      </c>
      <c r="C269" t="s">
        <v>3782</v>
      </c>
      <c r="D269" t="s">
        <v>3786</v>
      </c>
      <c r="E269" t="s">
        <v>3787</v>
      </c>
      <c r="F269" t="s">
        <v>3060</v>
      </c>
      <c r="G269" t="s">
        <v>3788</v>
      </c>
    </row>
    <row r="270" ht="11.25" customHeight="1">
      <c r="A270" t="s">
        <v>16</v>
      </c>
      <c r="B270" t="s">
        <v>3781</v>
      </c>
      <c r="C270" t="s">
        <v>3782</v>
      </c>
      <c r="D270" t="s">
        <v>3789</v>
      </c>
      <c r="E270" t="s">
        <v>3790</v>
      </c>
      <c r="F270" t="s">
        <v>3060</v>
      </c>
      <c r="G270" t="s">
        <v>3791</v>
      </c>
    </row>
    <row r="271" ht="11.25" customHeight="1">
      <c r="A271" t="s">
        <v>16</v>
      </c>
      <c r="B271" t="s">
        <v>3781</v>
      </c>
      <c r="C271" t="s">
        <v>3782</v>
      </c>
      <c r="D271" t="s">
        <v>3792</v>
      </c>
      <c r="E271" t="s">
        <v>3793</v>
      </c>
      <c r="F271" t="s">
        <v>3060</v>
      </c>
      <c r="G271" t="s">
        <v>3794</v>
      </c>
    </row>
    <row r="272" ht="11.25" customHeight="1">
      <c r="A272" t="s">
        <v>16</v>
      </c>
      <c r="B272" t="s">
        <v>3781</v>
      </c>
      <c r="C272" t="s">
        <v>3782</v>
      </c>
      <c r="D272" t="s">
        <v>3781</v>
      </c>
      <c r="E272" t="s">
        <v>3782</v>
      </c>
      <c r="F272" t="s">
        <v>3054</v>
      </c>
      <c r="G272" t="s">
        <v>3795</v>
      </c>
    </row>
    <row r="273" ht="11.25" customHeight="1">
      <c r="A273" t="s">
        <v>16</v>
      </c>
      <c r="B273" t="s">
        <v>3781</v>
      </c>
      <c r="C273" t="s">
        <v>3782</v>
      </c>
      <c r="D273" t="s">
        <v>3796</v>
      </c>
      <c r="E273" t="s">
        <v>3797</v>
      </c>
      <c r="F273" t="s">
        <v>3057</v>
      </c>
      <c r="G273" t="s">
        <v>3798</v>
      </c>
    </row>
    <row r="274" ht="11.25" customHeight="1">
      <c r="A274" t="s">
        <v>16</v>
      </c>
      <c r="B274" t="s">
        <v>3799</v>
      </c>
      <c r="C274" t="s">
        <v>3800</v>
      </c>
      <c r="D274" t="s">
        <v>3799</v>
      </c>
      <c r="E274" t="s">
        <v>3800</v>
      </c>
      <c r="F274" t="s">
        <v>3051</v>
      </c>
      <c r="G274" t="s">
        <v>3801</v>
      </c>
    </row>
    <row r="275" ht="11.25" customHeight="1">
      <c r="A275" t="s">
        <v>16</v>
      </c>
      <c r="B275" t="s">
        <v>3802</v>
      </c>
      <c r="C275" t="s">
        <v>3803</v>
      </c>
      <c r="D275" t="s">
        <v>3804</v>
      </c>
      <c r="E275" t="s">
        <v>3805</v>
      </c>
      <c r="F275" t="s">
        <v>3060</v>
      </c>
      <c r="G275" t="s">
        <v>3806</v>
      </c>
    </row>
    <row r="276" ht="11.25" customHeight="1">
      <c r="A276" t="s">
        <v>16</v>
      </c>
      <c r="B276" t="s">
        <v>3802</v>
      </c>
      <c r="C276" t="s">
        <v>3803</v>
      </c>
      <c r="D276" t="s">
        <v>3807</v>
      </c>
      <c r="E276" t="s">
        <v>3808</v>
      </c>
      <c r="F276" t="s">
        <v>3060</v>
      </c>
      <c r="G276" t="s">
        <v>3809</v>
      </c>
    </row>
    <row r="277" ht="11.25" customHeight="1">
      <c r="A277" t="s">
        <v>16</v>
      </c>
      <c r="B277" t="s">
        <v>3802</v>
      </c>
      <c r="C277" t="s">
        <v>3803</v>
      </c>
      <c r="D277" t="s">
        <v>3810</v>
      </c>
      <c r="E277" t="s">
        <v>3811</v>
      </c>
      <c r="F277" t="s">
        <v>3060</v>
      </c>
      <c r="G277" t="s">
        <v>3812</v>
      </c>
    </row>
    <row r="278" ht="11.25" customHeight="1">
      <c r="A278" t="s">
        <v>16</v>
      </c>
      <c r="B278" t="s">
        <v>3802</v>
      </c>
      <c r="C278" t="s">
        <v>3803</v>
      </c>
      <c r="D278" t="s">
        <v>3813</v>
      </c>
      <c r="E278" t="s">
        <v>3814</v>
      </c>
      <c r="F278" t="s">
        <v>3060</v>
      </c>
      <c r="G278" t="s">
        <v>3815</v>
      </c>
    </row>
    <row r="279" ht="11.25" customHeight="1">
      <c r="A279" t="s">
        <v>16</v>
      </c>
      <c r="B279" t="s">
        <v>3802</v>
      </c>
      <c r="C279" t="s">
        <v>3803</v>
      </c>
      <c r="D279" t="s">
        <v>3816</v>
      </c>
      <c r="E279" t="s">
        <v>3817</v>
      </c>
      <c r="F279" t="s">
        <v>3060</v>
      </c>
      <c r="G279" t="s">
        <v>3818</v>
      </c>
    </row>
    <row r="280" ht="11.25" customHeight="1">
      <c r="A280" t="s">
        <v>16</v>
      </c>
      <c r="B280" t="s">
        <v>3802</v>
      </c>
      <c r="C280" t="s">
        <v>3803</v>
      </c>
      <c r="D280" t="s">
        <v>3802</v>
      </c>
      <c r="E280" t="s">
        <v>3803</v>
      </c>
      <c r="F280" t="s">
        <v>3054</v>
      </c>
      <c r="G280" t="s">
        <v>3819</v>
      </c>
    </row>
    <row r="281" ht="11.25" customHeight="1">
      <c r="A281" t="s">
        <v>16</v>
      </c>
      <c r="B281" t="s">
        <v>3802</v>
      </c>
      <c r="C281" t="s">
        <v>3803</v>
      </c>
      <c r="D281" t="s">
        <v>3820</v>
      </c>
      <c r="E281" t="s">
        <v>3821</v>
      </c>
      <c r="F281" t="s">
        <v>3057</v>
      </c>
      <c r="G281" t="s">
        <v>3822</v>
      </c>
    </row>
    <row r="282" ht="11.25" customHeight="1">
      <c r="A282" t="s">
        <v>16</v>
      </c>
      <c r="B282" t="s">
        <v>3823</v>
      </c>
      <c r="C282" t="s">
        <v>3824</v>
      </c>
      <c r="D282" t="s">
        <v>3823</v>
      </c>
      <c r="E282" t="s">
        <v>3824</v>
      </c>
      <c r="F282" t="s">
        <v>3051</v>
      </c>
      <c r="G282" t="s">
        <v>3825</v>
      </c>
    </row>
    <row r="283" ht="11.25" customHeight="1">
      <c r="A283" t="s">
        <v>16</v>
      </c>
      <c r="B283" t="s">
        <v>3826</v>
      </c>
      <c r="C283" t="s">
        <v>3827</v>
      </c>
      <c r="D283" t="s">
        <v>3828</v>
      </c>
      <c r="E283" t="s">
        <v>3829</v>
      </c>
      <c r="F283" t="s">
        <v>3060</v>
      </c>
      <c r="G283" t="s">
        <v>3830</v>
      </c>
    </row>
    <row r="284" ht="11.25" customHeight="1">
      <c r="A284" t="s">
        <v>16</v>
      </c>
      <c r="B284" t="s">
        <v>3826</v>
      </c>
      <c r="C284" t="s">
        <v>3827</v>
      </c>
      <c r="D284" t="s">
        <v>3831</v>
      </c>
      <c r="E284" t="s">
        <v>3832</v>
      </c>
      <c r="F284" t="s">
        <v>3060</v>
      </c>
      <c r="G284" t="s">
        <v>3833</v>
      </c>
    </row>
    <row r="285" ht="11.25" customHeight="1">
      <c r="A285" t="s">
        <v>16</v>
      </c>
      <c r="B285" t="s">
        <v>3826</v>
      </c>
      <c r="C285" t="s">
        <v>3827</v>
      </c>
      <c r="D285" t="s">
        <v>3834</v>
      </c>
      <c r="E285" t="s">
        <v>3835</v>
      </c>
      <c r="F285" t="s">
        <v>3060</v>
      </c>
      <c r="G285" t="s">
        <v>3836</v>
      </c>
    </row>
    <row r="286" ht="11.25" customHeight="1">
      <c r="A286" t="s">
        <v>16</v>
      </c>
      <c r="B286" t="s">
        <v>3826</v>
      </c>
      <c r="C286" t="s">
        <v>3827</v>
      </c>
      <c r="D286" t="s">
        <v>3837</v>
      </c>
      <c r="E286" t="s">
        <v>3838</v>
      </c>
      <c r="F286" t="s">
        <v>3060</v>
      </c>
      <c r="G286" t="s">
        <v>3839</v>
      </c>
    </row>
    <row r="287" ht="11.25" customHeight="1">
      <c r="A287" t="s">
        <v>16</v>
      </c>
      <c r="B287" t="s">
        <v>3826</v>
      </c>
      <c r="C287" t="s">
        <v>3827</v>
      </c>
      <c r="D287" t="s">
        <v>3840</v>
      </c>
      <c r="E287" t="s">
        <v>3841</v>
      </c>
      <c r="F287" t="s">
        <v>3060</v>
      </c>
      <c r="G287" t="s">
        <v>3842</v>
      </c>
    </row>
    <row r="288" ht="11.25" customHeight="1">
      <c r="A288" t="s">
        <v>16</v>
      </c>
      <c r="B288" t="s">
        <v>3826</v>
      </c>
      <c r="C288" t="s">
        <v>3827</v>
      </c>
      <c r="D288" t="s">
        <v>3843</v>
      </c>
      <c r="E288" t="s">
        <v>3844</v>
      </c>
      <c r="F288" t="s">
        <v>3060</v>
      </c>
      <c r="G288" t="s">
        <v>3845</v>
      </c>
    </row>
    <row r="289" ht="11.25" customHeight="1">
      <c r="A289" t="s">
        <v>16</v>
      </c>
      <c r="B289" t="s">
        <v>3826</v>
      </c>
      <c r="C289" t="s">
        <v>3827</v>
      </c>
      <c r="D289" t="s">
        <v>3846</v>
      </c>
      <c r="E289" t="s">
        <v>3847</v>
      </c>
      <c r="F289" t="s">
        <v>3060</v>
      </c>
      <c r="G289" t="s">
        <v>3848</v>
      </c>
    </row>
    <row r="290" ht="11.25" customHeight="1">
      <c r="A290" t="s">
        <v>16</v>
      </c>
      <c r="B290" t="s">
        <v>3826</v>
      </c>
      <c r="C290" t="s">
        <v>3827</v>
      </c>
      <c r="D290" t="s">
        <v>3849</v>
      </c>
      <c r="E290" t="s">
        <v>3850</v>
      </c>
      <c r="F290" t="s">
        <v>3060</v>
      </c>
      <c r="G290" t="s">
        <v>3851</v>
      </c>
    </row>
    <row r="291" ht="11.25" customHeight="1">
      <c r="A291" t="s">
        <v>16</v>
      </c>
      <c r="B291" t="s">
        <v>3826</v>
      </c>
      <c r="C291" t="s">
        <v>3827</v>
      </c>
      <c r="D291" t="s">
        <v>3852</v>
      </c>
      <c r="E291" t="s">
        <v>3853</v>
      </c>
      <c r="F291" t="s">
        <v>3060</v>
      </c>
      <c r="G291" t="s">
        <v>3854</v>
      </c>
    </row>
    <row r="292" ht="11.25" customHeight="1">
      <c r="A292" t="s">
        <v>16</v>
      </c>
      <c r="B292" t="s">
        <v>3826</v>
      </c>
      <c r="C292" t="s">
        <v>3827</v>
      </c>
      <c r="D292" t="s">
        <v>3855</v>
      </c>
      <c r="E292" t="s">
        <v>3856</v>
      </c>
      <c r="F292" t="s">
        <v>3060</v>
      </c>
      <c r="G292" t="s">
        <v>3857</v>
      </c>
    </row>
    <row r="293" ht="11.25" customHeight="1">
      <c r="A293" t="s">
        <v>16</v>
      </c>
      <c r="B293" t="s">
        <v>3826</v>
      </c>
      <c r="C293" t="s">
        <v>3827</v>
      </c>
      <c r="D293" t="s">
        <v>3858</v>
      </c>
      <c r="E293" t="s">
        <v>3859</v>
      </c>
      <c r="F293" t="s">
        <v>3060</v>
      </c>
      <c r="G293" t="s">
        <v>3860</v>
      </c>
    </row>
    <row r="294" ht="11.25" customHeight="1">
      <c r="A294" t="s">
        <v>16</v>
      </c>
      <c r="B294" t="s">
        <v>3826</v>
      </c>
      <c r="C294" t="s">
        <v>3827</v>
      </c>
      <c r="D294" t="s">
        <v>3789</v>
      </c>
      <c r="E294" t="s">
        <v>3861</v>
      </c>
      <c r="F294" t="s">
        <v>3060</v>
      </c>
      <c r="G294" t="s">
        <v>3862</v>
      </c>
    </row>
    <row r="295" ht="11.25" customHeight="1">
      <c r="A295" t="s">
        <v>16</v>
      </c>
      <c r="B295" t="s">
        <v>3826</v>
      </c>
      <c r="C295" t="s">
        <v>3827</v>
      </c>
      <c r="D295" t="s">
        <v>3863</v>
      </c>
      <c r="E295" t="s">
        <v>3864</v>
      </c>
      <c r="F295" t="s">
        <v>3060</v>
      </c>
      <c r="G295" t="s">
        <v>3865</v>
      </c>
    </row>
    <row r="296" ht="11.25" customHeight="1">
      <c r="A296" t="s">
        <v>16</v>
      </c>
      <c r="B296" t="s">
        <v>3826</v>
      </c>
      <c r="C296" t="s">
        <v>3827</v>
      </c>
      <c r="D296" t="s">
        <v>3866</v>
      </c>
      <c r="E296" t="s">
        <v>3867</v>
      </c>
      <c r="F296" t="s">
        <v>3060</v>
      </c>
      <c r="G296" t="s">
        <v>3868</v>
      </c>
    </row>
    <row r="297" ht="11.25" customHeight="1">
      <c r="A297" t="s">
        <v>16</v>
      </c>
      <c r="B297" t="s">
        <v>3826</v>
      </c>
      <c r="C297" t="s">
        <v>3827</v>
      </c>
      <c r="D297" t="s">
        <v>3869</v>
      </c>
      <c r="E297" t="s">
        <v>3870</v>
      </c>
      <c r="F297" t="s">
        <v>3060</v>
      </c>
      <c r="G297" t="s">
        <v>3871</v>
      </c>
    </row>
    <row r="298" ht="11.25" customHeight="1">
      <c r="A298" t="s">
        <v>16</v>
      </c>
      <c r="B298" t="s">
        <v>3826</v>
      </c>
      <c r="C298" t="s">
        <v>3827</v>
      </c>
      <c r="D298" t="s">
        <v>3826</v>
      </c>
      <c r="E298" t="s">
        <v>3827</v>
      </c>
      <c r="F298" t="s">
        <v>3054</v>
      </c>
      <c r="G298" t="s">
        <v>3872</v>
      </c>
    </row>
    <row r="299" ht="11.25" customHeight="1">
      <c r="A299" t="s">
        <v>16</v>
      </c>
      <c r="B299" t="s">
        <v>3826</v>
      </c>
      <c r="C299" t="s">
        <v>3827</v>
      </c>
      <c r="D299" t="s">
        <v>3873</v>
      </c>
      <c r="E299" t="s">
        <v>3874</v>
      </c>
      <c r="F299" t="s">
        <v>3214</v>
      </c>
      <c r="G299" t="s">
        <v>3875</v>
      </c>
    </row>
    <row r="300" ht="11.25" customHeight="1">
      <c r="A300" t="s">
        <v>16</v>
      </c>
      <c r="B300" t="s">
        <v>3826</v>
      </c>
      <c r="C300" t="s">
        <v>3827</v>
      </c>
      <c r="D300" t="s">
        <v>3876</v>
      </c>
      <c r="E300" t="s">
        <v>3877</v>
      </c>
      <c r="F300" t="s">
        <v>3060</v>
      </c>
      <c r="G300" t="s">
        <v>3878</v>
      </c>
    </row>
    <row r="301" ht="11.25" customHeight="1">
      <c r="A301" t="s">
        <v>16</v>
      </c>
      <c r="B301" t="s">
        <v>3879</v>
      </c>
      <c r="C301" t="s">
        <v>3880</v>
      </c>
      <c r="D301" t="s">
        <v>3881</v>
      </c>
      <c r="E301" t="s">
        <v>3882</v>
      </c>
      <c r="F301" t="s">
        <v>3060</v>
      </c>
      <c r="G301" t="s">
        <v>3883</v>
      </c>
    </row>
    <row r="302" ht="11.25" customHeight="1">
      <c r="A302" t="s">
        <v>16</v>
      </c>
      <c r="B302" t="s">
        <v>3879</v>
      </c>
      <c r="C302" t="s">
        <v>3880</v>
      </c>
      <c r="D302" t="s">
        <v>3831</v>
      </c>
      <c r="E302" t="s">
        <v>3884</v>
      </c>
      <c r="F302" t="s">
        <v>3060</v>
      </c>
      <c r="G302" t="s">
        <v>3885</v>
      </c>
    </row>
    <row r="303" ht="11.25" customHeight="1">
      <c r="A303" t="s">
        <v>16</v>
      </c>
      <c r="B303" t="s">
        <v>3879</v>
      </c>
      <c r="C303" t="s">
        <v>3880</v>
      </c>
      <c r="D303" t="s">
        <v>3886</v>
      </c>
      <c r="E303" t="s">
        <v>3887</v>
      </c>
      <c r="F303" t="s">
        <v>3060</v>
      </c>
      <c r="G303" t="s">
        <v>3888</v>
      </c>
    </row>
    <row r="304" ht="11.25" customHeight="1">
      <c r="A304" t="s">
        <v>16</v>
      </c>
      <c r="B304" t="s">
        <v>3879</v>
      </c>
      <c r="C304" t="s">
        <v>3880</v>
      </c>
      <c r="D304" t="s">
        <v>3889</v>
      </c>
      <c r="E304" t="s">
        <v>3890</v>
      </c>
      <c r="F304" t="s">
        <v>3060</v>
      </c>
      <c r="G304" t="s">
        <v>3891</v>
      </c>
    </row>
    <row r="305" ht="11.25" customHeight="1">
      <c r="A305" t="s">
        <v>16</v>
      </c>
      <c r="B305" t="s">
        <v>3879</v>
      </c>
      <c r="C305" t="s">
        <v>3880</v>
      </c>
      <c r="D305" t="s">
        <v>3892</v>
      </c>
      <c r="E305" t="s">
        <v>3893</v>
      </c>
      <c r="F305" t="s">
        <v>3060</v>
      </c>
      <c r="G305" t="s">
        <v>3894</v>
      </c>
    </row>
    <row r="306" ht="11.25" customHeight="1">
      <c r="A306" t="s">
        <v>16</v>
      </c>
      <c r="B306" t="s">
        <v>3879</v>
      </c>
      <c r="C306" t="s">
        <v>3880</v>
      </c>
      <c r="D306" t="s">
        <v>3895</v>
      </c>
      <c r="E306" t="s">
        <v>3896</v>
      </c>
      <c r="F306" t="s">
        <v>3060</v>
      </c>
      <c r="G306" t="s">
        <v>3897</v>
      </c>
    </row>
    <row r="307" ht="11.25" customHeight="1">
      <c r="A307" t="s">
        <v>16</v>
      </c>
      <c r="B307" t="s">
        <v>3879</v>
      </c>
      <c r="C307" t="s">
        <v>3880</v>
      </c>
      <c r="D307" t="s">
        <v>3898</v>
      </c>
      <c r="E307" t="s">
        <v>3899</v>
      </c>
      <c r="F307" t="s">
        <v>3060</v>
      </c>
      <c r="G307" t="s">
        <v>3900</v>
      </c>
    </row>
    <row r="308" ht="11.25" customHeight="1">
      <c r="A308" t="s">
        <v>16</v>
      </c>
      <c r="B308" t="s">
        <v>3879</v>
      </c>
      <c r="C308" t="s">
        <v>3880</v>
      </c>
      <c r="D308" t="s">
        <v>3901</v>
      </c>
      <c r="E308" t="s">
        <v>3902</v>
      </c>
      <c r="F308" t="s">
        <v>3060</v>
      </c>
      <c r="G308" t="s">
        <v>3903</v>
      </c>
    </row>
    <row r="309" ht="11.25" customHeight="1">
      <c r="A309" t="s">
        <v>16</v>
      </c>
      <c r="B309" t="s">
        <v>3879</v>
      </c>
      <c r="C309" t="s">
        <v>3880</v>
      </c>
      <c r="D309" t="s">
        <v>3904</v>
      </c>
      <c r="E309" t="s">
        <v>3905</v>
      </c>
      <c r="F309" t="s">
        <v>3057</v>
      </c>
      <c r="G309" t="s">
        <v>3906</v>
      </c>
    </row>
    <row r="310" ht="11.25" customHeight="1">
      <c r="A310" t="s">
        <v>16</v>
      </c>
      <c r="B310" t="s">
        <v>3879</v>
      </c>
      <c r="C310" t="s">
        <v>3880</v>
      </c>
      <c r="D310" t="s">
        <v>3907</v>
      </c>
      <c r="E310" t="s">
        <v>3908</v>
      </c>
      <c r="F310" t="s">
        <v>3060</v>
      </c>
      <c r="G310" t="s">
        <v>3909</v>
      </c>
    </row>
    <row r="311" ht="11.25" customHeight="1">
      <c r="A311" t="s">
        <v>16</v>
      </c>
      <c r="B311" t="s">
        <v>3879</v>
      </c>
      <c r="C311" t="s">
        <v>3880</v>
      </c>
      <c r="D311" t="s">
        <v>3910</v>
      </c>
      <c r="E311" t="s">
        <v>3911</v>
      </c>
      <c r="F311" t="s">
        <v>3060</v>
      </c>
      <c r="G311" t="s">
        <v>3912</v>
      </c>
    </row>
    <row r="312" ht="11.25" customHeight="1">
      <c r="A312" t="s">
        <v>16</v>
      </c>
      <c r="B312" t="s">
        <v>3879</v>
      </c>
      <c r="C312" t="s">
        <v>3880</v>
      </c>
      <c r="D312" t="s">
        <v>3913</v>
      </c>
      <c r="E312" t="s">
        <v>3914</v>
      </c>
      <c r="F312" t="s">
        <v>3060</v>
      </c>
      <c r="G312" t="s">
        <v>3915</v>
      </c>
    </row>
    <row r="313" ht="11.25" customHeight="1">
      <c r="A313" t="s">
        <v>16</v>
      </c>
      <c r="B313" t="s">
        <v>3879</v>
      </c>
      <c r="C313" t="s">
        <v>3880</v>
      </c>
      <c r="D313" t="s">
        <v>3394</v>
      </c>
      <c r="E313" t="s">
        <v>3916</v>
      </c>
      <c r="F313" t="s">
        <v>3060</v>
      </c>
      <c r="G313" t="s">
        <v>3917</v>
      </c>
    </row>
    <row r="314" ht="11.25" customHeight="1">
      <c r="A314" t="s">
        <v>16</v>
      </c>
      <c r="B314" t="s">
        <v>3879</v>
      </c>
      <c r="C314" t="s">
        <v>3880</v>
      </c>
      <c r="D314" t="s">
        <v>3879</v>
      </c>
      <c r="E314" t="s">
        <v>3880</v>
      </c>
      <c r="F314" t="s">
        <v>3054</v>
      </c>
      <c r="G314" t="s">
        <v>3918</v>
      </c>
    </row>
    <row r="315" ht="11.25" customHeight="1">
      <c r="A315" t="s">
        <v>16</v>
      </c>
      <c r="B315" t="s">
        <v>3879</v>
      </c>
      <c r="C315" t="s">
        <v>3880</v>
      </c>
      <c r="D315" t="s">
        <v>3919</v>
      </c>
      <c r="E315" t="s">
        <v>3920</v>
      </c>
      <c r="F315" t="s">
        <v>3057</v>
      </c>
      <c r="G315" t="s">
        <v>3921</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3" width="9.140625"/>
    <col customWidth="1" min="2" max="2" style="1693" width="84.28125"/>
    <col min="3" max="3" style="1693" width="9.140625"/>
  </cols>
  <sheetData>
    <row r="1" ht="11.25" customHeight="1">
      <c r="A1" s="837" t="s">
        <v>3980</v>
      </c>
      <c r="B1" s="837" t="s">
        <v>3981</v>
      </c>
      <c r="C1" s="837" t="s">
        <v>1166</v>
      </c>
    </row>
    <row r="2" ht="11.25" customHeight="1">
      <c r="A2" s="837">
        <v>4189678</v>
      </c>
      <c r="B2" s="837" t="s">
        <v>3982</v>
      </c>
      <c r="C2" s="837" t="s">
        <v>3983</v>
      </c>
    </row>
    <row r="3" ht="11.25" customHeight="1">
      <c r="A3" s="837">
        <v>4190415</v>
      </c>
      <c r="B3" s="837" t="s">
        <v>3984</v>
      </c>
      <c r="C3" s="837" t="s">
        <v>3983</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5" customHeight="1"/>
  <cols>
    <col customWidth="1" min="1" max="1" style="164" width="38.421875"/>
    <col min="2" max="5" style="164" width="9.140625"/>
  </cols>
  <sheetData>
    <row r="1" ht="15" customHeight="1">
      <c r="A1" s="165" t="s">
        <v>3985</v>
      </c>
      <c r="B1" s="165" t="s">
        <v>3986</v>
      </c>
      <c r="C1" s="165"/>
      <c r="D1" s="165"/>
      <c r="E1" s="165"/>
    </row>
    <row r="2" ht="15" customHeight="1">
      <c r="A2" s="165"/>
      <c r="B2" s="165"/>
      <c r="C2" s="165"/>
      <c r="D2" s="165"/>
      <c r="E2" s="165"/>
    </row>
    <row r="3" ht="15" customHeight="1">
      <c r="A3" s="165"/>
      <c r="B3" s="165"/>
      <c r="C3" s="165"/>
      <c r="D3" s="165"/>
      <c r="E3" s="165"/>
    </row>
    <row r="4" ht="15" customHeight="1">
      <c r="A4" s="165"/>
      <c r="B4" s="165"/>
      <c r="C4" s="165"/>
      <c r="D4" s="165"/>
      <c r="E4" s="165"/>
    </row>
    <row r="5" ht="15" customHeight="1">
      <c r="A5" s="165"/>
      <c r="B5" s="165"/>
      <c r="C5" s="165"/>
      <c r="D5" s="165"/>
      <c r="E5" s="165"/>
    </row>
    <row r="6" ht="15" customHeight="1">
      <c r="A6" s="165"/>
      <c r="B6" s="165"/>
      <c r="C6" s="165"/>
      <c r="D6" s="165"/>
      <c r="E6" s="165"/>
    </row>
    <row r="7" ht="15" customHeight="1">
      <c r="A7" s="165"/>
      <c r="B7" s="165"/>
      <c r="C7" s="165"/>
      <c r="D7" s="165"/>
      <c r="E7" s="165"/>
    </row>
    <row r="8" ht="15" customHeight="1">
      <c r="A8" s="165"/>
      <c r="B8" s="165"/>
      <c r="C8" s="165"/>
      <c r="D8" s="165"/>
      <c r="E8" s="165"/>
    </row>
  </sheetData>
  <sheetProtection autoFilter="0" deleteColumns="0" deleteRows="0" formatColumns="0" format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topLeftCell="A1" workbookViewId="0">
      <selection activeCell="A1" sqref="A1"/>
    </sheetView>
  </sheetViews>
  <sheetFormatPr defaultRowHeight="11.25" customHeight="1"/>
  <sheetData>
    <row r="1" ht="11.25" customHeight="1">
      <c r="A1" t="s">
        <v>3987</v>
      </c>
      <c r="B1" t="b">
        <v>1</v>
      </c>
    </row>
    <row r="2" ht="11.25" customHeight="1">
      <c r="A2" t="s">
        <v>3988</v>
      </c>
      <c r="B2" t="b">
        <v>0</v>
      </c>
    </row>
    <row r="3" ht="11.25" customHeight="1">
      <c r="A3" t="s">
        <v>3989</v>
      </c>
      <c r="B3" t="b">
        <v>1</v>
      </c>
    </row>
    <row r="4" ht="11.25" customHeight="1">
      <c r="A4" t="s">
        <v>3990</v>
      </c>
      <c r="B4" t="b">
        <v>0</v>
      </c>
    </row>
    <row r="5" ht="11.25" customHeight="1">
      <c r="A5" t="s">
        <v>3991</v>
      </c>
      <c r="B5" t="b">
        <v>0</v>
      </c>
    </row>
    <row r="6" ht="11.25" customHeight="1">
      <c r="A6" t="s">
        <v>3992</v>
      </c>
      <c r="B6" t="b">
        <v>0</v>
      </c>
    </row>
    <row r="7" ht="11.25" customHeight="1">
      <c r="A7" t="s">
        <v>3993</v>
      </c>
      <c r="B7" t="b">
        <v>0</v>
      </c>
    </row>
    <row r="8" ht="11.25" customHeight="1">
      <c r="A8" t="s">
        <v>3994</v>
      </c>
      <c r="B8" t="b">
        <v>0</v>
      </c>
    </row>
    <row r="9" ht="11.25" customHeight="1">
      <c r="A9" t="s">
        <v>3995</v>
      </c>
      <c r="B9" t="b">
        <v>0</v>
      </c>
    </row>
    <row r="10" ht="11.25" customHeight="1">
      <c r="A10" t="s">
        <v>3996</v>
      </c>
      <c r="B10" t="b">
        <v>0</v>
      </c>
    </row>
    <row r="11" ht="11.25" customHeight="1">
      <c r="A11" t="s">
        <v>3997</v>
      </c>
      <c r="B11" t="b">
        <v>1</v>
      </c>
    </row>
    <row r="12" ht="11.25" customHeight="1">
      <c r="A12" t="s">
        <v>3998</v>
      </c>
      <c r="B12" t="b">
        <v>0</v>
      </c>
    </row>
    <row r="13" ht="11.25" customHeight="1">
      <c r="A13" t="s">
        <v>3999</v>
      </c>
      <c r="B13" t="b">
        <v>0</v>
      </c>
    </row>
    <row r="14" ht="11.25" customHeight="1">
      <c r="A14" t="s">
        <v>4000</v>
      </c>
      <c r="B14" t="b">
        <v>0</v>
      </c>
    </row>
    <row r="15" ht="11.25" customHeight="1">
      <c r="A15" t="s">
        <v>4001</v>
      </c>
      <c r="B15" t="b">
        <v>1</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2.75" customHeight="1"/>
  <cols>
    <col min="1" max="1" style="2639" width="9.140625"/>
  </cols>
  <sheetData>
    <row r="1" ht="12.75" customHeight="1">
      <c r="A1" s="62"/>
    </row>
  </sheetData>
  <sheetProtection autoFilter="0" deleteColumns="0" deleteRows="0" insertColumns="1" insertRows="0" sort="0"/>
  <pageMargins left="0.75" right="0.75" top="1" bottom="1" header="0.5" footer="0.5"/>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852" width="36.28125"/>
    <col customWidth="1" min="2" max="2" style="1852" width="21.140625"/>
  </cols>
  <sheetData>
    <row r="1" ht="11.25" customHeight="1">
      <c r="A1" s="69" t="s">
        <v>4002</v>
      </c>
      <c r="B1" s="69" t="s">
        <v>4003</v>
      </c>
    </row>
    <row r="2" ht="11.25" customHeight="1">
      <c r="A2" s="66" t="s">
        <v>4004</v>
      </c>
      <c r="B2" s="66" t="s">
        <v>4005</v>
      </c>
    </row>
    <row r="3" ht="11.25" customHeight="1">
      <c r="A3" s="66" t="s">
        <v>4006</v>
      </c>
      <c r="B3" s="66" t="s">
        <v>4007</v>
      </c>
    </row>
    <row r="4" ht="11.25" customHeight="1">
      <c r="A4" s="66" t="s">
        <v>4008</v>
      </c>
      <c r="B4" s="66" t="s">
        <v>4009</v>
      </c>
    </row>
    <row r="5" ht="11.25" customHeight="1">
      <c r="A5" s="66" t="s">
        <v>4010</v>
      </c>
      <c r="B5" s="66" t="s">
        <v>4011</v>
      </c>
    </row>
    <row r="6" ht="11.25" customHeight="1">
      <c r="A6" s="66" t="s">
        <v>4012</v>
      </c>
      <c r="B6" s="66" t="s">
        <v>4013</v>
      </c>
    </row>
    <row r="7" ht="11.25" customHeight="1">
      <c r="A7" s="66" t="s">
        <v>4014</v>
      </c>
      <c r="B7" s="66" t="s">
        <v>4015</v>
      </c>
    </row>
    <row r="8" ht="11.25" customHeight="1">
      <c r="A8" s="66" t="s">
        <v>4016</v>
      </c>
      <c r="B8" s="66" t="s">
        <v>4017</v>
      </c>
    </row>
    <row r="9" ht="11.25" customHeight="1">
      <c r="A9" s="66" t="s">
        <v>4018</v>
      </c>
      <c r="B9" s="66" t="s">
        <v>4019</v>
      </c>
    </row>
    <row r="10" ht="11.25" customHeight="1">
      <c r="A10" s="66" t="s">
        <v>4020</v>
      </c>
      <c r="B10" s="66" t="s">
        <v>4021</v>
      </c>
    </row>
    <row r="11" ht="11.25" customHeight="1">
      <c r="A11" s="66" t="s">
        <v>4022</v>
      </c>
      <c r="B11" s="66" t="s">
        <v>4023</v>
      </c>
    </row>
    <row r="12" ht="11.25" customHeight="1">
      <c r="A12" s="66" t="s">
        <v>4024</v>
      </c>
      <c r="B12" s="66" t="s">
        <v>4025</v>
      </c>
    </row>
    <row r="13" ht="11.25" customHeight="1">
      <c r="A13" s="66" t="s">
        <v>4026</v>
      </c>
      <c r="B13" s="66" t="s">
        <v>4027</v>
      </c>
    </row>
    <row r="14" ht="11.25" customHeight="1">
      <c r="A14" s="66" t="s">
        <v>4028</v>
      </c>
      <c r="B14" s="66" t="s">
        <v>4029</v>
      </c>
    </row>
    <row r="15" ht="11.25" customHeight="1">
      <c r="A15" s="66" t="s">
        <v>4030</v>
      </c>
      <c r="B15" s="66" t="s">
        <v>4031</v>
      </c>
    </row>
    <row r="16" ht="11.25" customHeight="1">
      <c r="A16" s="66" t="s">
        <v>4032</v>
      </c>
      <c r="B16" s="66" t="s">
        <v>4033</v>
      </c>
    </row>
    <row r="17" ht="11.25" customHeight="1">
      <c r="A17" s="66" t="s">
        <v>4034</v>
      </c>
      <c r="B17" s="66" t="s">
        <v>4035</v>
      </c>
    </row>
    <row r="18" ht="11.25" customHeight="1">
      <c r="A18" s="66" t="s">
        <v>4036</v>
      </c>
      <c r="B18" s="66" t="s">
        <v>4037</v>
      </c>
    </row>
    <row r="19" ht="11.25" customHeight="1">
      <c r="A19" s="66" t="s">
        <v>4038</v>
      </c>
      <c r="B19" s="66" t="s">
        <v>4039</v>
      </c>
    </row>
    <row r="20" ht="11.25" customHeight="1">
      <c r="A20" s="66" t="s">
        <v>4040</v>
      </c>
      <c r="B20" s="66" t="s">
        <v>4041</v>
      </c>
    </row>
    <row r="21" ht="11.25" customHeight="1">
      <c r="A21" s="66" t="s">
        <v>4042</v>
      </c>
      <c r="B21" s="66" t="s">
        <v>4043</v>
      </c>
    </row>
    <row r="22" ht="11.25" customHeight="1">
      <c r="A22" s="66" t="s">
        <v>4044</v>
      </c>
      <c r="B22" s="66" t="s">
        <v>4045</v>
      </c>
    </row>
    <row r="23" ht="11.25" customHeight="1">
      <c r="A23" s="66" t="s">
        <v>4046</v>
      </c>
      <c r="B23" s="66" t="s">
        <v>4047</v>
      </c>
    </row>
    <row r="24" ht="11.25" customHeight="1">
      <c r="A24" s="66" t="s">
        <v>4048</v>
      </c>
      <c r="B24" s="66" t="s">
        <v>4049</v>
      </c>
    </row>
    <row r="25" ht="11.25" customHeight="1">
      <c r="A25" s="66" t="s">
        <v>4050</v>
      </c>
      <c r="B25" s="66" t="s">
        <v>4051</v>
      </c>
    </row>
    <row r="26" ht="11.25" customHeight="1">
      <c r="A26" s="66" t="s">
        <v>4052</v>
      </c>
      <c r="B26" s="66" t="s">
        <v>4053</v>
      </c>
    </row>
    <row r="27" ht="11.25" customHeight="1">
      <c r="A27" s="66" t="s">
        <v>4054</v>
      </c>
      <c r="B27" s="66" t="s">
        <v>4055</v>
      </c>
    </row>
    <row r="28" ht="11.25" customHeight="1">
      <c r="A28" s="66" t="s">
        <v>4056</v>
      </c>
      <c r="B28" s="66" t="s">
        <v>4057</v>
      </c>
    </row>
    <row r="29" ht="11.25" customHeight="1">
      <c r="A29" s="66" t="s">
        <v>4058</v>
      </c>
      <c r="B29" s="66" t="s">
        <v>4059</v>
      </c>
    </row>
    <row r="30" ht="11.25" customHeight="1">
      <c r="A30" s="66" t="s">
        <v>4060</v>
      </c>
      <c r="B30" s="66" t="s">
        <v>4061</v>
      </c>
    </row>
    <row r="31" ht="11.25" customHeight="1">
      <c r="A31" s="66" t="s">
        <v>4062</v>
      </c>
      <c r="B31" s="66" t="s">
        <v>4063</v>
      </c>
    </row>
    <row r="32" ht="11.25" customHeight="1">
      <c r="A32" s="66" t="s">
        <v>4064</v>
      </c>
      <c r="B32" s="66" t="s">
        <v>4065</v>
      </c>
    </row>
    <row r="33" ht="11.25" customHeight="1">
      <c r="A33" s="66" t="s">
        <v>4066</v>
      </c>
      <c r="B33" s="66" t="s">
        <v>4067</v>
      </c>
    </row>
    <row r="34" ht="11.25" customHeight="1">
      <c r="A34" s="66" t="s">
        <v>4068</v>
      </c>
      <c r="B34" s="66" t="s">
        <v>4069</v>
      </c>
    </row>
    <row r="35" ht="11.25" customHeight="1">
      <c r="A35" s="66" t="s">
        <v>4070</v>
      </c>
      <c r="B35" s="66" t="s">
        <v>4071</v>
      </c>
    </row>
    <row r="36" ht="11.25" customHeight="1">
      <c r="A36" s="66" t="s">
        <v>4072</v>
      </c>
      <c r="B36" s="66" t="s">
        <v>4073</v>
      </c>
    </row>
    <row r="37" ht="11.25" customHeight="1">
      <c r="A37" s="66" t="s">
        <v>4074</v>
      </c>
      <c r="B37" s="66" t="s">
        <v>4075</v>
      </c>
    </row>
    <row r="38" ht="11.25" customHeight="1">
      <c r="A38" s="66" t="s">
        <v>4076</v>
      </c>
      <c r="B38" s="66" t="s">
        <v>4077</v>
      </c>
    </row>
    <row r="39" ht="11.25" customHeight="1">
      <c r="A39" s="66" t="s">
        <v>4078</v>
      </c>
      <c r="B39" s="66" t="s">
        <v>4079</v>
      </c>
    </row>
    <row r="40" ht="11.25" customHeight="1">
      <c r="A40" s="66" t="s">
        <v>4080</v>
      </c>
      <c r="B40" s="66" t="s">
        <v>4081</v>
      </c>
    </row>
    <row r="41" ht="11.25" customHeight="1">
      <c r="A41" s="66" t="s">
        <v>4082</v>
      </c>
      <c r="B41" s="66" t="s">
        <v>4083</v>
      </c>
    </row>
    <row r="42" ht="11.25" customHeight="1">
      <c r="A42" s="66" t="s">
        <v>4084</v>
      </c>
      <c r="B42" s="66" t="s">
        <v>4085</v>
      </c>
    </row>
    <row r="43" ht="11.25" customHeight="1">
      <c r="A43" s="66" t="s">
        <v>4086</v>
      </c>
      <c r="B43" s="66" t="s">
        <v>4087</v>
      </c>
    </row>
    <row r="44" ht="11.25" customHeight="1">
      <c r="A44" s="66" t="s">
        <v>4088</v>
      </c>
      <c r="B44" s="66" t="s">
        <v>4089</v>
      </c>
    </row>
    <row r="45" ht="11.25" customHeight="1">
      <c r="A45" s="66" t="s">
        <v>4090</v>
      </c>
      <c r="B45" s="66" t="s">
        <v>4091</v>
      </c>
    </row>
    <row r="46" ht="11.25" customHeight="1">
      <c r="A46" s="66" t="s">
        <v>4092</v>
      </c>
      <c r="B46" s="66" t="s">
        <v>4093</v>
      </c>
    </row>
    <row r="47" ht="11.25" customHeight="1">
      <c r="A47" s="66" t="s">
        <v>4094</v>
      </c>
      <c r="B47" s="66" t="s">
        <v>4095</v>
      </c>
    </row>
    <row r="48" ht="11.25" customHeight="1">
      <c r="A48" s="66" t="s">
        <v>4096</v>
      </c>
      <c r="B48" s="66" t="s">
        <v>4097</v>
      </c>
    </row>
    <row r="49" ht="11.25" customHeight="1">
      <c r="A49" s="66" t="s">
        <v>4098</v>
      </c>
      <c r="B49" s="66" t="s">
        <v>4099</v>
      </c>
    </row>
    <row r="50" ht="11.25" customHeight="1">
      <c r="A50" s="66" t="s">
        <v>4100</v>
      </c>
      <c r="B50" s="66" t="s">
        <v>4101</v>
      </c>
    </row>
    <row r="51" ht="11.25" customHeight="1">
      <c r="A51" s="66" t="s">
        <v>4102</v>
      </c>
      <c r="B51" s="66" t="s">
        <v>4103</v>
      </c>
    </row>
    <row r="52" ht="11.25" customHeight="1">
      <c r="A52" s="66" t="s">
        <v>4104</v>
      </c>
      <c r="B52" s="66" t="s">
        <v>4105</v>
      </c>
    </row>
    <row r="53" ht="11.25" customHeight="1">
      <c r="A53" s="66" t="s">
        <v>4106</v>
      </c>
      <c r="B53" s="66" t="s">
        <v>4107</v>
      </c>
    </row>
    <row r="54" ht="11.25" customHeight="1">
      <c r="A54" s="66" t="s">
        <v>4108</v>
      </c>
      <c r="B54" s="66" t="s">
        <v>4109</v>
      </c>
    </row>
    <row r="55" ht="11.25" customHeight="1">
      <c r="A55" s="66" t="s">
        <v>4110</v>
      </c>
      <c r="B55" s="66" t="s">
        <v>4111</v>
      </c>
    </row>
    <row r="56" ht="11.25" customHeight="1">
      <c r="A56" s="66" t="s">
        <v>4112</v>
      </c>
      <c r="B56" s="66" t="s">
        <v>4113</v>
      </c>
    </row>
    <row r="57" ht="11.25" customHeight="1">
      <c r="A57" s="66" t="s">
        <v>4114</v>
      </c>
      <c r="B57" s="66" t="s">
        <v>4115</v>
      </c>
    </row>
    <row r="58" ht="11.25" customHeight="1">
      <c r="A58" s="66" t="s">
        <v>4116</v>
      </c>
      <c r="B58" s="66" t="s">
        <v>4117</v>
      </c>
    </row>
    <row r="59" ht="11.25" customHeight="1">
      <c r="A59" s="66" t="s">
        <v>4118</v>
      </c>
      <c r="B59" s="66" t="s">
        <v>4119</v>
      </c>
    </row>
    <row r="60" ht="11.25" customHeight="1">
      <c r="A60" s="66" t="s">
        <v>4120</v>
      </c>
      <c r="B60" s="66" t="s">
        <v>4121</v>
      </c>
    </row>
    <row r="61" ht="11.25" customHeight="1">
      <c r="A61" s="66"/>
      <c r="B61" s="66" t="s">
        <v>4122</v>
      </c>
    </row>
    <row r="62" ht="11.25" customHeight="1">
      <c r="A62" s="66"/>
      <c r="B62" s="66" t="s">
        <v>4123</v>
      </c>
    </row>
    <row r="63" ht="11.25" customHeight="1">
      <c r="A63" s="66"/>
      <c r="B63" s="66" t="s">
        <v>4124</v>
      </c>
    </row>
    <row r="64" ht="11.25" customHeight="1">
      <c r="A64" s="66"/>
      <c r="B64" s="66" t="s">
        <v>4125</v>
      </c>
    </row>
    <row r="65" ht="11.25" customHeight="1">
      <c r="A65" s="66"/>
      <c r="B65" s="66" t="s">
        <v>4126</v>
      </c>
    </row>
    <row r="66" ht="11.25" customHeight="1">
      <c r="A66" s="66"/>
      <c r="B66" s="66" t="s">
        <v>4127</v>
      </c>
    </row>
    <row r="67" ht="11.25" customHeight="1">
      <c r="A67" s="66"/>
      <c r="B67" s="66" t="s">
        <v>4128</v>
      </c>
    </row>
    <row r="68" ht="11.25" customHeight="1">
      <c r="A68" s="66"/>
      <c r="B68" s="66" t="s">
        <v>4129</v>
      </c>
    </row>
    <row r="69" ht="11.25" customHeight="1">
      <c r="A69" s="66"/>
      <c r="B69" s="66" t="s">
        <v>4130</v>
      </c>
    </row>
    <row r="70" ht="11.25" customHeight="1">
      <c r="A70" s="66"/>
      <c r="B70" s="66" t="s">
        <v>4131</v>
      </c>
    </row>
    <row r="71" ht="11.25" customHeight="1">
      <c r="A71" s="66"/>
      <c r="B71" s="66"/>
    </row>
    <row r="72" ht="11.25" customHeight="1">
      <c r="A72" s="66"/>
      <c r="B72" s="66"/>
    </row>
    <row r="73" ht="11.25" customHeight="1">
      <c r="A73" s="66"/>
      <c r="B73" s="66"/>
    </row>
    <row r="74" ht="11.25" customHeight="1">
      <c r="A74" s="66"/>
      <c r="B74" s="66"/>
    </row>
    <row r="75" ht="11.25" customHeight="1">
      <c r="A75" s="66"/>
      <c r="B75" s="66"/>
    </row>
    <row r="76" ht="11.25" customHeight="1">
      <c r="A76" s="66"/>
      <c r="B76" s="66"/>
    </row>
    <row r="77" ht="11.25" customHeight="1">
      <c r="A77" s="66"/>
      <c r="B77" s="66"/>
    </row>
    <row r="78" ht="11.25" customHeight="1">
      <c r="A78" s="66"/>
      <c r="B78" s="66"/>
    </row>
    <row r="79" ht="11.25" customHeight="1">
      <c r="A79" s="66"/>
      <c r="B79" s="66"/>
    </row>
    <row r="80" ht="11.25" customHeight="1">
      <c r="A80" s="66"/>
      <c r="B80" s="66"/>
    </row>
    <row r="81" ht="11.25" customHeight="1">
      <c r="A81" s="66"/>
      <c r="B81" s="66"/>
    </row>
    <row r="82" ht="11.25" customHeight="1">
      <c r="A82" s="66"/>
      <c r="B82" s="66"/>
    </row>
    <row r="83" ht="11.25" customHeight="1">
      <c r="A83" s="66"/>
      <c r="B83" s="66"/>
    </row>
    <row r="84" ht="11.25" customHeight="1">
      <c r="A84" s="66"/>
      <c r="B84" s="66"/>
    </row>
    <row r="85" ht="11.25" customHeight="1">
      <c r="A85" s="66"/>
      <c r="B85" s="66"/>
    </row>
    <row r="86" ht="11.25" customHeight="1">
      <c r="A86" s="66"/>
      <c r="B86" s="66"/>
    </row>
    <row r="87" ht="11.25" customHeight="1">
      <c r="A87" s="66"/>
      <c r="B87" s="66"/>
    </row>
    <row r="88" ht="11.25" customHeight="1">
      <c r="A88" s="66"/>
      <c r="B88" s="66"/>
    </row>
    <row r="89" ht="11.25" customHeight="1">
      <c r="A89" s="66"/>
      <c r="B89" s="66"/>
    </row>
    <row r="90" ht="11.25" customHeight="1">
      <c r="A90" s="66"/>
      <c r="B90" s="66"/>
    </row>
    <row r="91" ht="11.25" customHeight="1">
      <c r="A91" s="66"/>
      <c r="B91" s="66"/>
    </row>
    <row r="92" ht="11.25" customHeight="1">
      <c r="A92" s="66"/>
      <c r="B92" s="66"/>
    </row>
    <row r="93" ht="11.25" customHeight="1">
      <c r="A93" s="66"/>
      <c r="B93" s="66"/>
    </row>
    <row r="94" ht="11.25" customHeight="1">
      <c r="A94" s="66"/>
      <c r="B94" s="66"/>
    </row>
    <row r="95" ht="11.25" customHeight="1">
      <c r="A95" s="66"/>
      <c r="B95" s="66"/>
    </row>
    <row r="96" ht="11.25" customHeight="1">
      <c r="A96" s="66"/>
      <c r="B96" s="66"/>
    </row>
    <row r="97" ht="11.25" customHeight="1">
      <c r="A97" s="66"/>
      <c r="B97" s="66"/>
    </row>
    <row r="98" ht="11.25" customHeight="1">
      <c r="A98" s="66"/>
      <c r="B98" s="66"/>
    </row>
    <row r="99" ht="11.25" customHeight="1">
      <c r="A99" s="66"/>
      <c r="B99" s="66"/>
    </row>
    <row r="100" ht="11.25" customHeight="1">
      <c r="A100" s="66"/>
      <c r="B100" s="66"/>
    </row>
    <row r="101" ht="11.25" customHeight="1">
      <c r="A101" s="66"/>
      <c r="B101" s="66"/>
    </row>
    <row r="102" ht="11.25" customHeight="1">
      <c r="A102" s="66"/>
      <c r="B102" s="66"/>
    </row>
    <row r="103" ht="11.25" customHeight="1">
      <c r="A103" s="66"/>
      <c r="B103" s="66"/>
    </row>
    <row r="104" ht="11.25" customHeight="1">
      <c r="A104" s="66"/>
      <c r="B104" s="66"/>
    </row>
    <row r="105" ht="11.25" customHeight="1">
      <c r="A105" s="66"/>
      <c r="B105" s="66"/>
    </row>
    <row r="106" ht="11.25" customHeight="1">
      <c r="A106" s="66"/>
      <c r="B106" s="66"/>
    </row>
    <row r="107" ht="11.25" customHeight="1">
      <c r="A107" s="66"/>
      <c r="B107" s="66"/>
    </row>
    <row r="108" ht="11.25" customHeight="1">
      <c r="A108" s="66"/>
      <c r="B108" s="66"/>
    </row>
    <row r="109" ht="11.25" customHeight="1">
      <c r="A109" s="66"/>
      <c r="B109" s="66"/>
    </row>
    <row r="110" ht="11.25" customHeight="1">
      <c r="A110" s="66"/>
      <c r="B110" s="66"/>
    </row>
    <row r="111" ht="11.25" customHeight="1">
      <c r="A111" s="66"/>
      <c r="B111" s="66"/>
    </row>
    <row r="112" ht="11.25" customHeight="1">
      <c r="A112" s="66"/>
      <c r="B112" s="66"/>
    </row>
    <row r="113" ht="11.25" customHeight="1">
      <c r="A113" s="66"/>
      <c r="B113" s="66"/>
    </row>
    <row r="114" ht="11.25" customHeight="1">
      <c r="A114" s="66"/>
      <c r="B114" s="66"/>
    </row>
    <row r="115" ht="11.25" customHeight="1">
      <c r="A115" s="66"/>
      <c r="B115" s="66"/>
    </row>
    <row r="116" ht="11.25" customHeight="1">
      <c r="A116" s="66"/>
      <c r="B116" s="66"/>
    </row>
    <row r="117" ht="11.25" customHeight="1">
      <c r="A117" s="66"/>
      <c r="B117" s="66"/>
    </row>
    <row r="118" ht="11.25" customHeight="1">
      <c r="A118" s="66"/>
      <c r="B118" s="66"/>
    </row>
    <row r="119" ht="11.25" customHeight="1">
      <c r="A119" s="66"/>
      <c r="B119" s="66"/>
    </row>
    <row r="120" ht="11.25" customHeight="1">
      <c r="A120" s="66"/>
      <c r="B120" s="66"/>
    </row>
    <row r="121" ht="11.25" customHeight="1">
      <c r="A121" s="66"/>
      <c r="B121" s="66"/>
    </row>
    <row r="122" ht="11.25" customHeight="1">
      <c r="A122" s="66"/>
      <c r="B122" s="66"/>
    </row>
    <row r="123" ht="11.25" customHeight="1">
      <c r="A123" s="66"/>
      <c r="B123" s="66"/>
    </row>
    <row r="124" ht="11.25" customHeight="1">
      <c r="A124" s="66"/>
      <c r="B124" s="66"/>
    </row>
    <row r="125" ht="11.25" customHeight="1">
      <c r="A125" s="66"/>
      <c r="B125" s="66"/>
    </row>
    <row r="126" ht="11.25" customHeight="1">
      <c r="A126" s="66"/>
      <c r="B126" s="66"/>
    </row>
    <row r="127" ht="11.25" customHeight="1">
      <c r="A127" s="66"/>
      <c r="B127" s="66"/>
    </row>
    <row r="128" ht="11.25" customHeight="1">
      <c r="A128" s="66"/>
      <c r="B128" s="66"/>
    </row>
    <row r="129" ht="11.25" customHeight="1">
      <c r="A129" s="66"/>
      <c r="B129" s="66"/>
    </row>
    <row r="130" ht="11.25" customHeight="1">
      <c r="A130" s="66"/>
      <c r="B130" s="66"/>
    </row>
    <row r="131" ht="11.25" customHeight="1">
      <c r="A131" s="66"/>
      <c r="B131" s="66"/>
    </row>
    <row r="132" ht="11.25" customHeight="1">
      <c r="A132" s="66"/>
      <c r="B132" s="66"/>
    </row>
    <row r="133" ht="11.25" customHeight="1">
      <c r="A133" s="66"/>
      <c r="B133" s="66"/>
    </row>
    <row r="134" ht="11.25" customHeight="1">
      <c r="A134" s="66"/>
      <c r="B134" s="66"/>
    </row>
    <row r="135" ht="11.25" customHeight="1">
      <c r="A135" s="66"/>
      <c r="B135" s="66"/>
    </row>
    <row r="136" ht="11.25" customHeight="1">
      <c r="A136" s="66"/>
      <c r="B136" s="66"/>
    </row>
    <row r="137" ht="11.25" customHeight="1">
      <c r="A137" s="66"/>
      <c r="B137" s="66"/>
    </row>
    <row r="138" ht="11.25" customHeight="1">
      <c r="A138" s="66"/>
      <c r="B138" s="66"/>
    </row>
    <row r="139" ht="11.25" customHeight="1">
      <c r="A139" s="66"/>
      <c r="B139" s="66"/>
    </row>
    <row r="140" ht="11.25" customHeight="1">
      <c r="A140" s="66"/>
      <c r="B140" s="66"/>
    </row>
    <row r="141" ht="11.25" customHeight="1">
      <c r="A141" s="66"/>
      <c r="B141" s="66"/>
    </row>
    <row r="142" ht="11.25" customHeight="1">
      <c r="A142" s="66"/>
      <c r="B142" s="66"/>
    </row>
    <row r="143" ht="11.25" customHeight="1">
      <c r="A143" s="66"/>
      <c r="B143" s="66"/>
    </row>
    <row r="144" ht="11.25" customHeight="1">
      <c r="A144" s="66"/>
      <c r="B144" s="66"/>
    </row>
    <row r="145" ht="11.25" customHeight="1">
      <c r="A145" s="66"/>
      <c r="B145" s="66"/>
    </row>
    <row r="146" ht="11.25" customHeight="1">
      <c r="A146" s="66"/>
      <c r="B146" s="66"/>
    </row>
    <row r="147" ht="11.25" customHeight="1">
      <c r="A147" s="66"/>
      <c r="B147" s="66"/>
    </row>
    <row r="148" ht="11.25" customHeight="1">
      <c r="A148" s="66"/>
      <c r="B148" s="66"/>
    </row>
    <row r="149" ht="11.25" customHeight="1">
      <c r="A149" s="66"/>
      <c r="B149" s="66"/>
    </row>
    <row r="150" ht="11.25" customHeight="1">
      <c r="A150" s="66"/>
      <c r="B150" s="66"/>
    </row>
    <row r="151" ht="11.25" customHeight="1">
      <c r="A151" s="66"/>
      <c r="B151" s="66"/>
    </row>
    <row r="152" ht="11.25" customHeight="1">
      <c r="A152" s="66"/>
      <c r="B152" s="66"/>
    </row>
    <row r="153" ht="11.25" customHeight="1">
      <c r="A153" s="66"/>
      <c r="B153" s="66"/>
    </row>
    <row r="154" ht="11.25" customHeight="1">
      <c r="A154" s="66"/>
      <c r="B154" s="66"/>
    </row>
    <row r="155" ht="11.25" customHeight="1">
      <c r="A155" s="66"/>
      <c r="B155" s="66"/>
    </row>
    <row r="156" ht="11.25" customHeight="1">
      <c r="A156" s="66"/>
      <c r="B156" s="66"/>
    </row>
    <row r="157" ht="11.25" customHeight="1">
      <c r="A157" s="66"/>
      <c r="B157" s="66"/>
    </row>
    <row r="158" ht="11.25" customHeight="1">
      <c r="A158" s="66"/>
      <c r="B158" s="66"/>
    </row>
    <row r="159" ht="11.25" customHeight="1">
      <c r="A159" s="66"/>
      <c r="B159" s="66"/>
    </row>
    <row r="160" ht="11.25" customHeight="1">
      <c r="A160" s="66"/>
      <c r="B160" s="66"/>
    </row>
    <row r="161" ht="11.25" customHeight="1">
      <c r="A161" s="66"/>
      <c r="B161" s="66"/>
    </row>
    <row r="162" ht="11.25" customHeight="1">
      <c r="A162" s="66"/>
      <c r="B162" s="66"/>
    </row>
    <row r="163" ht="11.25" customHeight="1">
      <c r="A163" s="66"/>
      <c r="B163" s="66"/>
    </row>
    <row r="164" ht="11.25" customHeight="1">
      <c r="A164" s="66"/>
      <c r="B164" s="66"/>
    </row>
    <row r="165" ht="11.25" customHeight="1">
      <c r="A165" s="66"/>
      <c r="B165" s="66"/>
    </row>
    <row r="166" ht="11.25" customHeight="1">
      <c r="A166" s="66"/>
      <c r="B166" s="66"/>
    </row>
    <row r="167" ht="11.25" customHeight="1">
      <c r="A167" s="66"/>
      <c r="B167" s="66"/>
    </row>
    <row r="168" ht="11.25" customHeight="1">
      <c r="A168" s="66"/>
      <c r="B168" s="66"/>
    </row>
    <row r="169" ht="11.25" customHeight="1">
      <c r="A169" s="66"/>
      <c r="B169" s="66"/>
    </row>
    <row r="170" ht="11.25" customHeight="1">
      <c r="A170" s="66"/>
      <c r="B170" s="66"/>
    </row>
    <row r="171" ht="11.25" customHeight="1">
      <c r="A171" s="66"/>
      <c r="B171" s="66"/>
    </row>
    <row r="172" ht="11.25" customHeight="1">
      <c r="A172" s="66"/>
      <c r="B172" s="66"/>
    </row>
    <row r="173" ht="11.25" customHeight="1">
      <c r="A173" s="66"/>
      <c r="B173" s="66"/>
    </row>
    <row r="174" ht="11.25" customHeight="1">
      <c r="A174" s="66"/>
      <c r="B174" s="66"/>
    </row>
    <row r="175" ht="11.25" customHeight="1">
      <c r="A175" s="66"/>
      <c r="B175" s="66"/>
    </row>
    <row r="176" ht="11.25" customHeight="1">
      <c r="A176" s="66"/>
      <c r="B176" s="66"/>
    </row>
    <row r="177" ht="11.25" customHeight="1">
      <c r="A177" s="66"/>
      <c r="B177" s="66"/>
    </row>
    <row r="178" ht="11.25" customHeight="1">
      <c r="A178" s="66"/>
      <c r="B178" s="66"/>
    </row>
    <row r="179" ht="11.25" customHeight="1">
      <c r="A179" s="66"/>
      <c r="B179" s="66"/>
    </row>
    <row r="180" ht="11.25" customHeight="1">
      <c r="A180" s="66"/>
      <c r="B180" s="66"/>
    </row>
    <row r="181" ht="11.25" customHeight="1">
      <c r="A181" s="66"/>
      <c r="B181" s="66"/>
    </row>
    <row r="182" ht="11.25" customHeight="1">
      <c r="A182" s="66"/>
      <c r="B182" s="66"/>
    </row>
    <row r="183" ht="11.25" customHeight="1">
      <c r="A183" s="66"/>
      <c r="B183" s="66"/>
    </row>
    <row r="184" ht="11.25" customHeight="1">
      <c r="A184" s="66"/>
      <c r="B184" s="66"/>
    </row>
    <row r="185" ht="11.25" customHeight="1">
      <c r="A185" s="66"/>
      <c r="B185" s="66"/>
    </row>
    <row r="186" ht="11.25" customHeight="1">
      <c r="A186" s="66"/>
      <c r="B186" s="66"/>
    </row>
    <row r="187" ht="11.25" customHeight="1">
      <c r="A187" s="66"/>
      <c r="B187" s="66"/>
    </row>
    <row r="188" ht="11.25" customHeight="1">
      <c r="A188" s="66"/>
      <c r="B188" s="66"/>
    </row>
    <row r="189" ht="11.25" customHeight="1">
      <c r="A189" s="66"/>
      <c r="B189" s="66"/>
    </row>
    <row r="190" ht="11.25" customHeight="1">
      <c r="A190" s="66"/>
      <c r="B190" s="66"/>
    </row>
    <row r="191" ht="11.25" customHeight="1">
      <c r="A191" s="66"/>
      <c r="B191" s="66"/>
    </row>
    <row r="192" ht="11.25" customHeight="1">
      <c r="A192" s="66"/>
      <c r="B192" s="66"/>
    </row>
    <row r="193" ht="11.25" customHeight="1">
      <c r="A193" s="66"/>
      <c r="B193" s="66"/>
    </row>
    <row r="194" ht="11.25" customHeight="1">
      <c r="A194" s="66"/>
      <c r="B194" s="66"/>
    </row>
    <row r="195" ht="11.25" customHeight="1">
      <c r="A195" s="66"/>
      <c r="B195" s="66"/>
    </row>
    <row r="196" ht="11.25" customHeight="1">
      <c r="A196" s="66"/>
      <c r="B196" s="66"/>
    </row>
    <row r="197" ht="11.25" customHeight="1">
      <c r="A197" s="66"/>
      <c r="B197" s="66"/>
    </row>
    <row r="198" ht="11.25" customHeight="1">
      <c r="A198" s="66"/>
      <c r="B198" s="66"/>
    </row>
    <row r="199" ht="11.25" customHeight="1">
      <c r="A199" s="66"/>
      <c r="B199" s="66"/>
    </row>
    <row r="200" ht="11.25" customHeight="1">
      <c r="A200" s="66"/>
      <c r="B200" s="66"/>
    </row>
    <row r="201" ht="11.25" customHeight="1">
      <c r="A201" s="66"/>
      <c r="B201" s="66"/>
    </row>
    <row r="202" ht="11.25" customHeight="1">
      <c r="A202" s="66"/>
      <c r="B202" s="66"/>
    </row>
    <row r="203" ht="11.25" customHeight="1">
      <c r="A203" s="66"/>
      <c r="B203" s="66"/>
    </row>
    <row r="204" ht="11.25" customHeight="1">
      <c r="A204" s="66"/>
      <c r="B204" s="66"/>
    </row>
    <row r="205" ht="11.25" customHeight="1">
      <c r="A205" s="66"/>
      <c r="B205" s="66"/>
    </row>
    <row r="206" ht="11.25" customHeight="1">
      <c r="A206" s="66"/>
      <c r="B206" s="66"/>
    </row>
    <row r="207" ht="11.25" customHeight="1">
      <c r="A207" s="66"/>
      <c r="B207" s="66"/>
    </row>
    <row r="208" ht="11.25" customHeight="1">
      <c r="A208" s="66"/>
      <c r="B208" s="66"/>
    </row>
    <row r="209" ht="11.25" customHeight="1">
      <c r="A209" s="66"/>
      <c r="B209" s="66"/>
    </row>
    <row r="210" ht="11.25" customHeight="1">
      <c r="A210" s="66"/>
      <c r="B210" s="66"/>
    </row>
    <row r="211" ht="11.25" customHeight="1">
      <c r="A211" s="66"/>
      <c r="B211" s="66"/>
    </row>
    <row r="212" ht="11.25" customHeight="1">
      <c r="A212" s="66"/>
      <c r="B212" s="66"/>
    </row>
    <row r="213" ht="11.25" customHeight="1">
      <c r="A213" s="66"/>
      <c r="B213" s="66"/>
    </row>
    <row r="214" ht="11.25" customHeight="1">
      <c r="A214" s="66"/>
      <c r="B214" s="66"/>
    </row>
    <row r="215" ht="11.25" customHeight="1">
      <c r="A215" s="66"/>
      <c r="B215" s="66"/>
    </row>
    <row r="216" ht="11.25" customHeight="1">
      <c r="A216" s="66"/>
      <c r="B216" s="66"/>
    </row>
    <row r="217" ht="11.25" customHeight="1">
      <c r="A217" s="66"/>
      <c r="B217" s="66"/>
    </row>
    <row r="218" ht="11.25" customHeight="1">
      <c r="A218" s="66"/>
      <c r="B218" s="66"/>
    </row>
    <row r="219" ht="11.25" customHeight="1">
      <c r="A219" s="66"/>
      <c r="B219" s="66"/>
    </row>
    <row r="220" ht="11.25" customHeight="1">
      <c r="A220" s="66"/>
      <c r="B220" s="66"/>
    </row>
    <row r="221" ht="11.25" customHeight="1">
      <c r="A221" s="66"/>
      <c r="B221" s="66"/>
    </row>
    <row r="222" ht="11.25" customHeight="1">
      <c r="A222" s="66"/>
      <c r="B222" s="66"/>
    </row>
    <row r="223" ht="11.25" customHeight="1">
      <c r="A223" s="66"/>
      <c r="B223" s="66"/>
    </row>
    <row r="224" ht="11.25" customHeight="1">
      <c r="A224" s="66"/>
      <c r="B224" s="66"/>
    </row>
    <row r="225" ht="11.25" customHeight="1">
      <c r="A225" s="66"/>
      <c r="B225" s="66"/>
    </row>
    <row r="226" ht="11.25" customHeight="1">
      <c r="A226" s="66"/>
      <c r="B226" s="66"/>
    </row>
    <row r="227" ht="11.25" customHeight="1">
      <c r="A227" s="66"/>
      <c r="B227" s="66"/>
    </row>
    <row r="228" ht="11.25" customHeight="1">
      <c r="A228" s="66"/>
      <c r="B228" s="66"/>
    </row>
    <row r="229" ht="11.25" customHeight="1">
      <c r="A229" s="66"/>
      <c r="B229" s="66"/>
    </row>
    <row r="230" ht="11.25" customHeight="1">
      <c r="A230" s="66"/>
      <c r="B230" s="66"/>
    </row>
    <row r="231" ht="11.25" customHeight="1">
      <c r="A231" s="66"/>
      <c r="B231" s="66"/>
    </row>
    <row r="232" ht="11.25" customHeight="1">
      <c r="A232" s="66"/>
      <c r="B232" s="66"/>
    </row>
    <row r="233" ht="11.25" customHeight="1">
      <c r="A233" s="66"/>
      <c r="B233" s="66"/>
    </row>
    <row r="234" ht="11.25" customHeight="1">
      <c r="A234" s="66"/>
      <c r="B234" s="66"/>
    </row>
    <row r="235" ht="11.25" customHeight="1">
      <c r="A235" s="66"/>
      <c r="B235" s="66"/>
    </row>
    <row r="236" ht="11.25" customHeight="1">
      <c r="A236" s="66"/>
      <c r="B236" s="66"/>
    </row>
    <row r="237" ht="11.25" customHeight="1">
      <c r="A237" s="66"/>
      <c r="B237" s="66"/>
    </row>
    <row r="238" ht="11.25" customHeight="1">
      <c r="A238" s="66"/>
      <c r="B238" s="66"/>
    </row>
    <row r="239" ht="11.25" customHeight="1">
      <c r="A239" s="66"/>
      <c r="B239" s="66"/>
    </row>
    <row r="240" ht="11.25" customHeight="1">
      <c r="A240" s="66"/>
      <c r="B240" s="66"/>
    </row>
    <row r="241" ht="11.25" customHeight="1">
      <c r="A241" s="66"/>
      <c r="B241" s="66"/>
    </row>
    <row r="242" ht="11.25" customHeight="1">
      <c r="A242" s="66"/>
      <c r="B242" s="66"/>
    </row>
    <row r="243" ht="11.25" customHeight="1">
      <c r="A243" s="66"/>
      <c r="B243" s="66"/>
    </row>
    <row r="244" ht="11.25" customHeight="1">
      <c r="A244" s="66"/>
      <c r="B244" s="66"/>
    </row>
    <row r="245" ht="11.25" customHeight="1">
      <c r="A245" s="66"/>
      <c r="B245" s="66"/>
    </row>
    <row r="246" ht="11.25" customHeight="1">
      <c r="A246" s="66"/>
      <c r="B246" s="66"/>
    </row>
    <row r="247" ht="11.25" customHeight="1">
      <c r="A247" s="66"/>
      <c r="B247" s="66"/>
    </row>
    <row r="248" ht="11.25" customHeight="1">
      <c r="A248" s="66"/>
      <c r="B248" s="66"/>
    </row>
    <row r="249" ht="11.25" customHeight="1">
      <c r="A249" s="66"/>
      <c r="B249" s="66"/>
    </row>
    <row r="250" ht="11.25" customHeight="1">
      <c r="A250" s="66"/>
      <c r="B250" s="66"/>
    </row>
    <row r="251" ht="11.25" customHeight="1">
      <c r="A251" s="66"/>
      <c r="B251" s="66"/>
    </row>
    <row r="252" ht="11.25" customHeight="1">
      <c r="A252" s="66"/>
      <c r="B252" s="66"/>
    </row>
    <row r="253" ht="11.25" customHeight="1">
      <c r="A253" s="66"/>
      <c r="B253" s="66"/>
    </row>
  </sheetData>
  <sheetProtection autoFilter="0" deleteColumns="0" deleteRows="0" formatColumns="0" formatRows="0" insertColumns="1" insertRows="0" sort="0"/>
  <pageMargins left="0.75" right="0.75" top="1" bottom="1" header="0.5" footer="0.5"/>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852" width="3.7109375"/>
    <col customWidth="1" min="2" max="2" style="1852" width="90.7109375"/>
    <col min="3" max="4" style="1852" width="9.140625"/>
  </cols>
  <sheetData>
    <row r="1" ht="11.25" customHeight="1">
      <c r="B1" s="95" t="s">
        <v>4132</v>
      </c>
    </row>
    <row r="2" ht="90" customHeight="1">
      <c r="B2" s="96" t="s">
        <v>4133</v>
      </c>
    </row>
    <row r="3" ht="67.5" customHeight="1">
      <c r="B3" s="96" t="s">
        <v>4134</v>
      </c>
    </row>
    <row r="4" ht="33.75" customHeight="1">
      <c r="B4" s="96" t="s">
        <v>4135</v>
      </c>
    </row>
    <row r="5" ht="11.25" customHeight="1">
      <c r="B5" s="96" t="s">
        <v>4136</v>
      </c>
    </row>
    <row r="6" ht="22.5" customHeight="1">
      <c r="B6" s="96" t="s">
        <v>4137</v>
      </c>
    </row>
    <row r="7" ht="22.5" customHeight="1">
      <c r="B7" s="96" t="s">
        <v>4138</v>
      </c>
    </row>
    <row r="8" ht="22.5" customHeight="1">
      <c r="B8" s="96" t="s">
        <v>4139</v>
      </c>
    </row>
    <row r="9" ht="22.5" customHeight="1">
      <c r="B9" s="96" t="s">
        <v>4140</v>
      </c>
    </row>
    <row r="10" ht="56.25" customHeight="1">
      <c r="B10" s="96" t="s">
        <v>4141</v>
      </c>
    </row>
    <row r="11" ht="12.75" customHeight="1">
      <c r="B11" s="161" t="s">
        <v>4142</v>
      </c>
    </row>
    <row r="12" ht="11.25" customHeight="1">
      <c r="B12" s="95" t="s">
        <v>4143</v>
      </c>
    </row>
    <row r="13" ht="22.5" customHeight="1">
      <c r="B13" s="96" t="s">
        <v>4144</v>
      </c>
    </row>
    <row r="14" ht="67.5" customHeight="1">
      <c r="B14" s="96" t="s">
        <v>4145</v>
      </c>
    </row>
    <row r="15" ht="22.5" customHeight="1">
      <c r="B15" s="96" t="s">
        <v>4146</v>
      </c>
    </row>
    <row r="16" ht="11.25" customHeight="1">
      <c r="B16" s="95" t="s">
        <v>4147</v>
      </c>
      <c r="D16" s="102"/>
    </row>
    <row r="17" ht="33.75" customHeight="1">
      <c r="B17" s="96" t="s">
        <v>4148</v>
      </c>
    </row>
    <row r="18" ht="33.75" customHeight="1">
      <c r="B18" s="96" t="s">
        <v>4149</v>
      </c>
    </row>
    <row r="19" ht="11.25" customHeight="1">
      <c r="B19" s="96" t="s">
        <v>4150</v>
      </c>
    </row>
    <row r="20" ht="33.75" customHeight="1">
      <c r="B20" s="96" t="s">
        <v>4151</v>
      </c>
    </row>
    <row r="21" ht="11.25" customHeight="1">
      <c r="B21" s="95" t="s">
        <v>4152</v>
      </c>
    </row>
    <row r="22" ht="11.25" customHeight="1">
      <c r="B22" s="96" t="s">
        <v>4153</v>
      </c>
    </row>
    <row r="24" ht="22.5" customHeight="1">
      <c r="B24" s="163" t="s">
        <v>4154</v>
      </c>
    </row>
    <row r="26" ht="11.25" customHeight="1">
      <c r="B26" s="95" t="s">
        <v>4155</v>
      </c>
    </row>
    <row r="27" ht="22.5" customHeight="1">
      <c r="B27" s="162" t="s">
        <v>396</v>
      </c>
    </row>
    <row r="28" ht="56.25" customHeight="1">
      <c r="B28" s="162" t="s">
        <v>4156</v>
      </c>
    </row>
    <row r="29" ht="11.25" customHeight="1">
      <c r="B29" s="212" t="s">
        <v>4157</v>
      </c>
    </row>
    <row r="30" ht="22.5" customHeight="1">
      <c r="B30" s="162" t="s">
        <v>4158</v>
      </c>
    </row>
    <row r="32" ht="11.25" customHeight="1">
      <c r="A32" s="190"/>
      <c r="B32" s="191" t="s">
        <v>4159</v>
      </c>
    </row>
    <row r="33" ht="14.25" customHeight="1">
      <c r="A33" s="192">
        <v>1</v>
      </c>
      <c r="B33" s="193" t="s">
        <v>4160</v>
      </c>
    </row>
    <row r="34" ht="14.25" customHeight="1">
      <c r="A34" s="192">
        <v>2</v>
      </c>
      <c r="B34" s="193" t="s">
        <v>4161</v>
      </c>
    </row>
    <row r="35" ht="11.25" customHeight="1">
      <c r="B35" s="191" t="s">
        <v>4162</v>
      </c>
    </row>
    <row r="36" ht="11.25" customHeight="1">
      <c r="B36" s="193" t="s">
        <v>4163</v>
      </c>
    </row>
  </sheetData>
  <sheetProtection autoFilter="0" deleteColumns="0" deleteRows="0" insertColumns="1" insertRows="0" sort="0"/>
  <pageMargins left="0.75" right="0.75" top="1" bottom="1" header="0.5" footer="0.5"/>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10.57421875" defaultRowHeight="14.25" customHeight="1"/>
  <cols>
    <col customWidth="1" hidden="1" min="1" max="1" style="1634" width="9.140625"/>
    <col customWidth="1" hidden="1" min="2" max="2" style="1637" width="9.140625"/>
    <col customWidth="1" min="3" max="3" style="1844" width="3.00390625"/>
    <col customWidth="1" min="4" max="4" style="1637" width="5.00390625"/>
    <col customWidth="1" min="5" max="5" style="1637" width="38.00390625"/>
    <col customWidth="1" min="6" max="7" style="1637" width="3.00390625"/>
    <col customWidth="1" min="8" max="8" style="1637" width="38.00390625"/>
    <col customWidth="1" min="9" max="9" style="1637" width="35.00390625"/>
    <col customWidth="1" min="10" max="10" style="1637" width="103.00390625"/>
    <col customWidth="1" min="11" max="11" style="1821" width="3.00390625"/>
    <col customWidth="1" min="12" max="14" style="1644" width="10.00390625"/>
    <col customWidth="1" min="15" max="15" style="1644" width="13.00390625"/>
    <col customWidth="1" min="16" max="16" style="1644" width="15.00390625"/>
    <col customWidth="1" min="17" max="17" style="1644" width="16.00390625"/>
    <col customWidth="1" min="18" max="21" style="1644" width="10.00390625"/>
    <col hidden="1" min="22" max="22" style="1637" width="10.57421875"/>
  </cols>
  <sheetData>
    <row r="1" ht="22.5" hidden="1" customHeight="1">
      <c r="E1" s="414"/>
      <c r="F1" s="414"/>
      <c r="G1" s="414"/>
      <c r="H1" s="2219" t="s">
        <v>352</v>
      </c>
      <c r="I1" s="2219"/>
      <c r="V1" s="1609" t="s">
        <v>14</v>
      </c>
    </row>
    <row r="2" s="1637" customFormat="1" ht="14.25" hidden="1" customHeight="1">
      <c r="C2" s="1621"/>
      <c r="D2" s="2235" t="s">
        <v>110</v>
      </c>
      <c r="E2" s="2237"/>
      <c r="F2" s="1627"/>
      <c r="G2" s="1622" t="s">
        <v>110</v>
      </c>
      <c r="H2" s="1625"/>
      <c r="I2" s="1623"/>
      <c r="L2" s="1624"/>
      <c r="M2" s="1624"/>
      <c r="N2" s="1624"/>
      <c r="O2" s="1624" t="s">
        <v>382</v>
      </c>
      <c r="P2" s="1624"/>
      <c r="Q2" s="1624"/>
      <c r="R2" s="1626" t="s">
        <v>381</v>
      </c>
      <c r="S2" s="1626" t="s">
        <v>381</v>
      </c>
      <c r="T2" s="1624"/>
      <c r="U2" s="1624"/>
      <c r="V2" s="1620">
        <v>0</v>
      </c>
    </row>
    <row r="3" s="1637" customFormat="1" ht="14.25" hidden="1" customHeight="1">
      <c r="C3" s="1621"/>
      <c r="D3" s="2236"/>
      <c r="E3" s="2238"/>
      <c r="F3" s="407"/>
      <c r="G3" s="871"/>
      <c r="H3" s="871" t="s">
        <v>383</v>
      </c>
      <c r="I3" s="315"/>
      <c r="L3" s="1624"/>
      <c r="M3" s="1624"/>
      <c r="N3" s="1624"/>
      <c r="O3" s="1624"/>
      <c r="P3" s="1624"/>
      <c r="Q3" s="1624"/>
      <c r="R3" s="1626"/>
      <c r="S3" s="1626"/>
      <c r="T3" s="1624"/>
      <c r="U3" s="1624"/>
      <c r="V3" s="1620">
        <v>0</v>
      </c>
    </row>
    <row r="4" ht="14.25" hidden="1" customHeight="1">
      <c r="V4" s="1609">
        <v>0</v>
      </c>
    </row>
    <row r="5" s="1615" customFormat="1" ht="5.25" customHeight="1">
      <c r="C5" s="703"/>
      <c r="D5" s="704"/>
      <c r="E5" s="704"/>
      <c r="F5" s="704"/>
      <c r="G5" s="704"/>
      <c r="H5" s="704" t="s">
        <v>356</v>
      </c>
      <c r="I5" s="704"/>
      <c r="J5" s="704"/>
      <c r="L5" s="1616"/>
      <c r="M5" s="1616"/>
      <c r="N5" s="1616"/>
      <c r="O5" s="1616"/>
      <c r="P5" s="1616"/>
      <c r="Q5" s="1616"/>
      <c r="R5" s="1616"/>
      <c r="S5" s="1616"/>
      <c r="T5" s="1616"/>
      <c r="U5" s="1616"/>
      <c r="V5" s="1615">
        <v>5</v>
      </c>
    </row>
    <row r="6" ht="29.25" customHeight="1">
      <c r="C6" s="1518"/>
      <c r="D6" s="2239" t="s">
        <v>384</v>
      </c>
      <c r="E6" s="2239"/>
      <c r="F6" s="2239"/>
      <c r="G6" s="2239"/>
      <c r="H6" s="2239"/>
      <c r="I6" s="2239"/>
      <c r="J6" s="493"/>
      <c r="K6" s="1617"/>
      <c r="V6" s="1609">
        <v>28</v>
      </c>
    </row>
    <row r="7" ht="18" customHeight="1">
      <c r="C7" s="1518"/>
      <c r="D7" s="2178" t="str">
        <f>IF(org=0,"Не определено",org)</f>
        <v xml:space="preserve">филиал ПАО "ОГК-2" - Рязанская ГРЭС</v>
      </c>
      <c r="E7" s="2178"/>
      <c r="F7" s="2178"/>
      <c r="G7" s="2178"/>
      <c r="H7" s="2178"/>
      <c r="I7" s="2178"/>
      <c r="J7" s="493"/>
      <c r="K7" s="1617"/>
      <c r="V7" s="1609">
        <v>17</v>
      </c>
    </row>
    <row r="8" s="1614" customFormat="1" ht="5.25" customHeight="1">
      <c r="A8" s="1613"/>
      <c r="C8" s="488"/>
      <c r="D8" s="487"/>
      <c r="E8" s="487"/>
      <c r="F8" s="487"/>
      <c r="G8" s="487"/>
      <c r="H8" s="487"/>
      <c r="I8" s="487"/>
      <c r="J8" s="487"/>
      <c r="L8" s="1616"/>
      <c r="M8" s="1616"/>
      <c r="N8" s="1616"/>
      <c r="O8" s="1616"/>
      <c r="P8" s="1616"/>
      <c r="Q8" s="1616"/>
      <c r="R8" s="1616"/>
      <c r="S8" s="1616"/>
      <c r="T8" s="1616"/>
      <c r="U8" s="1616"/>
      <c r="V8" s="1614">
        <v>5</v>
      </c>
    </row>
    <row r="9" s="1614" customFormat="1" ht="5.25" customHeight="1">
      <c r="A9" s="1613"/>
      <c r="C9" s="488"/>
      <c r="D9" s="487"/>
      <c r="E9" s="487"/>
      <c r="F9" s="487"/>
      <c r="G9" s="487"/>
      <c r="H9" s="487"/>
      <c r="I9" s="487"/>
      <c r="J9" s="487"/>
      <c r="L9" s="1624"/>
      <c r="M9" s="1624"/>
      <c r="N9" s="1624"/>
      <c r="O9" s="1624"/>
      <c r="P9" s="1624"/>
      <c r="Q9" s="1624"/>
      <c r="R9" s="1624"/>
      <c r="S9" s="1624"/>
      <c r="T9" s="1624"/>
      <c r="U9" s="1624"/>
      <c r="V9" s="1614">
        <v>5</v>
      </c>
    </row>
    <row r="10" ht="14.65" customHeight="1">
      <c r="C10" s="1518"/>
      <c r="D10" s="2220" t="s">
        <v>300</v>
      </c>
      <c r="E10" s="2221"/>
      <c r="F10" s="2221"/>
      <c r="G10" s="2221"/>
      <c r="H10" s="2221"/>
      <c r="I10" s="2221"/>
      <c r="J10" s="2225" t="s">
        <v>301</v>
      </c>
      <c r="V10" s="1609">
        <v>14</v>
      </c>
    </row>
    <row r="11" ht="27.300000000000001" customHeight="1">
      <c r="C11" s="1518"/>
      <c r="D11" s="2129" t="s">
        <v>88</v>
      </c>
      <c r="E11" s="2225" t="s">
        <v>106</v>
      </c>
      <c r="F11" s="2194" t="s">
        <v>88</v>
      </c>
      <c r="G11" s="2195"/>
      <c r="H11" s="2177" t="s">
        <v>385</v>
      </c>
      <c r="I11" s="2177" t="s">
        <v>386</v>
      </c>
      <c r="J11" s="2225"/>
      <c r="V11" s="1609">
        <v>26</v>
      </c>
    </row>
    <row r="12" ht="14.65" customHeight="1">
      <c r="C12" s="1518"/>
      <c r="D12" s="2129"/>
      <c r="E12" s="2225"/>
      <c r="F12" s="2202"/>
      <c r="G12" s="2203"/>
      <c r="H12" s="2234"/>
      <c r="I12" s="2234"/>
      <c r="J12" s="2225"/>
      <c r="V12" s="1609">
        <v>14</v>
      </c>
    </row>
    <row r="13" s="1643" customFormat="1" ht="11.25" hidden="1" customHeight="1">
      <c r="C13" s="500"/>
      <c r="D13" s="501" t="s">
        <v>376</v>
      </c>
      <c r="E13" s="501"/>
      <c r="F13" s="501"/>
      <c r="G13" s="501"/>
      <c r="H13" s="499"/>
      <c r="I13" s="499"/>
      <c r="J13" s="437"/>
      <c r="L13" s="1616"/>
      <c r="M13" s="1616"/>
      <c r="N13" s="1616"/>
      <c r="O13" s="1616"/>
      <c r="P13" s="1616"/>
      <c r="Q13" s="1616"/>
      <c r="R13" s="1616"/>
      <c r="S13" s="1616"/>
      <c r="T13" s="1616"/>
      <c r="U13" s="1616"/>
      <c r="V13" s="498">
        <v>0</v>
      </c>
    </row>
    <row r="14" ht="14.65" customHeight="1">
      <c r="A14" s="1609"/>
      <c r="C14" s="1518"/>
      <c r="D14" s="2235" t="s">
        <v>110</v>
      </c>
      <c r="E14" s="2237"/>
      <c r="F14" s="1619"/>
      <c r="G14" s="1618" t="s">
        <v>110</v>
      </c>
      <c r="H14" s="1625"/>
      <c r="I14" s="1623"/>
      <c r="J14" s="2171" t="s">
        <v>387</v>
      </c>
      <c r="K14" s="1609"/>
      <c r="R14" s="502" t="s">
        <v>381</v>
      </c>
      <c r="S14" s="502" t="s">
        <v>381</v>
      </c>
      <c r="V14" s="1609">
        <v>14</v>
      </c>
    </row>
    <row r="15" ht="14.65" customHeight="1">
      <c r="A15" s="1609"/>
      <c r="C15" s="1518"/>
      <c r="D15" s="2236"/>
      <c r="E15" s="2238"/>
      <c r="F15" s="407"/>
      <c r="G15" s="871"/>
      <c r="H15" s="871" t="s">
        <v>383</v>
      </c>
      <c r="I15" s="315"/>
      <c r="J15" s="2172"/>
      <c r="K15" s="1609"/>
      <c r="R15" s="502"/>
      <c r="S15" s="502"/>
      <c r="V15" s="1609">
        <v>14</v>
      </c>
    </row>
    <row r="16" ht="14.65" customHeight="1">
      <c r="A16" s="1609"/>
      <c r="C16" s="1518"/>
      <c r="D16" s="407"/>
      <c r="E16" s="871" t="s">
        <v>123</v>
      </c>
      <c r="F16" s="315"/>
      <c r="G16" s="315"/>
      <c r="H16" s="408"/>
      <c r="I16" s="408"/>
      <c r="J16" s="2173"/>
      <c r="K16" s="1609"/>
      <c r="V16" s="1609">
        <v>14</v>
      </c>
    </row>
    <row r="17" ht="14.65" customHeight="1">
      <c r="K17" s="1609"/>
      <c r="V17" s="1609">
        <v>14</v>
      </c>
    </row>
    <row r="18" ht="22.5" hidden="1" customHeight="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autoFilter="0" deleteColumns="0" deleteRows="0" formatColumns="0" formatRows="0" insertColumns="1" insertRows="0" sort="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2">
    <dataValidation sqref="E14 E2"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 sqref="E13:G13" allowBlank="1" error="Допускается ввод только неотрицательных чисел!" errorTitle="Ошибка" showError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C60010-00B5-45A4-89FE-00850082006F}" type="whole" allowBlank="1" error="Допускается ввод только неотрицательных целых чисел!" errorTitle="Ошибка" showErrorMessage="1">
          <x14:formula1>
            <xm:f>0</xm:f>
          </x14:formula1>
          <x14:formula2>
            <xm:f>9.99999999999999E+23</xm:f>
          </x14:formula2>
          <xm:sqref>I14 I2</xm:sqref>
        </x14:dataValidation>
        <x14:dataValidation xr:uid="{00E200A5-00B3-4C21-A0FA-004000BD00D9}" type="decimal" allowBlank="1" error="Допускается ввод только неотрицательных чисел!" errorTitle="Ошибка" showErrorMessage="1">
          <x14:formula1>
            <xm:f>0</xm:f>
          </x14:formula1>
          <x14:formula2>
            <xm:f>9.99999999999999E+23</xm:f>
          </x14:formula2>
          <xm:sqref>H13:I13</xm:sqref>
        </x14:dataValidation>
        <x14:dataValidation xr:uid="{00720050-0097-4F23-BC7D-0049008A0088}" type="textLength" allowBlank="1" error="Допускается ввод не более 900 символов!" errorTitle="Ошибка" operator="lessThanOrEqual" showErrorMessage="1" showInputMessage="1">
          <x14:formula1>
            <xm:f>900</xm:f>
          </x14:formula1>
          <xm:sqref>H14 H2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Р7-Офис/2025.3.1.923</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prusov.oleg@ogk2.energy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